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4" documentId="13_ncr:1_{B7F94727-F196-4C3D-80D8-4C79D30DEEF1}" xr6:coauthVersionLast="47" xr6:coauthVersionMax="47" xr10:uidLastSave="{8461594C-3AB8-49C4-809E-F72F3436AA1D}"/>
  <bookViews>
    <workbookView xWindow="1152" yWindow="720" windowWidth="11712" windowHeight="12240" firstSheet="1" activeTab="1" xr2:uid="{00000000-000D-0000-FFFF-FFFF00000000}"/>
  </bookViews>
  <sheets>
    <sheet name="Instructivo" sheetId="44" r:id="rId1"/>
    <sheet name="Meta.1" sheetId="46" r:id="rId2"/>
    <sheet name="Meta.2" sheetId="48" r:id="rId3"/>
    <sheet name="Meta.3" sheetId="49" r:id="rId4"/>
    <sheet name="Hoja1" sheetId="42" state="hidden" r:id="rId5"/>
    <sheet name="Indicadores PA" sheetId="36" r:id="rId6"/>
    <sheet name="Territorialización PA" sheetId="37" r:id="rId7"/>
    <sheet name="Control de Cambios" sheetId="41" r:id="rId8"/>
    <sheet name="Proyecto" sheetId="47" r:id="rId9"/>
    <sheet name="8232.SCPI" sheetId="51" r:id="rId10"/>
    <sheet name="listas" sheetId="43" state="hidden" r:id="rId11"/>
  </sheets>
  <definedNames>
    <definedName name="_xlnm._FilterDatabase" localSheetId="9" hidden="1">'8232.SCPI'!$A$1:$CC$56</definedName>
    <definedName name="_xlnm._FilterDatabase" localSheetId="5" hidden="1">'Indicadores PA'!$A$12:$AV$12</definedName>
    <definedName name="_xlnm.Print_Area" localSheetId="5">'Indicadores PA'!$A$1:$AV$22</definedName>
    <definedName name="_xlnm.Print_Area" localSheetId="1">Meta.1!$A$1:$AE$46</definedName>
    <definedName name="_xlnm.Print_Area" localSheetId="2">Meta.2!$A$1:$AE$44</definedName>
    <definedName name="_xlnm.Print_Area" localSheetId="3">Meta.3!$A$1:$AE$46</definedName>
    <definedName name="_xlnm.Print_Area" localSheetId="6">'Territorialización PA'!$A$1:$BK$33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3" i="36" l="1"/>
  <c r="AP13" i="36" s="1"/>
  <c r="AQ13" i="36" s="1"/>
  <c r="AD25" i="46" l="1"/>
  <c r="T4" i="47"/>
  <c r="S4" i="47"/>
  <c r="T3" i="47"/>
  <c r="S3" i="47"/>
  <c r="S5" i="47" s="1"/>
  <c r="T2" i="47"/>
  <c r="T5" i="47" s="1"/>
  <c r="T6" i="47" s="1"/>
  <c r="S2" i="47"/>
  <c r="AB22" i="49"/>
  <c r="AB22" i="48"/>
  <c r="AB22" i="46"/>
  <c r="AC22" i="46"/>
  <c r="AC24" i="48"/>
  <c r="BU110" i="51"/>
  <c r="BQ105" i="51"/>
  <c r="BP105" i="51"/>
  <c r="BQ104" i="51"/>
  <c r="BP104" i="51"/>
  <c r="BQ101" i="51"/>
  <c r="BP101" i="51"/>
  <c r="BT100" i="51"/>
  <c r="BQ100" i="51"/>
  <c r="BP100" i="51"/>
  <c r="BT99" i="51"/>
  <c r="BQ99" i="51"/>
  <c r="BP99" i="51"/>
  <c r="BQ98" i="51"/>
  <c r="BP98" i="51"/>
  <c r="BT97" i="51"/>
  <c r="BQ97" i="51"/>
  <c r="BP97" i="51"/>
  <c r="BQ96" i="51"/>
  <c r="BP96" i="51"/>
  <c r="BT95" i="51"/>
  <c r="BP95" i="51"/>
  <c r="BT93" i="51"/>
  <c r="BT92" i="51"/>
  <c r="BP92" i="51"/>
  <c r="BT91" i="51"/>
  <c r="BP91" i="51"/>
  <c r="BP90" i="51"/>
  <c r="BS84" i="51"/>
  <c r="BQ84" i="51"/>
  <c r="BP84" i="51"/>
  <c r="BQ81" i="51"/>
  <c r="BP81" i="51"/>
  <c r="BR79" i="51"/>
  <c r="BP79" i="51"/>
  <c r="BC79" i="51"/>
  <c r="BP78" i="51"/>
  <c r="BH78" i="51"/>
  <c r="BC78" i="51"/>
  <c r="BR77" i="51"/>
  <c r="BC77" i="51"/>
  <c r="BA77" i="51"/>
  <c r="BP75" i="51"/>
  <c r="BC74" i="51"/>
  <c r="BC73" i="51"/>
  <c r="BP72" i="51"/>
  <c r="BC72" i="51"/>
  <c r="BA72" i="51"/>
  <c r="BQ71" i="51"/>
  <c r="BP71" i="51"/>
  <c r="BP70" i="51"/>
  <c r="BP69" i="51"/>
  <c r="BJ69" i="51"/>
  <c r="BC69" i="51"/>
  <c r="BC68" i="51"/>
  <c r="BP67" i="51"/>
  <c r="BL67" i="51"/>
  <c r="BK67" i="51"/>
  <c r="BJ67" i="51"/>
  <c r="BC67" i="51"/>
  <c r="BA67" i="51"/>
  <c r="BL65" i="51"/>
  <c r="BK65" i="51"/>
  <c r="BJ65" i="51"/>
  <c r="BO64" i="51"/>
  <c r="BL64" i="51"/>
  <c r="BH64" i="51"/>
  <c r="AS64" i="51"/>
  <c r="AL64" i="51"/>
  <c r="BH63" i="51"/>
  <c r="AS63" i="51"/>
  <c r="AL63" i="51"/>
  <c r="BH62" i="51"/>
  <c r="AS62" i="51"/>
  <c r="AL62" i="51"/>
  <c r="BO61" i="51"/>
  <c r="BL61" i="51"/>
  <c r="BK61" i="51"/>
  <c r="BJ61" i="51"/>
  <c r="BH61" i="51"/>
  <c r="AS61" i="51"/>
  <c r="AL61" i="51"/>
  <c r="BH60" i="51"/>
  <c r="AS60" i="51"/>
  <c r="AL60" i="51"/>
  <c r="BH59" i="51"/>
  <c r="AS59" i="51"/>
  <c r="AL59" i="51"/>
  <c r="BO58" i="51"/>
  <c r="BL58" i="51"/>
  <c r="BK58" i="51"/>
  <c r="BJ58" i="51"/>
  <c r="BH58" i="51"/>
  <c r="AS58" i="51"/>
  <c r="AL58" i="51"/>
  <c r="BR57" i="51"/>
  <c r="BO56" i="51"/>
  <c r="BL56" i="51"/>
  <c r="BK56" i="51"/>
  <c r="BJ56" i="51"/>
  <c r="BG56" i="51"/>
  <c r="BE56" i="51"/>
  <c r="BC56" i="51"/>
  <c r="BA56" i="51"/>
  <c r="AY56" i="51"/>
  <c r="AW56" i="51"/>
  <c r="BO55" i="51"/>
  <c r="BE55" i="51"/>
  <c r="BO54" i="51"/>
  <c r="BE54" i="51"/>
  <c r="BO53" i="51"/>
  <c r="BE53" i="51"/>
  <c r="BO52" i="51"/>
  <c r="BE52" i="51"/>
  <c r="BO51" i="51"/>
  <c r="BK51" i="51"/>
  <c r="BJ51" i="51"/>
  <c r="BE51" i="51"/>
  <c r="BO50" i="51"/>
  <c r="BL50" i="51"/>
  <c r="BE50" i="51"/>
  <c r="BO49" i="51"/>
  <c r="BE49" i="51"/>
  <c r="BO48" i="51"/>
  <c r="BE48" i="51"/>
  <c r="BO47" i="51"/>
  <c r="BL47" i="51"/>
  <c r="BK47" i="51"/>
  <c r="BJ47" i="51"/>
  <c r="BE47" i="51"/>
  <c r="BO46" i="51"/>
  <c r="BL46" i="51"/>
  <c r="BE46" i="51"/>
  <c r="AY45" i="51"/>
  <c r="BG44" i="51"/>
  <c r="BF44" i="51"/>
  <c r="AY44" i="51"/>
  <c r="BY43" i="51"/>
  <c r="AZ43" i="51"/>
  <c r="AX43" i="51"/>
  <c r="BZ42" i="51"/>
  <c r="BY42" i="51"/>
  <c r="BX42" i="51"/>
  <c r="BW42" i="51"/>
  <c r="BO42" i="51"/>
  <c r="BL42" i="51"/>
  <c r="BK42" i="51"/>
  <c r="BJ42" i="51"/>
  <c r="BH42" i="51"/>
  <c r="BG42" i="51"/>
  <c r="BE42" i="51"/>
  <c r="BC42" i="51"/>
  <c r="BA42" i="51"/>
  <c r="AZ42" i="51"/>
  <c r="AY42" i="51"/>
  <c r="AX42" i="51"/>
  <c r="AW42" i="51"/>
  <c r="AL42" i="51"/>
  <c r="AK42" i="51"/>
  <c r="AJ42" i="51"/>
  <c r="AI42" i="51"/>
  <c r="AH42" i="51"/>
  <c r="AG42" i="51"/>
  <c r="AL41" i="51"/>
  <c r="AK41" i="51"/>
  <c r="AJ41" i="51"/>
  <c r="AI41" i="51"/>
  <c r="AH41" i="51"/>
  <c r="BZ40" i="51"/>
  <c r="BY40" i="51"/>
  <c r="BX40" i="51"/>
  <c r="BW40" i="51"/>
  <c r="BU40" i="51"/>
  <c r="BT40" i="51"/>
  <c r="BS40" i="51"/>
  <c r="BR40" i="51"/>
  <c r="AL40" i="51"/>
  <c r="AK40" i="51"/>
  <c r="AJ40" i="51"/>
  <c r="AI40" i="51"/>
  <c r="AH40" i="51"/>
  <c r="AL39" i="51"/>
  <c r="AK39" i="51"/>
  <c r="AJ39" i="51"/>
  <c r="AI39" i="51"/>
  <c r="AH39" i="51"/>
  <c r="AL38" i="51"/>
  <c r="AK38" i="51"/>
  <c r="AJ38" i="51"/>
  <c r="AI38" i="51"/>
  <c r="AH38" i="51"/>
  <c r="AG38" i="51"/>
  <c r="BX37" i="51"/>
  <c r="BS37" i="51"/>
  <c r="BH37" i="51"/>
  <c r="AL37" i="51"/>
  <c r="AJ37" i="51"/>
  <c r="BW36" i="51"/>
  <c r="BR36" i="51"/>
  <c r="BH36" i="51"/>
  <c r="AL36" i="51"/>
  <c r="AJ36" i="51"/>
  <c r="BX35" i="51"/>
  <c r="BS35" i="51"/>
  <c r="BH35" i="51"/>
  <c r="BG35" i="51"/>
  <c r="AL35" i="51"/>
  <c r="AJ35" i="51"/>
  <c r="BW34" i="51"/>
  <c r="BR34" i="51"/>
  <c r="BH34" i="51"/>
  <c r="BG34" i="51"/>
  <c r="AL34" i="51"/>
  <c r="AJ34" i="51"/>
  <c r="BX33" i="51"/>
  <c r="BS33" i="51"/>
  <c r="BH33" i="51"/>
  <c r="AL33" i="51"/>
  <c r="AJ33" i="51"/>
  <c r="BW32" i="51"/>
  <c r="BR32" i="51"/>
  <c r="BH32" i="51"/>
  <c r="AL32" i="51"/>
  <c r="AJ32" i="51"/>
  <c r="BX31" i="51"/>
  <c r="BS31" i="51"/>
  <c r="BH31" i="51"/>
  <c r="BG31" i="51"/>
  <c r="AL31" i="51"/>
  <c r="AJ31" i="51"/>
  <c r="BW30" i="51"/>
  <c r="BR30" i="51"/>
  <c r="BH30" i="51"/>
  <c r="BG30" i="51"/>
  <c r="AL30" i="51"/>
  <c r="AJ30" i="51"/>
  <c r="BX29" i="51"/>
  <c r="BS29" i="51"/>
  <c r="BH29" i="51"/>
  <c r="AL29" i="51"/>
  <c r="AJ29" i="51"/>
  <c r="BW28" i="51"/>
  <c r="BR28" i="51"/>
  <c r="BH28" i="51"/>
  <c r="AL28" i="51"/>
  <c r="AJ28" i="51"/>
  <c r="BX27" i="51"/>
  <c r="BS27" i="51"/>
  <c r="BH27" i="51"/>
  <c r="BG27" i="51"/>
  <c r="AL27" i="51"/>
  <c r="AJ27" i="51"/>
  <c r="BW26" i="51"/>
  <c r="BR26" i="51"/>
  <c r="BH26" i="51"/>
  <c r="BG26" i="51"/>
  <c r="AL26" i="51"/>
  <c r="AJ26" i="51"/>
  <c r="BX25" i="51"/>
  <c r="BS25" i="51"/>
  <c r="BH25" i="51"/>
  <c r="BG25" i="51"/>
  <c r="AL25" i="51"/>
  <c r="AJ25" i="51"/>
  <c r="BW24" i="51"/>
  <c r="BR24" i="51"/>
  <c r="BH24" i="51"/>
  <c r="BG24" i="51"/>
  <c r="AL24" i="51"/>
  <c r="AJ24" i="51"/>
  <c r="BX23" i="51"/>
  <c r="BS23" i="51"/>
  <c r="BH23" i="51"/>
  <c r="AL23" i="51"/>
  <c r="AJ23" i="51"/>
  <c r="BW22" i="51"/>
  <c r="BR22" i="51"/>
  <c r="BH22" i="51"/>
  <c r="AL22" i="51"/>
  <c r="AJ22" i="51"/>
  <c r="BX21" i="51"/>
  <c r="BS21" i="51"/>
  <c r="BH21" i="51"/>
  <c r="BG21" i="51"/>
  <c r="AL21" i="51"/>
  <c r="AJ21" i="51"/>
  <c r="BW20" i="51"/>
  <c r="BR20" i="51"/>
  <c r="BH20" i="51"/>
  <c r="BG20" i="51"/>
  <c r="AL20" i="51"/>
  <c r="AJ20" i="51"/>
  <c r="BX19" i="51"/>
  <c r="BS19" i="51"/>
  <c r="BH19" i="51"/>
  <c r="BG19" i="51"/>
  <c r="AL19" i="51"/>
  <c r="AJ19" i="51"/>
  <c r="BW18" i="51"/>
  <c r="BR18" i="51"/>
  <c r="BH18" i="51"/>
  <c r="BG18" i="51"/>
  <c r="AL18" i="51"/>
  <c r="AJ18" i="51"/>
  <c r="BZ17" i="51"/>
  <c r="BY17" i="51"/>
  <c r="BT17" i="51"/>
  <c r="BH17" i="51"/>
  <c r="BG17" i="51"/>
  <c r="AL17" i="51"/>
  <c r="AJ17" i="51"/>
  <c r="BX16" i="51"/>
  <c r="BS16" i="51"/>
  <c r="BH16" i="51"/>
  <c r="BG16" i="51"/>
  <c r="AL16" i="51"/>
  <c r="AJ16" i="51"/>
  <c r="BW15" i="51"/>
  <c r="BR15" i="51"/>
  <c r="BH15" i="51"/>
  <c r="BG15" i="51"/>
  <c r="AL15" i="51"/>
  <c r="AJ15" i="51"/>
  <c r="BX14" i="51"/>
  <c r="BS14" i="51"/>
  <c r="BH14" i="51"/>
  <c r="BG14" i="51"/>
  <c r="AL14" i="51"/>
  <c r="AJ14" i="51"/>
  <c r="BW13" i="51"/>
  <c r="BR13" i="51"/>
  <c r="BH13" i="51"/>
  <c r="BG13" i="51"/>
  <c r="AL13" i="51"/>
  <c r="AJ13" i="51"/>
  <c r="BY12" i="51"/>
  <c r="BT12" i="51"/>
  <c r="BH12" i="51"/>
  <c r="BG12" i="51"/>
  <c r="AL12" i="51"/>
  <c r="AJ12" i="51"/>
  <c r="BZ11" i="51"/>
  <c r="BY11" i="51"/>
  <c r="BT11" i="51"/>
  <c r="BH11" i="51"/>
  <c r="BG11" i="51"/>
  <c r="AL11" i="51"/>
  <c r="AJ11" i="51"/>
  <c r="BX10" i="51"/>
  <c r="BS10" i="51"/>
  <c r="BH10" i="51"/>
  <c r="BG10" i="51"/>
  <c r="AL10" i="51"/>
  <c r="AJ10" i="51"/>
  <c r="BW9" i="51"/>
  <c r="BR9" i="51"/>
  <c r="BH9" i="51"/>
  <c r="BG9" i="51"/>
  <c r="AL9" i="51"/>
  <c r="AJ9" i="51"/>
  <c r="BZ8" i="51"/>
  <c r="BY8" i="51"/>
  <c r="BT8" i="51"/>
  <c r="BH8" i="51"/>
  <c r="BG8" i="51"/>
  <c r="BE8" i="51"/>
  <c r="AW8" i="51"/>
  <c r="AL8" i="51"/>
  <c r="AJ8" i="51"/>
  <c r="BX7" i="51"/>
  <c r="BS7" i="51"/>
  <c r="BH7" i="51"/>
  <c r="BG7" i="51"/>
  <c r="BE7" i="51"/>
  <c r="AW7" i="51"/>
  <c r="AL7" i="51"/>
  <c r="AJ7" i="51"/>
  <c r="BW6" i="51"/>
  <c r="BR6" i="51"/>
  <c r="BH6" i="51"/>
  <c r="BG6" i="51"/>
  <c r="BE6" i="51"/>
  <c r="AW6" i="51"/>
  <c r="AL6" i="51"/>
  <c r="AJ6" i="51"/>
  <c r="BY5" i="51"/>
  <c r="BT5" i="51"/>
  <c r="BH5" i="51"/>
  <c r="BG5" i="51"/>
  <c r="AL5" i="51"/>
  <c r="AJ5" i="51"/>
  <c r="BZ4" i="51"/>
  <c r="BY4" i="51"/>
  <c r="BT4" i="51"/>
  <c r="BH4" i="51"/>
  <c r="BG4" i="51"/>
  <c r="AL4" i="51"/>
  <c r="AJ4" i="51"/>
  <c r="BX3" i="51"/>
  <c r="BS3" i="51"/>
  <c r="BH3" i="51"/>
  <c r="BG3" i="51"/>
  <c r="AL3" i="51"/>
  <c r="AJ3" i="51"/>
  <c r="BW2" i="51"/>
  <c r="BR2" i="51"/>
  <c r="BH2" i="51"/>
  <c r="BG2" i="51"/>
  <c r="AL2" i="51"/>
  <c r="AJ2" i="51"/>
  <c r="I19" i="47"/>
  <c r="I16" i="47"/>
  <c r="H16" i="47"/>
  <c r="I15" i="47"/>
  <c r="H15" i="47"/>
  <c r="H14" i="47"/>
  <c r="R9" i="47"/>
  <c r="R6" i="47"/>
  <c r="P6" i="47"/>
  <c r="N6" i="47"/>
  <c r="D6" i="47"/>
  <c r="R5" i="47"/>
  <c r="Q5" i="47"/>
  <c r="P5" i="47"/>
  <c r="O5" i="47"/>
  <c r="N5" i="47"/>
  <c r="M5" i="47"/>
  <c r="L5" i="47"/>
  <c r="K5" i="47"/>
  <c r="R4" i="47"/>
  <c r="Q4" i="47"/>
  <c r="P4" i="47"/>
  <c r="O4" i="47"/>
  <c r="N4" i="47"/>
  <c r="M4" i="47"/>
  <c r="L4" i="47"/>
  <c r="K4" i="47"/>
  <c r="B4" i="47"/>
  <c r="R3" i="47"/>
  <c r="Q3" i="47"/>
  <c r="P3" i="47"/>
  <c r="O3" i="47"/>
  <c r="N3" i="47"/>
  <c r="M3" i="47"/>
  <c r="L3" i="47"/>
  <c r="K3" i="47"/>
  <c r="B3" i="47"/>
  <c r="R2" i="47"/>
  <c r="Q2" i="47"/>
  <c r="P2" i="47"/>
  <c r="O2" i="47"/>
  <c r="N2" i="47"/>
  <c r="M2" i="47"/>
  <c r="L2" i="47"/>
  <c r="K2" i="47"/>
  <c r="H2" i="47"/>
  <c r="C2" i="47"/>
  <c r="B2" i="47"/>
  <c r="S41" i="37"/>
  <c r="BK32" i="37"/>
  <c r="BJ32" i="37"/>
  <c r="BI32" i="37"/>
  <c r="BH32" i="37"/>
  <c r="BG32" i="37"/>
  <c r="BF32" i="37"/>
  <c r="BE32" i="37"/>
  <c r="BD32" i="37"/>
  <c r="BC32" i="37"/>
  <c r="BB32" i="37"/>
  <c r="BA32" i="37"/>
  <c r="AZ32" i="37"/>
  <c r="AY32" i="37"/>
  <c r="AW32" i="37"/>
  <c r="AU32" i="37"/>
  <c r="AT32" i="37"/>
  <c r="AS32" i="37"/>
  <c r="AR32" i="37"/>
  <c r="AQ32" i="37"/>
  <c r="AP32" i="37"/>
  <c r="AO32" i="37"/>
  <c r="AN32" i="37"/>
  <c r="AM32" i="37"/>
  <c r="AL32" i="37"/>
  <c r="AK32" i="37"/>
  <c r="AJ32" i="37"/>
  <c r="AI32" i="37"/>
  <c r="AH32" i="37"/>
  <c r="AE32" i="37"/>
  <c r="AD32" i="37"/>
  <c r="AC32" i="37"/>
  <c r="AB32" i="37"/>
  <c r="AA32" i="37"/>
  <c r="Z32" i="37"/>
  <c r="Y32" i="37"/>
  <c r="X32" i="37"/>
  <c r="W32" i="37"/>
  <c r="V32" i="37"/>
  <c r="U32" i="37"/>
  <c r="T32" i="37"/>
  <c r="S32" i="37"/>
  <c r="R32" i="37"/>
  <c r="Q32" i="37"/>
  <c r="P32" i="37"/>
  <c r="O32" i="37"/>
  <c r="N32" i="37"/>
  <c r="M32" i="37"/>
  <c r="L32" i="37"/>
  <c r="K32" i="37"/>
  <c r="J32" i="37"/>
  <c r="I32" i="37"/>
  <c r="H32" i="37"/>
  <c r="G32" i="37"/>
  <c r="F32" i="37"/>
  <c r="E32" i="37"/>
  <c r="D32" i="37"/>
  <c r="C32" i="37"/>
  <c r="B32" i="37"/>
  <c r="AY31" i="37"/>
  <c r="AX31" i="37"/>
  <c r="S31" i="37"/>
  <c r="R31" i="37"/>
  <c r="AY30" i="37"/>
  <c r="AX30" i="37"/>
  <c r="S30" i="37"/>
  <c r="R30" i="37"/>
  <c r="AY29" i="37"/>
  <c r="AX29" i="37"/>
  <c r="S29" i="37"/>
  <c r="R29" i="37"/>
  <c r="AY28" i="37"/>
  <c r="AX28" i="37"/>
  <c r="S28" i="37"/>
  <c r="R28" i="37"/>
  <c r="AY27" i="37"/>
  <c r="AX27" i="37"/>
  <c r="S27" i="37"/>
  <c r="R27" i="37"/>
  <c r="AY26" i="37"/>
  <c r="AX26" i="37"/>
  <c r="S26" i="37"/>
  <c r="R26" i="37"/>
  <c r="AY25" i="37"/>
  <c r="AX25" i="37"/>
  <c r="S25" i="37"/>
  <c r="R25" i="37"/>
  <c r="AY24" i="37"/>
  <c r="AX24" i="37"/>
  <c r="S24" i="37"/>
  <c r="R24" i="37"/>
  <c r="AY23" i="37"/>
  <c r="AX23" i="37"/>
  <c r="S23" i="37"/>
  <c r="R23" i="37"/>
  <c r="AY22" i="37"/>
  <c r="AX22" i="37"/>
  <c r="S22" i="37"/>
  <c r="R22" i="37"/>
  <c r="AY21" i="37"/>
  <c r="AX21" i="37"/>
  <c r="S21" i="37"/>
  <c r="R21" i="37"/>
  <c r="AY20" i="37"/>
  <c r="AX20" i="37"/>
  <c r="S20" i="37"/>
  <c r="R20" i="37"/>
  <c r="AY19" i="37"/>
  <c r="AX19" i="37"/>
  <c r="S19" i="37"/>
  <c r="R19" i="37"/>
  <c r="AY18" i="37"/>
  <c r="AX18" i="37"/>
  <c r="S18" i="37"/>
  <c r="R18" i="37"/>
  <c r="AY17" i="37"/>
  <c r="AX17" i="37"/>
  <c r="S17" i="37"/>
  <c r="R17" i="37"/>
  <c r="AY16" i="37"/>
  <c r="AX16" i="37"/>
  <c r="S16" i="37"/>
  <c r="R16" i="37"/>
  <c r="AY15" i="37"/>
  <c r="AX15" i="37"/>
  <c r="S15" i="37"/>
  <c r="R15" i="37"/>
  <c r="AY14" i="37"/>
  <c r="AX14" i="37"/>
  <c r="S14" i="37"/>
  <c r="R14" i="37"/>
  <c r="AY13" i="37"/>
  <c r="AX13" i="37"/>
  <c r="S13" i="37"/>
  <c r="R13" i="37"/>
  <c r="AY12" i="37"/>
  <c r="AX12" i="37"/>
  <c r="S12" i="37"/>
  <c r="R12" i="37"/>
  <c r="AY11" i="37"/>
  <c r="AV11" i="37"/>
  <c r="AU11" i="37"/>
  <c r="AT11" i="37"/>
  <c r="AR11" i="37"/>
  <c r="AQ11" i="37"/>
  <c r="AP11" i="37"/>
  <c r="S11" i="37"/>
  <c r="R11" i="37"/>
  <c r="Q11" i="37"/>
  <c r="P11" i="37"/>
  <c r="O11" i="37"/>
  <c r="N11" i="37"/>
  <c r="M11" i="37"/>
  <c r="K11" i="37"/>
  <c r="AQ18" i="36"/>
  <c r="AP18" i="36"/>
  <c r="AQ17" i="36"/>
  <c r="AP17" i="36"/>
  <c r="AQ16" i="36"/>
  <c r="AO15" i="36"/>
  <c r="AP15" i="36" s="1"/>
  <c r="AQ15" i="36" s="1"/>
  <c r="AN15" i="36"/>
  <c r="AM15" i="36"/>
  <c r="AL15" i="36"/>
  <c r="AK15" i="36"/>
  <c r="AJ15" i="36"/>
  <c r="AI15" i="36"/>
  <c r="AH15" i="36"/>
  <c r="AG15" i="36"/>
  <c r="AF15" i="36"/>
  <c r="AE15" i="36"/>
  <c r="AD15" i="36"/>
  <c r="AC15" i="36"/>
  <c r="AB15" i="36"/>
  <c r="AA15" i="36"/>
  <c r="Z15" i="36"/>
  <c r="Y15" i="36"/>
  <c r="X15" i="36"/>
  <c r="W15" i="36"/>
  <c r="V15" i="36"/>
  <c r="U15" i="36"/>
  <c r="T15" i="36"/>
  <c r="S15" i="36"/>
  <c r="R15" i="36"/>
  <c r="AP14" i="36"/>
  <c r="AQ14" i="36" s="1"/>
  <c r="AN14" i="36"/>
  <c r="AM14" i="36"/>
  <c r="AL14" i="36"/>
  <c r="AK14" i="36"/>
  <c r="AJ14" i="36"/>
  <c r="AI14" i="36"/>
  <c r="AH14" i="36"/>
  <c r="AG14" i="36"/>
  <c r="AF14" i="36"/>
  <c r="AE14" i="36"/>
  <c r="AD14" i="36"/>
  <c r="AC14" i="36"/>
  <c r="AB14" i="36"/>
  <c r="AA14" i="36"/>
  <c r="Z14" i="36"/>
  <c r="Y14" i="36"/>
  <c r="X14" i="36"/>
  <c r="W14" i="36"/>
  <c r="V14" i="36"/>
  <c r="U14" i="36"/>
  <c r="T14" i="36"/>
  <c r="S14" i="36"/>
  <c r="R14" i="36"/>
  <c r="AN13" i="36"/>
  <c r="AL13" i="36"/>
  <c r="AK13" i="36"/>
  <c r="AJ13" i="36"/>
  <c r="AI13" i="36"/>
  <c r="AH13" i="36"/>
  <c r="AG13" i="36"/>
  <c r="AF13" i="36"/>
  <c r="AE13" i="36"/>
  <c r="AD13" i="36"/>
  <c r="AC13" i="36"/>
  <c r="AB13" i="36"/>
  <c r="AA13" i="36"/>
  <c r="Z13" i="36"/>
  <c r="Y13" i="36"/>
  <c r="X13" i="36"/>
  <c r="W13" i="36"/>
  <c r="V13" i="36"/>
  <c r="U13" i="36"/>
  <c r="T13" i="36"/>
  <c r="S13" i="36"/>
  <c r="R13" i="36"/>
  <c r="R66" i="49"/>
  <c r="R65" i="49"/>
  <c r="R64" i="49"/>
  <c r="R63" i="49"/>
  <c r="R62" i="49"/>
  <c r="R61" i="49"/>
  <c r="B61" i="49"/>
  <c r="A61" i="49"/>
  <c r="O60" i="49"/>
  <c r="P60" i="49" s="1"/>
  <c r="N60" i="49"/>
  <c r="M60" i="49"/>
  <c r="L60" i="49"/>
  <c r="K60" i="49"/>
  <c r="J60" i="49"/>
  <c r="I60" i="49"/>
  <c r="H60" i="49"/>
  <c r="G60" i="49"/>
  <c r="F60" i="49"/>
  <c r="E60" i="49"/>
  <c r="D60" i="49"/>
  <c r="R59" i="49"/>
  <c r="P59" i="49"/>
  <c r="O59" i="49"/>
  <c r="N59" i="49"/>
  <c r="M59" i="49"/>
  <c r="L59" i="49"/>
  <c r="K59" i="49"/>
  <c r="J59" i="49"/>
  <c r="I59" i="49"/>
  <c r="H59" i="49"/>
  <c r="G59" i="49"/>
  <c r="F59" i="49"/>
  <c r="E59" i="49"/>
  <c r="D59" i="49"/>
  <c r="B59" i="49"/>
  <c r="A59" i="49"/>
  <c r="B57" i="49"/>
  <c r="A57" i="49"/>
  <c r="O56" i="49"/>
  <c r="N56" i="49"/>
  <c r="M56" i="49"/>
  <c r="L56" i="49"/>
  <c r="K56" i="49"/>
  <c r="J56" i="49"/>
  <c r="I56" i="49"/>
  <c r="H56" i="49"/>
  <c r="G56" i="49"/>
  <c r="F56" i="49"/>
  <c r="E56" i="49"/>
  <c r="D56" i="49"/>
  <c r="R55" i="49"/>
  <c r="P55" i="49"/>
  <c r="O55" i="49"/>
  <c r="N55" i="49"/>
  <c r="M55" i="49"/>
  <c r="L55" i="49"/>
  <c r="K55" i="49"/>
  <c r="J55" i="49"/>
  <c r="I55" i="49"/>
  <c r="H55" i="49"/>
  <c r="G55" i="49"/>
  <c r="F55" i="49"/>
  <c r="E55" i="49"/>
  <c r="D55" i="49"/>
  <c r="B55" i="49"/>
  <c r="A55" i="49"/>
  <c r="P46" i="49"/>
  <c r="P45" i="49"/>
  <c r="P44" i="49"/>
  <c r="P43" i="49"/>
  <c r="P42" i="49"/>
  <c r="P41" i="49"/>
  <c r="A35" i="49"/>
  <c r="P30" i="49"/>
  <c r="AC25" i="49"/>
  <c r="O25" i="49"/>
  <c r="N25" i="49"/>
  <c r="AC24" i="49"/>
  <c r="N24" i="49"/>
  <c r="AC23" i="49"/>
  <c r="O23" i="49"/>
  <c r="N23" i="49"/>
  <c r="AC22" i="49"/>
  <c r="N22" i="49"/>
  <c r="P44" i="48"/>
  <c r="P43" i="48"/>
  <c r="P42" i="48"/>
  <c r="P41" i="48"/>
  <c r="P36" i="48"/>
  <c r="P35" i="48"/>
  <c r="A35" i="48"/>
  <c r="P30" i="48"/>
  <c r="AC25" i="48"/>
  <c r="O25" i="48"/>
  <c r="N25" i="48"/>
  <c r="N24" i="48"/>
  <c r="AC23" i="48"/>
  <c r="AA23" i="48"/>
  <c r="O23" i="48"/>
  <c r="N23" i="48"/>
  <c r="AC22" i="48"/>
  <c r="N22" i="48"/>
  <c r="P73" i="46"/>
  <c r="O73" i="46"/>
  <c r="N73" i="46"/>
  <c r="M73" i="46"/>
  <c r="L73" i="46"/>
  <c r="K73" i="46"/>
  <c r="J73" i="46"/>
  <c r="I73" i="46"/>
  <c r="H73" i="46"/>
  <c r="G73" i="46"/>
  <c r="F73" i="46"/>
  <c r="E73" i="46"/>
  <c r="D73" i="46"/>
  <c r="P72" i="46"/>
  <c r="O72" i="46"/>
  <c r="N72" i="46"/>
  <c r="M72" i="46"/>
  <c r="L72" i="46"/>
  <c r="K72" i="46"/>
  <c r="J72" i="46"/>
  <c r="I72" i="46"/>
  <c r="H72" i="46"/>
  <c r="G72" i="46"/>
  <c r="F72" i="46"/>
  <c r="E72" i="46"/>
  <c r="D72" i="46"/>
  <c r="N70" i="46"/>
  <c r="M70" i="46"/>
  <c r="L70" i="46"/>
  <c r="K70" i="46"/>
  <c r="J70" i="46"/>
  <c r="I70" i="46"/>
  <c r="H70" i="46"/>
  <c r="G70" i="46"/>
  <c r="F70" i="46"/>
  <c r="E70" i="46"/>
  <c r="D70" i="46"/>
  <c r="N69" i="46"/>
  <c r="M69" i="46"/>
  <c r="L69" i="46"/>
  <c r="K69" i="46"/>
  <c r="J69" i="46"/>
  <c r="I69" i="46"/>
  <c r="H69" i="46"/>
  <c r="G69" i="46"/>
  <c r="F69" i="46"/>
  <c r="E69" i="46"/>
  <c r="D69" i="46"/>
  <c r="R66" i="46"/>
  <c r="R65" i="46"/>
  <c r="R64" i="46"/>
  <c r="R63" i="46"/>
  <c r="R62" i="46"/>
  <c r="R61" i="46"/>
  <c r="B61" i="46"/>
  <c r="A61" i="46"/>
  <c r="O60" i="46"/>
  <c r="P60" i="46" s="1"/>
  <c r="N60" i="46"/>
  <c r="M60" i="46"/>
  <c r="L60" i="46"/>
  <c r="K60" i="46"/>
  <c r="J60" i="46"/>
  <c r="I60" i="46"/>
  <c r="H60" i="46"/>
  <c r="G60" i="46"/>
  <c r="F60" i="46"/>
  <c r="E60" i="46"/>
  <c r="D60" i="46"/>
  <c r="R59" i="46"/>
  <c r="P59" i="46"/>
  <c r="O59" i="46"/>
  <c r="N59" i="46"/>
  <c r="M59" i="46"/>
  <c r="L59" i="46"/>
  <c r="K59" i="46"/>
  <c r="J59" i="46"/>
  <c r="I59" i="46"/>
  <c r="H59" i="46"/>
  <c r="G59" i="46"/>
  <c r="F59" i="46"/>
  <c r="E59" i="46"/>
  <c r="D59" i="46"/>
  <c r="B59" i="46"/>
  <c r="A59" i="46"/>
  <c r="O58" i="46"/>
  <c r="P58" i="46" s="1"/>
  <c r="N58" i="46"/>
  <c r="M58" i="46"/>
  <c r="L58" i="46"/>
  <c r="K58" i="46"/>
  <c r="J58" i="46"/>
  <c r="I58" i="46"/>
  <c r="H58" i="46"/>
  <c r="G58" i="46"/>
  <c r="F58" i="46"/>
  <c r="E58" i="46"/>
  <c r="D58" i="46"/>
  <c r="R57" i="46"/>
  <c r="P57" i="46"/>
  <c r="O57" i="46"/>
  <c r="N57" i="46"/>
  <c r="M57" i="46"/>
  <c r="L57" i="46"/>
  <c r="K57" i="46"/>
  <c r="J57" i="46"/>
  <c r="I57" i="46"/>
  <c r="H57" i="46"/>
  <c r="G57" i="46"/>
  <c r="F57" i="46"/>
  <c r="E57" i="46"/>
  <c r="D57" i="46"/>
  <c r="B57" i="46"/>
  <c r="A57" i="46"/>
  <c r="O56" i="46"/>
  <c r="N56" i="46"/>
  <c r="M56" i="46"/>
  <c r="L56" i="46"/>
  <c r="K56" i="46"/>
  <c r="J56" i="46"/>
  <c r="I56" i="46"/>
  <c r="H56" i="46"/>
  <c r="G56" i="46"/>
  <c r="F56" i="46"/>
  <c r="E56" i="46"/>
  <c r="D56" i="46"/>
  <c r="R55" i="46"/>
  <c r="P55" i="46"/>
  <c r="O55" i="46"/>
  <c r="N55" i="46"/>
  <c r="M55" i="46"/>
  <c r="L55" i="46"/>
  <c r="K55" i="46"/>
  <c r="J55" i="46"/>
  <c r="I55" i="46"/>
  <c r="H55" i="46"/>
  <c r="G55" i="46"/>
  <c r="F55" i="46"/>
  <c r="E55" i="46"/>
  <c r="D55" i="46"/>
  <c r="B55" i="46"/>
  <c r="A55" i="46"/>
  <c r="P46" i="46"/>
  <c r="P45" i="46"/>
  <c r="P44" i="46"/>
  <c r="P43" i="46"/>
  <c r="P42" i="46"/>
  <c r="P41" i="46"/>
  <c r="P36" i="46"/>
  <c r="N36" i="46"/>
  <c r="K36" i="46"/>
  <c r="J36" i="46"/>
  <c r="I36" i="46"/>
  <c r="H36" i="46"/>
  <c r="G36" i="46"/>
  <c r="F36" i="46"/>
  <c r="E36" i="46"/>
  <c r="D36" i="46"/>
  <c r="P35" i="46"/>
  <c r="O35" i="46"/>
  <c r="N35" i="46"/>
  <c r="M35" i="46"/>
  <c r="L35" i="46"/>
  <c r="K35" i="46"/>
  <c r="J35" i="46"/>
  <c r="I35" i="46"/>
  <c r="H35" i="46"/>
  <c r="G35" i="46"/>
  <c r="F35" i="46"/>
  <c r="E35" i="46"/>
  <c r="D35" i="46"/>
  <c r="A35" i="46"/>
  <c r="P30" i="46"/>
  <c r="AC25" i="46"/>
  <c r="O25" i="46"/>
  <c r="N25" i="46"/>
  <c r="N24" i="46"/>
  <c r="AC23" i="46"/>
  <c r="O23" i="46"/>
  <c r="N23" i="46"/>
  <c r="N22" i="46"/>
  <c r="AD25" i="49" l="1"/>
  <c r="I4" i="47"/>
  <c r="AD23" i="49"/>
  <c r="AE25" i="48"/>
  <c r="AD25" i="48"/>
  <c r="I3" i="47"/>
  <c r="AD23" i="48"/>
  <c r="AG25" i="46"/>
  <c r="AE25" i="46"/>
  <c r="AG23" i="46"/>
  <c r="I14" i="47"/>
  <c r="I2" i="47"/>
  <c r="I6" i="47" s="1"/>
  <c r="AE23" i="46"/>
  <c r="AD23" i="46"/>
  <c r="AE25" i="49"/>
  <c r="H4" i="47"/>
  <c r="J4" i="47" s="1"/>
  <c r="C4" i="47"/>
  <c r="J16" i="47" s="1"/>
  <c r="AE23" i="49"/>
  <c r="H3" i="47"/>
  <c r="J3" i="47" s="1"/>
  <c r="C3" i="47"/>
  <c r="J15" i="47" s="1"/>
  <c r="AE23" i="48"/>
  <c r="J14" i="47"/>
  <c r="C6" i="47"/>
  <c r="I21" i="47" s="1"/>
  <c r="H6" i="47"/>
  <c r="I7" i="47" s="1"/>
  <c r="J2" i="47"/>
  <c r="Q60" i="49"/>
  <c r="R60" i="49" s="1"/>
  <c r="O58" i="49"/>
  <c r="N58" i="49"/>
  <c r="N69" i="49" s="1"/>
  <c r="N70" i="49" s="1"/>
  <c r="M58" i="49"/>
  <c r="M69" i="49" s="1"/>
  <c r="M70" i="49" s="1"/>
  <c r="L58" i="49"/>
  <c r="L69" i="49" s="1"/>
  <c r="L70" i="49" s="1"/>
  <c r="L36" i="49" s="1"/>
  <c r="K58" i="49"/>
  <c r="K69" i="49" s="1"/>
  <c r="K70" i="49" s="1"/>
  <c r="K36" i="49" s="1"/>
  <c r="J58" i="49"/>
  <c r="J69" i="49" s="1"/>
  <c r="J70" i="49" s="1"/>
  <c r="J36" i="49" s="1"/>
  <c r="I58" i="49"/>
  <c r="I69" i="49" s="1"/>
  <c r="I70" i="49" s="1"/>
  <c r="I36" i="49" s="1"/>
  <c r="H58" i="49"/>
  <c r="H69" i="49" s="1"/>
  <c r="H70" i="49" s="1"/>
  <c r="H36" i="49" s="1"/>
  <c r="G58" i="49"/>
  <c r="G69" i="49" s="1"/>
  <c r="G70" i="49" s="1"/>
  <c r="G36" i="49" s="1"/>
  <c r="F58" i="49"/>
  <c r="F69" i="49" s="1"/>
  <c r="F70" i="49" s="1"/>
  <c r="F36" i="49" s="1"/>
  <c r="E58" i="49"/>
  <c r="E69" i="49" s="1"/>
  <c r="E70" i="49" s="1"/>
  <c r="E36" i="49" s="1"/>
  <c r="D58" i="49"/>
  <c r="O57" i="49"/>
  <c r="O72" i="49" s="1"/>
  <c r="O73" i="49" s="1"/>
  <c r="O35" i="49" s="1"/>
  <c r="N57" i="49"/>
  <c r="N72" i="49" s="1"/>
  <c r="N73" i="49" s="1"/>
  <c r="N35" i="49" s="1"/>
  <c r="M57" i="49"/>
  <c r="M72" i="49" s="1"/>
  <c r="M73" i="49" s="1"/>
  <c r="M35" i="49" s="1"/>
  <c r="L57" i="49"/>
  <c r="L72" i="49" s="1"/>
  <c r="L73" i="49" s="1"/>
  <c r="L35" i="49" s="1"/>
  <c r="K57" i="49"/>
  <c r="K72" i="49" s="1"/>
  <c r="K73" i="49" s="1"/>
  <c r="K35" i="49" s="1"/>
  <c r="J57" i="49"/>
  <c r="J72" i="49" s="1"/>
  <c r="J73" i="49" s="1"/>
  <c r="J35" i="49" s="1"/>
  <c r="I57" i="49"/>
  <c r="I72" i="49" s="1"/>
  <c r="I73" i="49" s="1"/>
  <c r="I35" i="49" s="1"/>
  <c r="H57" i="49"/>
  <c r="H72" i="49" s="1"/>
  <c r="H73" i="49" s="1"/>
  <c r="H35" i="49" s="1"/>
  <c r="G57" i="49"/>
  <c r="G72" i="49" s="1"/>
  <c r="G73" i="49" s="1"/>
  <c r="G35" i="49" s="1"/>
  <c r="F57" i="49"/>
  <c r="F72" i="49" s="1"/>
  <c r="F73" i="49" s="1"/>
  <c r="F35" i="49" s="1"/>
  <c r="E57" i="49"/>
  <c r="E72" i="49" s="1"/>
  <c r="E73" i="49" s="1"/>
  <c r="E35" i="49" s="1"/>
  <c r="D57" i="49"/>
  <c r="O69" i="49"/>
  <c r="O70" i="49" s="1"/>
  <c r="P56" i="49"/>
  <c r="AV32" i="37"/>
  <c r="AX11" i="37"/>
  <c r="AX32" i="37" s="1"/>
  <c r="Q60" i="46"/>
  <c r="R60" i="46" s="1"/>
  <c r="Q58" i="46"/>
  <c r="R58" i="46" s="1"/>
  <c r="O69" i="46"/>
  <c r="O70" i="46" s="1"/>
  <c r="P70" i="46" s="1"/>
  <c r="P56" i="46"/>
  <c r="D72" i="49" l="1"/>
  <c r="D73" i="49" s="1"/>
  <c r="P57" i="49"/>
  <c r="D69" i="49"/>
  <c r="D70" i="49" s="1"/>
  <c r="P58" i="49"/>
  <c r="P69" i="49"/>
  <c r="R69" i="49" s="1"/>
  <c r="Q56" i="49"/>
  <c r="R56" i="49" s="1"/>
  <c r="P69" i="46"/>
  <c r="R69" i="46" s="1"/>
  <c r="Q56" i="46"/>
  <c r="R56" i="46" s="1"/>
  <c r="Q58" i="49" l="1"/>
  <c r="R58" i="49" s="1"/>
  <c r="D36" i="49"/>
  <c r="P36" i="49" s="1"/>
  <c r="P70" i="49"/>
  <c r="P72" i="49"/>
  <c r="R57" i="49"/>
  <c r="P73" i="49"/>
  <c r="D35" i="49"/>
  <c r="P35" i="49" s="1"/>
  <c r="BP103" i="51"/>
  <c r="BQ103"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rFont val="Tahoma"/>
            <family val="2"/>
          </rPr>
          <t xml:space="preserve">En este campo seleccionar de la lista desplegable el nombre del proyecto asignado y cargado en la ficha EBI de MGA.
</t>
        </r>
      </text>
    </comment>
    <comment ref="A15" authorId="0" shapeId="0" xr:uid="{00000000-0006-0000-0100-000003000000}">
      <text>
        <r>
          <rPr>
            <sz val="9"/>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rFont val="Tahoma"/>
            <family val="2"/>
          </rPr>
          <t>En este campo se diligencia el nombre de la actividad del proyecto de inversión</t>
        </r>
      </text>
    </comment>
    <comment ref="A21" authorId="0" shapeId="0" xr:uid="{00000000-0006-0000-0100-000007000000}">
      <text>
        <r>
          <rPr>
            <sz val="9"/>
            <rFont val="Tahoma"/>
            <family val="2"/>
          </rPr>
          <t>Valor de la reserva constituida al inicio de la vigencia</t>
        </r>
      </text>
    </comment>
    <comment ref="AD21" authorId="0" shapeId="0" xr:uid="{00000000-0006-0000-0100-000008000000}">
      <text>
        <r>
          <rPr>
            <sz val="9"/>
            <rFont val="Tahoma"/>
            <family val="2"/>
          </rPr>
          <t>Ajustar las sumatorias en las formulas de compromisos y giros según el periodo según corresponda</t>
        </r>
      </text>
    </comment>
    <comment ref="A22" authorId="0" shapeId="0" xr:uid="{00000000-0006-0000-0100-000009000000}">
      <text>
        <r>
          <rPr>
            <sz val="9"/>
            <rFont val="Tahoma"/>
            <family val="2"/>
          </rPr>
          <t>Programación de acuerdo de desempleo en la ejecución de giros para cada mes de la vigencia.</t>
        </r>
      </text>
    </comment>
    <comment ref="A23" authorId="0" shapeId="0" xr:uid="{00000000-0006-0000-0100-00000A000000}">
      <text>
        <r>
          <rPr>
            <sz val="9"/>
            <rFont val="Tahoma"/>
            <family val="2"/>
          </rPr>
          <t>Liberaciones de reservas realizadas en cada mes de la vigencia.</t>
        </r>
      </text>
    </comment>
    <comment ref="A24" authorId="0" shapeId="0" xr:uid="{00000000-0006-0000-0100-00000B000000}">
      <text>
        <r>
          <rPr>
            <sz val="9"/>
            <rFont val="Tahoma"/>
            <family val="2"/>
          </rPr>
          <t>Reserva definitiva después de liberaciones.</t>
        </r>
      </text>
    </comment>
    <comment ref="A25" authorId="0" shapeId="0" xr:uid="{00000000-0006-0000-0100-00000C000000}">
      <text>
        <r>
          <rPr>
            <sz val="9"/>
            <rFont val="Tahoma"/>
            <family val="2"/>
          </rPr>
          <t>Ejecución de los giros de la reserva para mes</t>
        </r>
      </text>
    </comment>
    <comment ref="A28" authorId="2" shapeId="0" xr:uid="{00000000-0006-0000-0100-00000D000000}">
      <text>
        <r>
          <rPr>
            <sz val="9"/>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rFont val="Tahoma"/>
            <family val="2"/>
          </rPr>
          <t>Se diligencia el rezago reportado al corte de diciembre de la vigencia anterior</t>
        </r>
      </text>
    </comment>
    <comment ref="A33" authorId="2" shapeId="0" xr:uid="{00000000-0006-0000-0100-00000F000000}">
      <text>
        <r>
          <rPr>
            <sz val="9"/>
            <rFont val="Tahoma"/>
            <family val="2"/>
          </rPr>
          <t>En este campo se diligencia el nombre de la actividad del proyecto de inversión</t>
        </r>
      </text>
    </comment>
    <comment ref="B33" authorId="2" shapeId="0" xr:uid="{00000000-0006-0000-0100-000010000000}">
      <text>
        <r>
          <rPr>
            <sz val="9"/>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rFont val="Tahoma"/>
            <family val="2"/>
          </rPr>
          <t>Se diligencia la programación mensual de la actividad proyecto de inversión</t>
        </r>
      </text>
    </comment>
    <comment ref="A39" authorId="2" shapeId="0" xr:uid="{00000000-0006-0000-0100-000012000000}">
      <text>
        <r>
          <rPr>
            <sz val="9"/>
            <rFont val="Tahoma"/>
            <family val="2"/>
          </rPr>
          <t>En este campo se diligencia el nombre de la tarea definida para la gestión de cumplimiento de la actividad del proyecto de inversión</t>
        </r>
      </text>
    </comment>
    <comment ref="B39" authorId="2" shapeId="0" xr:uid="{00000000-0006-0000-0100-000013000000}">
      <text>
        <r>
          <rPr>
            <sz val="9"/>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rFont val="Tahoma"/>
            <family val="2"/>
          </rPr>
          <t xml:space="preserve">En este campo seleccionar de la lista desplegable el nombre del proyecto asignado y cargado en la ficha EBI de MGA.
</t>
        </r>
      </text>
    </comment>
    <comment ref="A15" authorId="0" shapeId="0" xr:uid="{00000000-0006-0000-0200-000003000000}">
      <text>
        <r>
          <rPr>
            <sz val="9"/>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rFont val="Tahoma"/>
            <family val="2"/>
          </rPr>
          <t>En este campo se diligencia el nombre de la actividad del proyecto de inversión</t>
        </r>
      </text>
    </comment>
    <comment ref="A21" authorId="0" shapeId="0" xr:uid="{00000000-0006-0000-0200-000007000000}">
      <text>
        <r>
          <rPr>
            <sz val="9"/>
            <rFont val="Tahoma"/>
            <family val="2"/>
          </rPr>
          <t>Valor de la reserva constituida al inicio de la vigencia</t>
        </r>
      </text>
    </comment>
    <comment ref="AD21" authorId="0" shapeId="0" xr:uid="{00000000-0006-0000-0200-000008000000}">
      <text>
        <r>
          <rPr>
            <sz val="9"/>
            <rFont val="Tahoma"/>
            <family val="2"/>
          </rPr>
          <t>Ajustar las sumatorias en las formulas de compromisos y giros según el periodo según corresponda</t>
        </r>
      </text>
    </comment>
    <comment ref="A22" authorId="0" shapeId="0" xr:uid="{00000000-0006-0000-0200-000009000000}">
      <text>
        <r>
          <rPr>
            <sz val="9"/>
            <rFont val="Tahoma"/>
            <family val="2"/>
          </rPr>
          <t>Programación de acuerdo de desempleo en la ejecución de giros para cada mes de la vigencia.</t>
        </r>
      </text>
    </comment>
    <comment ref="A23" authorId="0" shapeId="0" xr:uid="{00000000-0006-0000-0200-00000A000000}">
      <text>
        <r>
          <rPr>
            <sz val="9"/>
            <rFont val="Tahoma"/>
            <family val="2"/>
          </rPr>
          <t>Liberaciones de reservas realizadas en cada mes de la vigencia.</t>
        </r>
      </text>
    </comment>
    <comment ref="A24" authorId="0" shapeId="0" xr:uid="{00000000-0006-0000-0200-00000B000000}">
      <text>
        <r>
          <rPr>
            <sz val="9"/>
            <rFont val="Tahoma"/>
            <family val="2"/>
          </rPr>
          <t>Reserva definitiva después de liberaciones.</t>
        </r>
      </text>
    </comment>
    <comment ref="A25" authorId="0" shapeId="0" xr:uid="{00000000-0006-0000-0200-00000C000000}">
      <text>
        <r>
          <rPr>
            <sz val="9"/>
            <rFont val="Tahoma"/>
            <family val="2"/>
          </rPr>
          <t>Ejecución de los giros de la reserva para mes</t>
        </r>
      </text>
    </comment>
    <comment ref="A28" authorId="2" shapeId="0" xr:uid="{00000000-0006-0000-0200-00000D000000}">
      <text>
        <r>
          <rPr>
            <sz val="9"/>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rFont val="Tahoma"/>
            <family val="2"/>
          </rPr>
          <t>Se diligencia el rezago reportado al corte de diciembre de la vigencia anterior</t>
        </r>
      </text>
    </comment>
    <comment ref="A33" authorId="2" shapeId="0" xr:uid="{00000000-0006-0000-0200-00000F000000}">
      <text>
        <r>
          <rPr>
            <sz val="9"/>
            <rFont val="Tahoma"/>
            <family val="2"/>
          </rPr>
          <t>En este campo se diligencia el nombre de la actividad del proyecto de inversión</t>
        </r>
      </text>
    </comment>
    <comment ref="B33" authorId="2" shapeId="0" xr:uid="{00000000-0006-0000-0200-000010000000}">
      <text>
        <r>
          <rPr>
            <sz val="9"/>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rFont val="Tahoma"/>
            <family val="2"/>
          </rPr>
          <t>Se diligencia la programación mensual de la actividad proyecto de inversión</t>
        </r>
      </text>
    </comment>
    <comment ref="A39" authorId="2" shapeId="0" xr:uid="{00000000-0006-0000-0200-000012000000}">
      <text>
        <r>
          <rPr>
            <sz val="9"/>
            <rFont val="Tahoma"/>
            <family val="2"/>
          </rPr>
          <t>En este campo se diligencia el nombre de la tarea definida para la gestión de cumplimiento de la actividad del proyecto de inversión</t>
        </r>
      </text>
    </comment>
    <comment ref="B39" authorId="2" shapeId="0" xr:uid="{00000000-0006-0000-0200-000013000000}">
      <text>
        <r>
          <rPr>
            <sz val="9"/>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rFont val="Tahoma"/>
            <family val="2"/>
          </rPr>
          <t xml:space="preserve">En este campo seleccionar de la lista desplegable el nombre del proyecto asignado y cargado en la ficha EBI de MGA.
</t>
        </r>
      </text>
    </comment>
    <comment ref="A15" authorId="0" shapeId="0" xr:uid="{00000000-0006-0000-0300-000003000000}">
      <text>
        <r>
          <rPr>
            <sz val="9"/>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rFont val="Tahoma"/>
            <family val="2"/>
          </rPr>
          <t>En este campo se diligencia el nombre de la actividad del proyecto de inversión</t>
        </r>
      </text>
    </comment>
    <comment ref="A21" authorId="0" shapeId="0" xr:uid="{00000000-0006-0000-0300-000007000000}">
      <text>
        <r>
          <rPr>
            <sz val="9"/>
            <rFont val="Tahoma"/>
            <family val="2"/>
          </rPr>
          <t>Valor de la reserva constituida al inicio de la vigencia</t>
        </r>
      </text>
    </comment>
    <comment ref="AD21" authorId="0" shapeId="0" xr:uid="{00000000-0006-0000-0300-000008000000}">
      <text>
        <r>
          <rPr>
            <sz val="9"/>
            <rFont val="Tahoma"/>
            <family val="2"/>
          </rPr>
          <t>Ajustar las sumatorias en las formulas de compromisos y giros según el periodo según corresponda</t>
        </r>
      </text>
    </comment>
    <comment ref="A22" authorId="0" shapeId="0" xr:uid="{00000000-0006-0000-0300-000009000000}">
      <text>
        <r>
          <rPr>
            <sz val="9"/>
            <rFont val="Tahoma"/>
            <family val="2"/>
          </rPr>
          <t>Programación de acuerdo de desempleo en la ejecución de giros para cada mes de la vigencia.</t>
        </r>
      </text>
    </comment>
    <comment ref="A23" authorId="0" shapeId="0" xr:uid="{00000000-0006-0000-0300-00000A000000}">
      <text>
        <r>
          <rPr>
            <sz val="9"/>
            <rFont val="Tahoma"/>
            <family val="2"/>
          </rPr>
          <t>Liberaciones de reservas realizadas en cada mes de la vigencia.</t>
        </r>
      </text>
    </comment>
    <comment ref="A24" authorId="0" shapeId="0" xr:uid="{00000000-0006-0000-0300-00000B000000}">
      <text>
        <r>
          <rPr>
            <sz val="9"/>
            <rFont val="Tahoma"/>
            <family val="2"/>
          </rPr>
          <t>Reserva definitiva después de liberaciones.</t>
        </r>
      </text>
    </comment>
    <comment ref="A25" authorId="0" shapeId="0" xr:uid="{00000000-0006-0000-0300-00000C000000}">
      <text>
        <r>
          <rPr>
            <sz val="9"/>
            <rFont val="Tahoma"/>
            <family val="2"/>
          </rPr>
          <t>Ejecución de los giros de la reserva para mes</t>
        </r>
      </text>
    </comment>
    <comment ref="A28" authorId="2" shapeId="0" xr:uid="{00000000-0006-0000-0300-00000D000000}">
      <text>
        <r>
          <rPr>
            <sz val="9"/>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rFont val="Tahoma"/>
            <family val="2"/>
          </rPr>
          <t>Se diligencia el rezago reportado al corte de diciembre de la vigencia anterior</t>
        </r>
      </text>
    </comment>
    <comment ref="A33" authorId="2" shapeId="0" xr:uid="{00000000-0006-0000-0300-00000F000000}">
      <text>
        <r>
          <rPr>
            <sz val="9"/>
            <rFont val="Tahoma"/>
            <family val="2"/>
          </rPr>
          <t>En este campo se diligencia el nombre de la actividad del proyecto de inversión</t>
        </r>
      </text>
    </comment>
    <comment ref="B33" authorId="2" shapeId="0" xr:uid="{00000000-0006-0000-0300-000010000000}">
      <text>
        <r>
          <rPr>
            <sz val="9"/>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rFont val="Tahoma"/>
            <family val="2"/>
          </rPr>
          <t>Se diligencia la programación mensual de la actividad proyecto de inversión</t>
        </r>
      </text>
    </comment>
    <comment ref="A39" authorId="2" shapeId="0" xr:uid="{00000000-0006-0000-0300-000012000000}">
      <text>
        <r>
          <rPr>
            <sz val="9"/>
            <rFont val="Tahoma"/>
            <family val="2"/>
          </rPr>
          <t>En este campo se diligencia el nombre de la tarea definida para la gestión de cumplimiento de la actividad del proyecto de inversión</t>
        </r>
      </text>
    </comment>
    <comment ref="B39" authorId="2" shapeId="0" xr:uid="{00000000-0006-0000-0300-000013000000}">
      <text>
        <r>
          <rPr>
            <sz val="9"/>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500-000001000000}">
      <text>
        <r>
          <rPr>
            <sz val="10"/>
            <color indexed="8"/>
            <rFont val="Tahoma"/>
            <family val="2"/>
          </rPr>
          <t>Relacionar la descripción cualitativa del cumplimiento en coherencia con el avance del indicador.
De presentarse el mismo reporte (meta 1..n) indicarlo. ejemplo: avance reportado en proyecto 7738, actividad 1.</t>
        </r>
      </text>
    </comment>
    <comment ref="AS5" authorId="1" shapeId="0" xr:uid="{00000000-0006-0000-0500-000002000000}">
      <text>
        <r>
          <rPr>
            <sz val="10"/>
            <rFont val="Tahoma"/>
            <family val="2"/>
          </rPr>
          <t>En este campo se diligencia el link o la ruta donde se puede consultar las evidencias que soportan la ejecución reportada</t>
        </r>
      </text>
    </comment>
    <comment ref="AT5" authorId="0" shapeId="0" xr:uid="{00000000-0006-0000-0500-000003000000}">
      <text>
        <r>
          <rPr>
            <sz val="10"/>
            <color indexed="8"/>
            <rFont val="Tahoma"/>
            <family val="2"/>
          </rPr>
          <t>Relacionar la descripción cualitativa del cumplimiento en coherencia con el avance del indicador.
De presentarse el mismo reporte (meta 1..n) indicarlo. ejemplo: avance reportado en proyecto 7738, actividad 1.</t>
        </r>
      </text>
    </comment>
    <comment ref="AU5" authorId="0" shapeId="0" xr:uid="{00000000-0006-0000-05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500-000005000000}">
      <text>
        <r>
          <rPr>
            <sz val="10"/>
            <color indexed="8"/>
            <rFont val="Tahoma"/>
            <family val="2"/>
          </rPr>
          <t xml:space="preserve">Relacionar la descripción de las alternativas de solución </t>
        </r>
      </text>
    </comment>
    <comment ref="A9" authorId="2" shapeId="0" xr:uid="{00000000-0006-0000-0500-000006000000}">
      <text>
        <r>
          <rPr>
            <sz val="10"/>
            <rFont val="Tahoma"/>
            <family val="2"/>
          </rPr>
          <t>Relacionar el producto PMR asociado</t>
        </r>
      </text>
    </comment>
    <comment ref="A10" authorId="2" shapeId="0" xr:uid="{00000000-0006-0000-0500-000007000000}">
      <text>
        <r>
          <rPr>
            <sz val="10"/>
            <rFont val="Tahoma"/>
            <family val="2"/>
          </rPr>
          <t>Relacionar el objetivo estratégico asociado</t>
        </r>
      </text>
    </comment>
    <comment ref="A11" authorId="0" shapeId="0" xr:uid="{00000000-0006-0000-0500-000008000000}">
      <text>
        <r>
          <rPr>
            <sz val="10"/>
            <color indexed="8"/>
            <rFont val="Tahoma"/>
            <family val="2"/>
          </rPr>
          <t xml:space="preserve">Seleccionar el nivel del indicador a reportar y relacionar el código asignado del indicador a medir según: SEGPLAN, PMR, número de tarea, etc.
</t>
        </r>
      </text>
    </comment>
    <comment ref="D11" authorId="0" shapeId="0" xr:uid="{00000000-0006-0000-05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500-00000A000000}">
      <text>
        <r>
          <rPr>
            <sz val="10"/>
            <color indexed="8"/>
            <rFont val="Tahoma"/>
            <family val="2"/>
          </rPr>
          <t>Detallar la expresión cualitativa del indicador.
Objeto + condición deseada del objeto (verbo conjugado) + elementos adicionales de contexto descriptivo</t>
        </r>
      </text>
    </comment>
    <comment ref="F11" authorId="2" shapeId="0" xr:uid="{00000000-0006-0000-0500-00000B000000}">
      <text>
        <r>
          <rPr>
            <sz val="10"/>
            <rFont val="Tahoma"/>
            <family val="2"/>
          </rPr>
          <t>Define la representación matemática del cálculo del indicador.</t>
        </r>
      </text>
    </comment>
    <comment ref="G11" authorId="0" shapeId="0" xr:uid="{00000000-0006-0000-0500-00000C000000}">
      <text>
        <r>
          <rPr>
            <sz val="10"/>
            <color indexed="8"/>
            <rFont val="Tahoma"/>
            <family val="2"/>
          </rPr>
          <t>En coherencia con los mediciones establecidas por la SDH, Corresponde a:
Suma 
Creciente
Decreciente
Constante</t>
        </r>
      </text>
    </comment>
    <comment ref="H11" authorId="2" shapeId="0" xr:uid="{00000000-0006-0000-0500-00000D000000}">
      <text>
        <r>
          <rPr>
            <sz val="10"/>
            <rFont val="Tahoma"/>
            <family val="2"/>
          </rPr>
          <t>Valor de la meta programada de acuerdo con el indicador formulado y el parámetro de referencia para determinar la magnitud</t>
        </r>
      </text>
    </comment>
    <comment ref="I11" authorId="2" shapeId="0" xr:uid="{00000000-0006-0000-0500-00000E000000}">
      <text>
        <r>
          <rPr>
            <sz val="10"/>
            <rFont val="Tahoma"/>
            <family val="2"/>
          </rPr>
          <t xml:space="preserve">Parámetro de referencia para determinar la magnitud y el tipo de unidad del indicador.  </t>
        </r>
      </text>
    </comment>
    <comment ref="J11" authorId="0" shapeId="0" xr:uid="{00000000-0006-0000-0500-00000F000000}">
      <text>
        <r>
          <rPr>
            <sz val="10"/>
            <color indexed="8"/>
            <rFont val="Tahoma"/>
            <family val="2"/>
          </rPr>
          <t>Describe los pasos o el proceso para calcular el indicador</t>
        </r>
      </text>
    </comment>
    <comment ref="K11" authorId="2" shapeId="0" xr:uid="{00000000-0006-0000-0500-000010000000}">
      <text>
        <r>
          <rPr>
            <sz val="10"/>
            <rFont val="Tahoma"/>
            <family val="2"/>
          </rPr>
          <t xml:space="preserve">Dependencia responsable de la medición y reporte del indicador. </t>
        </r>
      </text>
    </comment>
    <comment ref="L11" authorId="2" shapeId="0" xr:uid="{00000000-0006-0000-0500-000011000000}">
      <text>
        <r>
          <rPr>
            <sz val="10"/>
            <rFont val="Tahoma"/>
            <family val="2"/>
          </rPr>
          <t>Para los indicadores POA, únicamente diligenciar la vigencia a formular.</t>
        </r>
        <r>
          <rPr>
            <sz val="9"/>
            <rFont val="Tahoma"/>
            <family val="2"/>
          </rPr>
          <t xml:space="preserve">
</t>
        </r>
      </text>
    </comment>
    <comment ref="P11" authorId="0" shapeId="0" xr:uid="{00000000-0006-0000-0500-000012000000}">
      <text>
        <r>
          <rPr>
            <sz val="10"/>
            <color indexed="8"/>
            <rFont val="Tahoma"/>
            <family val="2"/>
          </rPr>
          <t xml:space="preserve">Se debe establecer la periodicidad de la medición del indicador y del reporte del seguimiento </t>
        </r>
      </text>
    </comment>
    <comment ref="Q11" authorId="2" shapeId="0" xr:uid="{00000000-0006-0000-0500-000013000000}">
      <text>
        <r>
          <rPr>
            <sz val="10"/>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A5" authorId="0" shapeId="0" xr:uid="{00000000-0006-0000-0600-000001000000}">
      <text>
        <r>
          <rPr>
            <sz val="10"/>
            <rFont val="Tahoma"/>
            <family val="2"/>
          </rPr>
          <t>En esta sección se diligencia la programación de la territorialización</t>
        </r>
      </text>
    </comment>
    <comment ref="AG5" authorId="0" shapeId="0" xr:uid="{00000000-0006-0000-0600-000002000000}">
      <text>
        <r>
          <rPr>
            <sz val="10"/>
            <rFont val="Tahoma"/>
            <family val="2"/>
          </rPr>
          <t>En esta sección se diligencia el avance mensual a la territorialización programada</t>
        </r>
      </text>
    </comment>
    <comment ref="A7" authorId="0" shapeId="0" xr:uid="{00000000-0006-0000-0600-000003000000}">
      <text>
        <r>
          <rPr>
            <sz val="9"/>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sz val="9"/>
            <rFont val="Tahoma"/>
            <family val="2"/>
          </rPr>
          <t>Fecha en la que el cambio solicitado al plan de acción es aprobado</t>
        </r>
      </text>
    </comment>
    <comment ref="B7" authorId="0" shapeId="0" xr:uid="{00000000-0006-0000-0700-000002000000}">
      <text>
        <r>
          <rPr>
            <sz val="9"/>
            <rFont val="Tahoma"/>
            <family val="2"/>
          </rPr>
          <t>Descripción de los cambios realizados en la actialización que corresponda</t>
        </r>
      </text>
    </comment>
    <comment ref="C7" authorId="0" shapeId="0" xr:uid="{00000000-0006-0000-0700-000003000000}">
      <text>
        <r>
          <rPr>
            <sz val="9"/>
            <rFont val="Tahoma"/>
            <family val="2"/>
          </rPr>
          <t>Justificación del motivo que genera el cambio en el plan de acción</t>
        </r>
      </text>
    </comment>
  </commentList>
</comments>
</file>

<file path=xl/sharedStrings.xml><?xml version="1.0" encoding="utf-8"?>
<sst xmlns="http://schemas.openxmlformats.org/spreadsheetml/2006/main" count="2526" uniqueCount="706">
  <si>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</si>
  <si>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</si>
  <si>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</si>
  <si>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</si>
  <si>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</si>
  <si>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</si>
  <si>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</si>
  <si>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</si>
  <si>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</si>
  <si>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</si>
  <si>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</si>
  <si>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</si>
  <si>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</si>
  <si>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</si>
  <si>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</si>
  <si>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</si>
  <si>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</si>
  <si>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</si>
  <si>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</si>
  <si>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</si>
  <si>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</si>
  <si>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</si>
  <si>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</si>
  <si>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</si>
  <si>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</si>
  <si>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</si>
  <si>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</si>
  <si>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</si>
  <si>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</si>
  <si>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</si>
  <si>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</si>
  <si>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</si>
  <si>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</si>
  <si>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</si>
  <si>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</si>
  <si>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</si>
  <si>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</si>
  <si>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</si>
  <si>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</si>
  <si>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</si>
  <si>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</si>
  <si>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</si>
  <si>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</si>
  <si>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</si>
  <si>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</si>
  <si>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</si>
  <si>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</si>
  <si>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</si>
  <si>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</si>
  <si>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</si>
  <si>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</si>
  <si>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</si>
  <si>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</si>
  <si>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</si>
  <si>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</si>
  <si>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</si>
  <si>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</si>
  <si>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</si>
  <si>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</si>
  <si>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</si>
  <si>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</si>
  <si>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</si>
  <si>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</si>
  <si>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</si>
  <si>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</si>
  <si>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</si>
  <si>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</si>
  <si>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</si>
  <si>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</si>
  <si>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</si>
  <si>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</si>
  <si>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</si>
  <si>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</si>
  <si>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</si>
  <si>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</si>
  <si>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</si>
  <si>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</si>
  <si>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</si>
  <si>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</si>
  <si>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</si>
  <si>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</si>
  <si>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</si>
  <si>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</si>
  <si>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</si>
  <si>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</si>
  <si>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</si>
  <si>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</si>
  <si>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</si>
  <si>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</si>
  <si>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</si>
  <si>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</si>
  <si>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</si>
  <si>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</si>
  <si>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</si>
  <si>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</si>
  <si>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</si>
  <si>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</si>
  <si>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</si>
  <si>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</si>
  <si>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</si>
  <si>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</si>
  <si>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</si>
  <si>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</si>
  <si>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</si>
  <si>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</si>
  <si>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</si>
  <si>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</si>
  <si>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</si>
  <si>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</si>
  <si>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</si>
  <si>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</si>
  <si>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</si>
  <si>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</si>
  <si>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</si>
  <si>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</si>
  <si>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</si>
  <si>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</si>
  <si>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</si>
  <si>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</si>
  <si>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</si>
  <si>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</si>
  <si>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</si>
  <si>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</si>
  <si>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</si>
  <si>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</si>
  <si>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</si>
  <si>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</si>
  <si>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</si>
  <si>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</si>
  <si>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</si>
  <si>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</si>
  <si>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</si>
  <si>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</si>
  <si>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8232 - Implementación de estrategias para el empoderamiento económico de las mujeres en toda su diversidad en Bogotá D.C.</t>
  </si>
  <si>
    <t>3. Bogotá confía en su potencial</t>
  </si>
  <si>
    <t>3.20. Promoción del emprendimiento formal, equitativo e incluyente</t>
  </si>
  <si>
    <t>192. Cualificar 9000 mujeres, en sus diferencias y diversidades, en herramientas para la autonomía económica.</t>
  </si>
  <si>
    <t>Desarrollar 1 estrategia para potenciar las habilidades y capacidades de las mujeres en sus diversidades que aporten a su empoderamiento y autonomía económica. (Producto MGA - Servicio de educación informal)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</si>
  <si>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</si>
  <si>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</si>
  <si>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</si>
  <si>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</si>
  <si>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</si>
  <si>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</si>
  <si>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</si>
  <si>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</si>
  <si>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</si>
  <si>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</si>
  <si>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</si>
  <si>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</si>
  <si>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</si>
  <si>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</si>
  <si>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</si>
  <si>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</si>
  <si>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</si>
  <si>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</si>
  <si>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</si>
  <si>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</si>
  <si>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</si>
  <si>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</si>
  <si>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</si>
  <si>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</si>
  <si>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r>
      <rPr>
        <b/>
        <sz val="11"/>
        <color rgb="FF0D0D0D"/>
        <rFont val="Arial"/>
      </rPr>
      <t>Tarea 1</t>
    </r>
    <r>
      <rPr>
        <sz val="11"/>
        <color rgb="FF0D0D0D"/>
        <rFont val="Arial"/>
      </rPr>
      <t xml:space="preserve">: Se elaboró un documento orientador de la Estrategia para la Autonomía Económica de las Mujeres en sus diferencias y diversidad, el cual contiene los elementos técnicos y conceptuales que dirigen las acciones que contribuyen a la materialización de los derechos humanos de las mujeres, fortaleciendo sus habilidades y capacidades con el fin de reducir las barreras para la generación de ingresos y la empleabilidad, contribuyendo al desarrollo social y económico de la ciudad.
</t>
    </r>
    <r>
      <rPr>
        <b/>
        <sz val="11"/>
        <color rgb="FF0D0D0D"/>
        <rFont val="Arial"/>
      </rPr>
      <t>Tarea 2</t>
    </r>
    <r>
      <rPr>
        <sz val="11"/>
        <color rgb="FF0D0D0D"/>
        <rFont val="Arial"/>
      </rPr>
      <t>: Se elaboró un documento de la ruta de cualificación para  la autonomia economica, en el marco del objetivo de la Estrategia dirigido a:</t>
    </r>
    <r>
      <rPr>
        <i/>
        <sz val="11"/>
        <color rgb="FF0D0D0D"/>
        <rFont val="Arial"/>
      </rPr>
      <t xml:space="preserve"> “Fortalecer a las mujeres, en sus diferencias y diversidades, que habitan Bogotá con herramientas que aporten a la consolidación de su autonomía económica”</t>
    </r>
    <r>
      <rPr>
        <sz val="11"/>
        <color rgb="FF0D0D0D"/>
        <rFont val="Arial"/>
      </rPr>
      <t xml:space="preserve">.  En este documento se  describen las diferentes etapas por las que las ciudadanas son orientadas y acompañadas, brindando acciones diferenciadas, estas son: Difusión y orientación individual, focalización, caracterización y hoja de ruta, fortalecimiento de capacidades, direccionamiento a oportunidades y seguimiento individual. 
</t>
    </r>
  </si>
  <si>
    <t>En agosto se avanzó con el diseño del documento orientador de la Estrategia para la Autonomía Económica de las Mujeres en sus diversidades con el diseño de la ruta de cualificación para mujeres en sus diversidades, se elabora propuesta de formatos de caracterización y hoja de ruta para aplicar con las mujeres teniendo en cuenta el rediseño de la estrategia de autonomía económica.
En septiembre se realiza el proceso de alistamiento de la ruta de cualificación, se ajustan formatos de caracterización de las mujeres y de hoja de ruta. Desde Dirección de Derechos y Diseño de Políticas reportan la elaboración del contenido de Derechos Humanos para las Mujeres.
En octubre se avanza en el diseño preliminar de la ruta de acompañamiento para las mujeres en sus diversidades; se  realizó una jornada de socialización sobre el cumplimiento del Decreto 332 de 2020 en la  Secretaria Distrital de Movilidad.
Entre septiembre y noviembre se ha realizado 7 jornadas de socialización sobre el cumplimiento del Decreto 332 de 2020,con  las Alcaldías Locales de Usme, Barrios Unidos, Mártires, Santafé, Usaquén, Tunjuelito y Kennedy.
En el mes de diciembre se entregaron los documentos: i) Documento orientador de la Estrategia para la Autonomia Economica de las Mujeres y ii) Documento ruta de cualificación para la Autonomia Economica.</t>
  </si>
  <si>
    <t>N/A</t>
  </si>
  <si>
    <t>A través de la implementación de la Estrategia para la Autonomía Económica de las Mujeres - EAE, se busca generar estrategias y herramientas de cualificación con enfoque de género que aporten al empoderamiento y autonomía económica de las mujeres en toda su diversidad, mediante el desarrollo y fortalecimiento de capacidades para el empleo, emprendimiento y generación de ingresos propios.
Por otra parte mediante la consolidación de los reportes de cumplimiento del Decreto 332 de 2020 se pudo conocer la vinculación de mujeres en la ejecución de los contratos y convenios suscritos por las entidades y organismos distritales durante el I semestre del 2024.</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</si>
  <si>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</si>
  <si>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</si>
  <si>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</si>
  <si>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</si>
  <si>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</si>
  <si>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</si>
  <si>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</si>
  <si>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</si>
  <si>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</si>
  <si>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</si>
  <si>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</si>
  <si>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</si>
  <si>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</si>
  <si>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</si>
  <si>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</si>
  <si>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</si>
  <si>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</si>
  <si>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</si>
  <si>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</si>
  <si>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un documento orientador de la Estrategia de Empoderamiento y autonomía económica para las mujeres en sus diversidades.</t>
  </si>
  <si>
    <t xml:space="preserve">Se elaboró un documento orientador de la Estrategia para la Autonomía Económica de las Mujeres en sus diferencias y diversidad, el cual contiene los elementos técnicos y conceptuales que dirigen las acciones que contribuyen a la materialización de los derechos humanos de las mujeres, fortaleciendo sus habilidades y capacidades con el fin de reducir las barreras para la generación de ingresos y la empleabilidad, contribuyendo al desarrollo social y económico de la ciudad.
</t>
  </si>
  <si>
    <t>Documento orientador de la Estrategia para la Autonomia Economica de las Mujeres
https://secretariadistritald.sharepoint.com/:f:/s/BogotCaminaSegura/EkfKBb0y1hRFich3m7jOQaEBM9g-8cO1YsI6SJo_9ixE0w?e=QXJPDi</t>
  </si>
  <si>
    <t>2. Elaborar un documento de diseño de la ruta de acompañamiento para las mujeres en sus diversidades en el marco la estrategia para el empoderamiento económico</t>
  </si>
  <si>
    <t xml:space="preserve">Se elaboró un documento de la ruta de cualificación para  la autonomia económica, en el marco del objetivo de la Estrategia dirigido a: “Fortalecer a las mujeres, en sus diferencias y diversidades, que habitan Bogotá con herramientas que aporten a la consolidación de su autonomía económica”.  En este documento se  describen las diferentes etapas por las que las ciudadanas son orientadas y acompañadas, brindando acciones diferenciadas, estas son: Difusión y orientación individual, focalización, caracterización y hoja de ruta, fortalecimiento de capacidades, direccionamiento a oportunidades y seguimiento individual. 
</t>
  </si>
  <si>
    <t>Documento ruta de cualificacion para la Autonomia Economica 
https://secretariadistritald.sharepoint.com/:f:/s/BogotCaminaSegura/EkfKBb0y1hRFich3m7jOQaEBM9g-8cO1YsI6SJo_9ixE0w?e=QXJPDi</t>
  </si>
  <si>
    <t>3. Elaborar el informe consolidado de los reportes enviados por las entidades y organismos Distritales en cumplimiento del Decreto 332 de 2020.</t>
  </si>
  <si>
    <t>Esta tarea se cumplio desde el mes de agosto, para el mes de diciembre no se reportan acciones adicionales.</t>
  </si>
  <si>
    <t>*Incluir tantas filas sean necesarias</t>
  </si>
  <si>
    <t>7 de enero 2025</t>
  </si>
  <si>
    <t>Cualificar 9000 mujeres en sus diferencias y diversidades en herramientas para la autonomía económica. (Producto MGA - Servicio de educación informal)</t>
  </si>
  <si>
    <r>
      <rPr>
        <b/>
        <sz val="11"/>
        <color rgb="FF0D0D0D"/>
        <rFont val="Arial"/>
        <family val="2"/>
      </rPr>
      <t>Tarea 4</t>
    </r>
    <r>
      <rPr>
        <sz val="11"/>
        <color rgb="FF0D0D0D"/>
        <rFont val="Arial"/>
        <family val="2"/>
      </rPr>
      <t xml:space="preserve">: Para el mes de diciembre 216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
</t>
    </r>
    <r>
      <rPr>
        <b/>
        <sz val="11"/>
        <color rgb="FF0D0D0D"/>
        <rFont val="Arial"/>
        <family val="2"/>
      </rPr>
      <t>Tarea 5:</t>
    </r>
    <r>
      <rPr>
        <sz val="11"/>
        <color rgb="FF0D0D0D"/>
        <rFont val="Arial"/>
        <family val="2"/>
      </rPr>
      <t xml:space="preserve"> En el mes de diciembre se entrega un informe que consolida el proceso de cualificacion territorial, en el marco de la implementación de la Estrategia para la Autonomia Economica de las Mujeres, llevado a cabo por un equipo de 10 gestoras y gestor territoriales de la Estrategia, en 19 localidades del Distrito.
Este informe contiene el primer balance de avance de la implementación de la ruta de cualificación para las mujeres en sus diferencias y diversidades que 
proporciona a las mujeres herramientas clave para fortalecer sus habilidades socioemocionales y mejorar su gestión financiera y laboral.
</t>
    </r>
  </si>
  <si>
    <t xml:space="preserve">Durante el mes de agosto no se encontraba programada la tarea por lo tanto no se reporta avance.
*Entre septiembre y diciembre 1008 mujeres en sus diferencias y diversidad se cualificaron (primera fase - han iniciado el proceso y participado en uno de los tres módulos).
*Se continua con la difusión y orientación de mujeres, realizando a la fecha 424 registros y1217 mujeres orientadas. 
*101 espacios de cualificación presencial y virtual contando con 3478 asistencias. 
* 2 ferias para emprendedoras, organizadas desde la SDMujer, entre los meses de octubre y noviembre creando escenarios de comercialización y empoderamiento, logrando vincular a más mujeres a la ruta de cualificación.
*Se han recibido 286 casos de mujeres víctimas de violencias para la Estrategia, a quienes se les ha informado de la ruta de cualificación y se encuentran en seguimiento para direccionamiento de oportunidades.
*En el mes de diciembre se entrega un informe que consolida el proceso de cualificacion territorial,
</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</si>
  <si>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</si>
  <si>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4. Implementar la ruta de formación y acompañamiento en autonomía económica para las mujeres en sus diferencias y diversidades.</t>
  </si>
  <si>
    <t xml:space="preserve">Para el mes de diciembre 216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 llegando a la fecha entre septiembre a diciembre a un total de 1070 mujeres.
Todo ello, porque a la fecha se han realizado dos ferias de autonomía económica para mujeres para crear escenarios de comercialización y empoderamiento, logrando vincular a más mujeres a la ruta de cualificación.
</t>
  </si>
  <si>
    <t>Mujeres en ruta de cualificación 2024.
https://secretariadistritald.sharepoint.com/:f:/s/BogotCaminaSegura/EkfKBb0y1hRFich3m7jOQaEBM9g-8cO1YsI6SJo_9ixE0w?e=QXJPDi</t>
  </si>
  <si>
    <t>5. Realizar un informe  del proceso de cualificación territorial en herramientas para la autonomía económica.</t>
  </si>
  <si>
    <t xml:space="preserve">En el mes de diciembre se entrega un informe que consolida el proceso de cualificacion territorial, en el marco de la implementación de la Estrategia para la Autonomia Economica de las Mujeres, llevado a cabo por un equipo de 10 gestoras y gestor territoriales de la Estrategia, en 19 localidades del Distrito.
Este informe contiene el primer balance de avance de la implementación de la ruta de cualificación para las mujeres en sus diferencias y diversidades que 
proporciona a las mujeres herramientas clave para fortalecer sus habilidades socioemocionales y mejorar su gestión financiera y laboral.
</t>
  </si>
  <si>
    <t>Documento informe proceso de cualificación territorial.
https://secretariadistritald.sharepoint.com/:f:/s/BogotCaminaSegura/EkfKBb0y1hRFich3m7jOQaEBM9g-8cO1YsI6SJo_9ixE0w?e=QXJPDi</t>
  </si>
  <si>
    <t>Gestionar 1 portafolio de oportunidades a través de aliados públicos y privados para el empoderamiento y autonomía económica de las mujeres de Bogotá. (Producto MGA - Documento de lineamientos técnicos)</t>
  </si>
  <si>
    <r>
      <rPr>
        <b/>
        <sz val="11"/>
        <color rgb="FF0D0D0D"/>
        <rFont val="Arial"/>
        <family val="2"/>
      </rPr>
      <t xml:space="preserve">
Tarea 6:</t>
    </r>
    <r>
      <rPr>
        <sz val="11"/>
        <color rgb="FF0D0D0D"/>
        <rFont val="Arial"/>
        <family val="2"/>
      </rPr>
      <t xml:space="preserve"> En diciembre se mantuvieron y gestionaron alianzas de empleo, generación de ingresos y formación para las mujeres de Bogotá, contribuyendo así con su autonomía económica: Empleo: 37 empresas, Generación de ingresos: 8 empresas, Formación: 9 empresas y Gremios: 6 gremio.
</t>
    </r>
    <r>
      <rPr>
        <b/>
        <sz val="11"/>
        <color rgb="FF0D0D0D"/>
        <rFont val="Arial"/>
        <family val="2"/>
      </rPr>
      <t>Tarea 7</t>
    </r>
    <r>
      <rPr>
        <sz val="11"/>
        <color rgb="FF0D0D0D"/>
        <rFont val="Arial"/>
        <family val="2"/>
      </rPr>
      <t xml:space="preserve">: Se realizaron 6  reuniones de seguimiento con aliados de la Estrategia: Acicam 3/12/2024, Crepes 3/12/2024, Eficacia 3/12/2024,Super Wow 4/12/2024,Cotelco 5/12/2024 y Gelsa 19/12/2024
Igualmente en la identificación de posibles oportunidades para la autonomía económica de las mujeres se hicieron 2 reuniones con potenciales aliados:  Diaco 11/12/2024
Tigo 19/12/2024.
Se gestionaron 5  ferias y/o espacios de comercialización a través de aliados, así como por gestión propia para promover, comercializar y visibilizar los emprendimientos de las mujeres de la Estrategia. Mediante estos espacios se logró beneficiar a 26 mujeres, registrando ventas totales por $ 3.288.000.
En diciembre se realizaron 2 ferias territoriales de empleo y generación de ingresos que contaron con la participación de empresas aliadas de la Estrategia para la Autonomía Económica de las Mujeres:
- Manzana del Cuidado Usaquén (04/12/2024)
Contó con la participación de 2 empresas aliadas: CREPES &amp; WAFFLES y LUM LOGISTIC, las cuales recepcionaron 13 hojas de vida de mujeres asistentes.
- Casa de Todas (12/12/2024)
Contó con la participación de 1 empresa aliada:  NOVAVENTA, la cual orientó a 5 mujeres sobre la oportunidad de generación de ingresos. 
</t>
    </r>
    <r>
      <rPr>
        <b/>
        <sz val="11"/>
        <color rgb="FF0D0D0D"/>
        <rFont val="Arial"/>
        <family val="2"/>
      </rPr>
      <t>Tarea 8</t>
    </r>
    <r>
      <rPr>
        <sz val="11"/>
        <color rgb="FF0D0D0D"/>
        <rFont val="Arial"/>
        <family val="2"/>
      </rPr>
      <t xml:space="preserve">:Se elaboró el informe de gestión en el que se presenta el estado actual de las alianzas de la Estrategia para la Autonomía Económica de las Mujeres durante el 2024 con el sector privado, en el cual se consolidó la información y seguimiento que se realizó a cada uno, el reporte de las alianzas no vigentes y el consolidado de las ferias y/o espacios de comercialización gestionados para las emprendedoras de la Estrategia
</t>
    </r>
  </si>
  <si>
    <r>
      <rPr>
        <sz val="11"/>
        <color rgb="FF0D0D0D"/>
        <rFont val="Arial"/>
      </rPr>
      <t xml:space="preserve">En agosto se  mantuvieron y gestionaron 63 alianzas de empleo, generación de ingresos y formación para las mujeres de Bogotá.
En septiembre luego de un ejercicio de valoración de alianzas, salieron 10 aliados. Actualmente se cuenta con 56 alianzas. Avances en la gestión de seguimiento a las alianzas, el desarrollo de 4 reuniones con empresas aliadas. Se realizaron 6 reuniones con potenciales aliados. Participación de 4 mujeres emprendedoras en la feria del hogar en articulación con la  Cámara de Comercio de Bogotá. 
Para el mes de octubre se cuenta con 58 alianzas con empresas del sector privado. 
Para el mes de noviembre se cuenta con 59 alianzas con empresas del sector privado y 8 reuniones de seguimiento con los aliados y 2 reuniones adiconales con potenciales aliados.
</t>
    </r>
    <r>
      <rPr>
        <sz val="11"/>
        <color rgb="FF000000"/>
        <rFont val="Arial"/>
      </rPr>
      <t xml:space="preserve">De igual forma, entre los meses de octubre a diciembre se gestionaron 15 (quince) ferias y/o espacios de comercialización a través de aliados y 3 (tres) por gestión propia para promover, comercializar y visibilizar los emprendimientos de las mujeres de la Estrategia. Mediante estos espacios se logró beneficiar a 106 mujeres, registrando ventas totales por $ 13.876. 016
</t>
    </r>
    <r>
      <rPr>
        <sz val="11"/>
        <color rgb="FFFF0000"/>
        <rFont val="Arial"/>
      </rPr>
      <t xml:space="preserve">
</t>
    </r>
    <r>
      <rPr>
        <sz val="11"/>
        <color rgb="FF000000"/>
        <rFont val="Arial"/>
      </rPr>
      <t xml:space="preserve">Finalmente, durante los meses de noviembre y diciembre  se realizaron 5 (cinco) ferias territoriales de empleo y generación de ingresos que contaron con la participación de empresas aliadas de la Estrategia para la Autonomía Económica de las Mujeres, EFICACIA, CEMEX, NOVAVENTA, ZENU, CREPES &amp; WAFFLES, LUM LOGISTIC y NOVAVENTA.
Se elaboró el informe de gestión en el que se presenta el estado actual de las alianzas de la Estrategia para la Autonomía Económica de las Mujeres durante el 2024 con el sector privado, en el cual se consolidó la información y seguimiento que se realizó a cada uno, el reporte de las alianzas no vigentes y el consolidado de las ferias y/o espacios de comercialización gestionados para las emprendedoras de la Estrategia
</t>
    </r>
  </si>
  <si>
    <r>
      <rPr>
        <sz val="11"/>
        <color rgb="FF000000"/>
        <rFont val="Arial"/>
      </rPr>
      <t>Actualmente se cuenta con</t>
    </r>
    <r>
      <rPr>
        <b/>
        <sz val="11"/>
        <color rgb="FF000000"/>
        <rFont val="Arial"/>
      </rPr>
      <t xml:space="preserve"> 60 aliados </t>
    </r>
    <r>
      <rPr>
        <sz val="11"/>
        <color rgb="FF000000"/>
        <rFont val="Arial"/>
      </rPr>
      <t>del sector privado,</t>
    </r>
    <r>
      <rPr>
        <sz val="11"/>
        <color rgb="FF0D0D0D"/>
        <rFont val="Arial"/>
      </rPr>
      <t xml:space="preserve"> fortaleciendo cada vez más el portafolio de ofertas, a través del cual se brinda de manera permanente la oferta de programas del distrito, oportunidades de empleo, emprendimiento, generación de ingresos y programas de formación,  que benefician a las mujeres en toda su diversidad, facilitando el acceso oportuno a la información y a herramientas de cualificación para el empleo y emprendimiento, contribuyendo así a su autonomía económica.</t>
    </r>
  </si>
  <si>
    <t>6. Promover acciones y alianzas que contribuyan al empleo, la  generación de ingresos y la formación de las mujeres en sus diferencias y diversidades.</t>
  </si>
  <si>
    <t xml:space="preserve">En diciembre se mantuvieron y gestionaron alianzas de empleo, generación de ingresos y formación para las mujeres de Bogotá, contribuyendo así con su autonomía económica: Empleo: 37 empresas, Generación de ingresos: 8 empresas, Formación: 9 empresas y Gremios: 6 gremio.
</t>
  </si>
  <si>
    <t xml:space="preserve">1.	Fichas de caracterización ofertas (Excel) 
2.	Oficios Orfeo de formalización (PDF)
3.	Piezas gremios
4.	Cuadro alianzas Fichas y Orfeos (Excel)
https://secretariadistritald.sharepoint.com/:f:/s/BogotCaminaSegura/EkfKBb0y1hRFich3m7jOQaEBM9g-8cO1YsI6SJo_9ixE0w?e=QXJPDi
</t>
  </si>
  <si>
    <t>7. Realizar un reporte de seguimiento a los aliados   que integran el portafolio de oportunidades para el empoderamiento y autonomía económica para las mujeres en sus diversidades.</t>
  </si>
  <si>
    <t xml:space="preserve">Durante el mes de diciembre se realizaron 6 (seis) reuniones de seguimiento con aliados de la Estrategia: 
Acicam 3/12/2024
Crepes 3/12/2024
Eficacia 3/12/2024
Super Wow 4/12/2024
Cotelco 5/12/2024
Gelsa 19/12/2024
Es así que en la identificación de posibles oportunidades para la autonomía económica de las mujeres se hicieron 2 (dos) reuniones con potenciales aliados:  Diaco 11/12/2024
Tigo 19/12/2024.
De igual forma, en el mes de diciembre se gestionaron 5 (cinco) ferias y/o espacios de comercialización a través de aliados, así como por gestión propia para promover, comercializar y visibilizar los emprendimientos de las mujeres de la Estrategia. Mediante estos espacios se logró beneficiar a 26 mujeres, registrando ventas totales por $ 3.288.000.
En diciembre se realizaron 2 (dos) ferias territoriales de empleo y generación de ingresos que contaron con la participación de empresas aliadas de la Estrategia para la Autonomía Económica de las Mujeres:
- Manzana del Cuidado Usaquén (04/12/2024)
Contó con la participación de 2 empresas aliadas: CREPES &amp; WAFFLES y LUM LOGISTIC, las cuales recepcionaron 13 hojas de vida de mujeres asistentes.
- Casa de Todas (12/12/2024) Contó con la participación de 1 empresa aliada:  NOVAVENTA, la cual orientó a 5 mujeres sobre la oportunidad de generación de ingresos. 
</t>
  </si>
  <si>
    <t xml:space="preserve">5.	Reporte seguimiento alianzas (excel).
6.	Estado alianzas (Excel).
7.	Actas reuniones de seguimiento y potenciales aliados.
8.	Seguimiento direccionamiento a oportunidades emprendimiento (Excel).
9.	Prechequeo eventos presenciales (Excel).
https://secretariadistritald.sharepoint.com/:f:/s/BogotCaminaSegura/EkfKBb0y1hRFich3m7jOQaEBM9g-8cO1YsI6SJo_9ixE0w?e=QXJPDi
</t>
  </si>
  <si>
    <t>8. Realizar un informe de las alianzas que integran el portafolio de oportunidades para el empoderamiento y autonomía económica para las mujeres en sus diversidades</t>
  </si>
  <si>
    <t>Se elaboró el informe de gestión en el que se presenta el estado actual de las alianzas de la Estrategia para la Autonomía Económica de las Mujeres durante el 2024 con el sector privado, en el cual se consolidó la información y seguimiento que se realizó a cada uno, el reporte de las alianzas no vigentes y el consolidado de las ferias y/o espacios de comercialización gestionados para las emprendedoras de la Estrategia</t>
  </si>
  <si>
    <t xml:space="preserve">10.	Informe gestión de alianzas 2024
https://secretariadistritald.sharepoint.com/:f:/s/BogotCaminaSegura/EkfKBb0y1hRFich3m7jOQaEBM9g-8cO1YsI6SJo_9ixE0w?e=QXJPDi
</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</si>
  <si>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</si>
  <si>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</si>
  <si>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</si>
  <si>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</si>
  <si>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</si>
  <si>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</si>
  <si>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</si>
  <si>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</si>
  <si>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</si>
  <si>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</si>
  <si>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</si>
  <si>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</si>
  <si>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</si>
  <si>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</si>
  <si>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</si>
  <si>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</si>
  <si>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Página 2 de 4</t>
  </si>
  <si>
    <t xml:space="preserve">PROGRAMACIÓN </t>
  </si>
  <si>
    <t>SOLUCIONES PROPUESTAS PARA RESOLVER LOS RETRASOS Y FACTORES LIMITANTES PARA EL CUMPLIMIENTO</t>
  </si>
  <si>
    <t>x</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</si>
  <si>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</si>
  <si>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</si>
  <si>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</si>
  <si>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</si>
  <si>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</si>
  <si>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</si>
  <si>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</si>
  <si>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</si>
  <si>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</si>
  <si>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</si>
  <si>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Cualificar 9.000 mujeres, en sus diferencias y diversidades, en herramientas para la autonomía económica.</t>
  </si>
  <si>
    <t>Desarrollar 1 estrategia para potenciar las habilidades y capacidades de las mujeres en sus diversidades que aporten a su empoderamiento y autonomía económica</t>
  </si>
  <si>
    <t xml:space="preserve">Documento de la estrategia para potenciar las habilidades y capacidades de las mujeres en sus diversidades </t>
  </si>
  <si>
    <t xml:space="preserve">Un documento orientador </t>
  </si>
  <si>
    <t xml:space="preserve">Constante </t>
  </si>
  <si>
    <t>número</t>
  </si>
  <si>
    <t>Documento anual actualizado</t>
  </si>
  <si>
    <t>Subsecretaría del Cuidado y Políticas de Igualdad</t>
  </si>
  <si>
    <t>anual</t>
  </si>
  <si>
    <t>Plan de acción del proyecto</t>
  </si>
  <si>
    <t xml:space="preserve">Documento orientador de la Estrategia para la Autonomia Economica de las Mujeres.
https://secretariadistritald.sharepoint.com/:f:/s/BogotCaminaSegura/EkfKBb0y1hRFich3m7jOQaEBM9g-8cO1YsI6SJo_9ixE0w?e=QXJPDi
</t>
  </si>
  <si>
    <t xml:space="preserve">Entre los meses de septiembre y diciembre se elaboró un documento orientador de la Estrategia para la Autonomía Económica de las Mujeres en sus diferencias y diversidad, el cual contiene los elementos técnicos y conceptuales que dirigen las acciones que contribuyen a la materialización de los derechos humanos de las mujeres, fortaleciendo sus habilidades y capacidades con el fin de reducir las barreras para la generación de ingresos y la empleabilidad, contribuyendo al desarrollo social y económico de la ciudad
</t>
  </si>
  <si>
    <t>decreciente</t>
  </si>
  <si>
    <t>Informes consolidados, elaborados a partir de los reportes enviados por las entidades y organismos distritales en cumplimiento del Decreto 332/2020.</t>
  </si>
  <si>
    <t>Número de informes consolidados, elaborados a partir de los reportes enviados por las entidades y organismos distritales en cumplimiento del Decreto 332/2020.</t>
  </si>
  <si>
    <t>Suma</t>
  </si>
  <si>
    <t>Informes semestral consolidado.</t>
  </si>
  <si>
    <t xml:space="preserve">semestral </t>
  </si>
  <si>
    <t xml:space="preserve">Actividad cumplida en el mes de agosto, en el mes de diciembre no se reportan acciones adicionales </t>
  </si>
  <si>
    <t>*Se cumplió en agosto.
*Entre septiembre y noviembre se ha realizado 7 jornadas de socialización sobre el cumplimiento del Decreto 332 de 2020,con  las Alcaldías Locales de Usme, Barrios Unidos, Mártires, Santafé, Usaquén, Tunjuelito y Kennedy.se  realizó una jordana de socialización sobre el cumplimiento del Decreto 332 de 2020 en la  Secretaria Distrital de Movilidad.</t>
  </si>
  <si>
    <t>Cualificar 9.000 mujeres en sus diferencias y diversidades en herramientas para la autonomía económica.</t>
  </si>
  <si>
    <t>Mujeres cualificadas</t>
  </si>
  <si>
    <t>Número de mujeres cualificadas</t>
  </si>
  <si>
    <t>Se  suma el número de mujeres formadas por vigencia</t>
  </si>
  <si>
    <t>mensual</t>
  </si>
  <si>
    <t>Plan de acción del proyecto - SIMISIONAL</t>
  </si>
  <si>
    <t>Para el mes de diciembre 216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t>
  </si>
  <si>
    <t xml:space="preserve">Mujeres en ruta de cualificación.
https://secretariadistritald.sharepoint.com/:f:/s/BogotCaminaSegura/EkfKBb0y1hRFich3m7jOQaEBM9g-8cO1YsI6SJo_9ixE0w?e=QXJPDi
</t>
  </si>
  <si>
    <t>Durante el mes de agosto no se encontraba programada la tarea por lo tanto no se reporta avance.
*Entre septiembre y diciembre 1008 mujeres en sus diferencias y diversidad se cualificaron (primera fase - han iniciado el proceso y participado en uno de los tres módulos).
*Se continua con la difusión y orientación de mujeres, realizando a la fecha 424 registros y1217 mujeres orientadas. 
*101 espacios de cualificación presencial y virtual contando con 3478 asistencias. 
* 2 ferias para emprendedoras, organizadas desde la SDMujer, entre los meses de octubre y noviembre creando escenarios de comercialización y empoderamiento, logrando vincular a más mujeres a la ruta de cualificación.
*Se han recibido 286 casos de mujeres víctimas de violencias para la Estrategia, a quienes se les ha informado de la ruta de cualificación y se encuentran en seguimiento para direccionamiento de oportunidades.
*En el mes de diciembre se entrega un informe que consolida el proceso de cualificacion territorial,</t>
  </si>
  <si>
    <t>suma</t>
  </si>
  <si>
    <t>Alianzas que contribuyan al empleo, la  generación de ingresos y la formación de las mujeres en sus diferencias y diversidades</t>
  </si>
  <si>
    <t>Número de alianzas que contribuyan al empleo, la  generación de ingresos y la formación de las mujeres en sus diferencias y diversidades</t>
  </si>
  <si>
    <t>El portafolio de alianzas es constante, como mínimo se deben mantener 50 alianzas mensuales</t>
  </si>
  <si>
    <t xml:space="preserve">Durante el mes de diciembre de 2024 se presentaron los siguientes avances para mantener y gestionar alianzas de empleo, generación de ingresos y formación para las mujeres de Bogotá, contribuyendo así con su autonomía económica:
Empleo: 37 empresas
Generación de ingresos: 8 empresas
Formación: 9 empresas
Gremios: 6 gremios
</t>
  </si>
  <si>
    <t xml:space="preserve">1.	Fichas de caracterización ofertas (Excel) 
2.	Oficios Orfeo de formalización (PDF)
3.	Piezas gremios
4.	Cuadro alianzas Fichas y Orfeos (Excel)
https://secretariadistritald.sharepoint.com/:f:/s/BogotCaminaSegura/EkfKBb0y1hRFich3m7jOQaEBM9g-8cO1YsI6SJo_9ixE0w?e=QXJPDi
</t>
  </si>
  <si>
    <t>* En agosto se  mantuvieron y gestionaron 63 alianzas de empleo, generación de ingresos y formación para las mujeres de Bogotá.
*En septiembre luego de un ejercicio de valoración de alianzas, salieron 10 aliados, quedando activas 56 alianzas.
*En octubre se consolidan 58 alianzas con empresas del sector privado.
*Para el mes de noviembre se cuenta con 59 alianzas con empresas del sector privado y 8 reuniones de seguimiento con los aliados y 2 reuniones adiconales con potenciales aliados.
* El mes de diciembre cierra con 60 alianzas con empresas del sector privado.</t>
  </si>
  <si>
    <t>creciente</t>
  </si>
  <si>
    <t>ELABORÓ</t>
  </si>
  <si>
    <t>Firma:</t>
  </si>
  <si>
    <t>APROBÓ (Según aplique Gerenta de proyecto, Líder técnica y responsable de proceso)</t>
  </si>
  <si>
    <t>REVISÓ OFICINA ASESORA DE PLANEACIÓN</t>
  </si>
  <si>
    <t xml:space="preserve">VoBo. </t>
  </si>
  <si>
    <t>Nombre: Ana Daniela Pineda - Sandra Milena Díaz - Iván Felipe Vargas Aldana</t>
  </si>
  <si>
    <t>Nombre: Lina Tatiana Lozano Ruíz</t>
  </si>
  <si>
    <t>Nombre:</t>
  </si>
  <si>
    <t>Nombre: Carlos Alfonso Gaitán Sánchez</t>
  </si>
  <si>
    <t>Cargo: Contratistas SCPI</t>
  </si>
  <si>
    <t>Cargo: Subsecretaria del Cuidado y Políticas de Igualdad (E)
         Líder Técnica Proyecto de Inversión 8232</t>
  </si>
  <si>
    <t xml:space="preserve">Cargo: </t>
  </si>
  <si>
    <t>Cargo: Jefe Oficina Asesora de Planeación</t>
  </si>
  <si>
    <t>Código: DE-FO-05</t>
  </si>
  <si>
    <t xml:space="preserve">FORMULACIÓN Y SEGUIMIENTO PLAN DE ACCIÓN </t>
  </si>
  <si>
    <t>ANEXO - TERRITORIALIZACIÓN</t>
  </si>
  <si>
    <t>Página 3 de 4</t>
  </si>
  <si>
    <t xml:space="preserve">SEGUIMIENTO </t>
  </si>
  <si>
    <t>FECHA DE REPORTE:</t>
  </si>
  <si>
    <t>INDICADOR / ACTIVIDAD:</t>
  </si>
  <si>
    <t>M2. Cualificar 9000 mujeres en sus diferencias y diversidades en herramientas para la autonomía económica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</si>
  <si>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</si>
  <si>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</si>
  <si>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</si>
  <si>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</si>
  <si>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</si>
  <si>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</si>
  <si>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</si>
  <si>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</si>
  <si>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</si>
  <si>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</si>
  <si>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</si>
  <si>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</si>
  <si>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</si>
  <si>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</si>
  <si>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</si>
  <si>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</si>
  <si>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</si>
  <si>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</si>
  <si>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</si>
  <si>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$ 39.783.750,00</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</si>
  <si>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</si>
  <si>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</si>
  <si>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</si>
  <si>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</si>
  <si>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</si>
  <si>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</si>
  <si>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</si>
  <si>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</si>
  <si>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</si>
  <si>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</si>
  <si>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</si>
  <si>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</si>
  <si>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</si>
  <si>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</si>
  <si>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</si>
  <si>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</si>
  <si>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</si>
  <si>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</si>
  <si>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</si>
  <si>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</si>
  <si>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</si>
  <si>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Territorialización Gestoras M1</t>
  </si>
  <si>
    <t>Territorialización Gestoras M2</t>
  </si>
  <si>
    <t>Página 4 de 4</t>
  </si>
  <si>
    <t>CONTROL DE CAMBIOS EN EL PLAN DE ACCIÓN</t>
  </si>
  <si>
    <t>Fecha de aprobación</t>
  </si>
  <si>
    <t>Cambio</t>
  </si>
  <si>
    <t>Justificación del cambio</t>
  </si>
  <si>
    <t xml:space="preserve">Re programación de la actividad 2. 
</t>
  </si>
  <si>
    <t>Desde el incio del proyecto de inversión, el equipo técnico y territorial ha venido realizando el proceso de focalización y caracterización de las mujeres para su cualificación en herramientas para la autonomía económica, sin embargo los tiempos disponibles de las mujeres han dificultado cumplir con la programación inicial planteada para la meta, es decir, las mujeres inician la ruta sin embargo por las dinámicas propias de ellas y los criterios mínimos para dar por cumplida su cualificación, esta no se alcanza en un solo mes, es por esto, que se propone hacer el ajuste al cumplimiento mensual, para posibilitar que las mujeres desarrollen su cualificación a corde a su disponibilidad y particularidades para poder entregar el reporte de cumplimiento sin rezagos. Es preciso aclarar que el indicador de medida son mujeres cualificadas no orientadas/informadas, focalizadas o caracterizadas, por ello, otro de los argumentos a informar es que las mujeres están reconociendo esta nueva estrategia e iniciando su cualificación, sin embargo, como se mencionó antes se propone flexibilizar los tiempos para ellas, reconociendo los aspectos socioculturales que las afectan.</t>
  </si>
  <si>
    <t>Modificación valor metas</t>
  </si>
  <si>
    <t>Se solicita modificación del valor de las metas del 8232 - Implementación de estrategias para el empoderamiento económico de las mujeres en toda su diversidad en Bogotá D.C,.lo anterior en el marco de traslado presupuestal entre proyectos de inversión realizado en el mes de octubre de 2024 por valor de Vieintiséis millones de pesos m/cte. ($26.000.000), el cual quedó en firme través de la Resolución No 387 del 11 de octubre de 2024 “Por medio de la cual se efectúa modificación en el Presupuesto de Gastos e Inversiones de la Secretaría Distrital de la Mujer para la vigencia fiscal comprendida entre el 1 de enero y el 31 de diciembre de 2024”.</t>
  </si>
  <si>
    <t>Se solicita modificación del valor de las metas del 8232 - Implementación de estrategias para el empoderamiento económico de las mujeres en toda su diversidad en Bogotá D.C., debido a la necesidad de realizar adiciones de contratos de prestación de servicios para garantizar la continuidad de la gestión de la Subsecretaría durante el paso de una vigencia a la otra, tanto en las actividades administrativas como en las misionales, es decir,continuar la atención en la estrategia de autonomía económica.</t>
  </si>
  <si>
    <t>Meta</t>
  </si>
  <si>
    <t>Recursos 2024</t>
  </si>
  <si>
    <t>Porcentaje</t>
  </si>
  <si>
    <t>Producto MGA</t>
  </si>
  <si>
    <t>Programación 2024</t>
  </si>
  <si>
    <t>Recursos programados octubre</t>
  </si>
  <si>
    <t>Recursos comprometidos octubre</t>
  </si>
  <si>
    <t>%</t>
  </si>
  <si>
    <t>Giros programados agosto</t>
  </si>
  <si>
    <t>Giros comprometidos agosto</t>
  </si>
  <si>
    <t>Giros programados septiembre</t>
  </si>
  <si>
    <t>Giros comprometidos septiembre</t>
  </si>
  <si>
    <t>Giros programados octubre</t>
  </si>
  <si>
    <t>Giros comprometidos octubre</t>
  </si>
  <si>
    <t>Giros programados noviembre</t>
  </si>
  <si>
    <t>Giros comprometidos noviembre</t>
  </si>
  <si>
    <t>Giros programados Diciembre</t>
  </si>
  <si>
    <t>Giros comprometidos Diciembre</t>
  </si>
  <si>
    <t>Servicio de educación informal</t>
  </si>
  <si>
    <t>Documentos de lineamientos técnicos</t>
  </si>
  <si>
    <t>PROGRAMACIÓN INICIAL PROYECTO</t>
  </si>
  <si>
    <t>Recursos programados agosto</t>
  </si>
  <si>
    <t>Recursos comprometidos agosto</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</si>
  <si>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</si>
  <si>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</si>
  <si>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</si>
  <si>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</si>
  <si>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</si>
  <si>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</si>
  <si>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</si>
  <si>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</si>
  <si>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</si>
  <si>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</si>
  <si>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</si>
  <si>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</si>
  <si>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</si>
  <si>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</si>
  <si>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</si>
  <si>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</si>
  <si>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</si>
  <si>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</si>
  <si>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</si>
  <si>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</si>
  <si>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</si>
  <si>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</si>
  <si>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</si>
  <si>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</si>
  <si>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</si>
  <si>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</si>
  <si>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</si>
  <si>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</si>
  <si>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</si>
  <si>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</si>
  <si>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</si>
  <si>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</si>
  <si>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</si>
  <si>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</si>
  <si>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</si>
  <si>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</si>
  <si>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</si>
  <si>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</si>
  <si>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</si>
  <si>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</si>
  <si>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</si>
  <si>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Proyecto</t>
  </si>
  <si>
    <t>Honorarios</t>
  </si>
  <si>
    <t>Fecha inicio cto</t>
  </si>
  <si>
    <t>Fecha final cto</t>
  </si>
  <si>
    <t>Dependencia</t>
  </si>
  <si>
    <t>prog.ago (giro sep)</t>
  </si>
  <si>
    <t>giros.sep</t>
  </si>
  <si>
    <t>prog.sep (giro oct)</t>
  </si>
  <si>
    <t>giros.oct</t>
  </si>
  <si>
    <t>prog.oct (giro nov)</t>
  </si>
  <si>
    <t>giros.nov</t>
  </si>
  <si>
    <t>prog.nov (giro dic)</t>
  </si>
  <si>
    <t>giros.dic</t>
  </si>
  <si>
    <t>prog.dic (giro ene)</t>
  </si>
  <si>
    <t>giros.ene</t>
  </si>
  <si>
    <t>saldo a liberar (2do pago / liberación)</t>
  </si>
  <si>
    <t>Total Giros</t>
  </si>
  <si>
    <t>META 1</t>
  </si>
  <si>
    <t>META 2</t>
  </si>
  <si>
    <t>META 3</t>
  </si>
  <si>
    <t>0121-01</t>
  </si>
  <si>
    <t>145</t>
  </si>
  <si>
    <t>CONTRATO DE PRESTACION DE SERVICIOS PROFESIONALES</t>
  </si>
  <si>
    <t>1276</t>
  </si>
  <si>
    <t>151</t>
  </si>
  <si>
    <t>02</t>
  </si>
  <si>
    <t>ORDENES DE PAGO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</si>
  <si>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</si>
  <si>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O23011745022024031809034</t>
  </si>
  <si>
    <t>1-100-F001</t>
  </si>
  <si>
    <t>VA-Recursos distrito</t>
  </si>
  <si>
    <t>O232020200991114</t>
  </si>
  <si>
    <t>Servicios de planificación económica, social y estadística de la administración publica</t>
  </si>
  <si>
    <t>PM/0121/0109/45020340318</t>
  </si>
  <si>
    <t/>
  </si>
  <si>
    <t>10</t>
  </si>
  <si>
    <t>CONTRATACIÓN DIRECTA</t>
  </si>
  <si>
    <t>1004525765</t>
  </si>
  <si>
    <t>CC</t>
  </si>
  <si>
    <t>1020740687</t>
  </si>
  <si>
    <t>GINA PATRICIA MONTEALEGRE PAEZ</t>
  </si>
  <si>
    <t>1329</t>
  </si>
  <si>
    <t>148</t>
  </si>
  <si>
    <t>Prestar servicios profesionales para apoyar la Subsecretaría del Cuidado y Políticas de Igualdad en el componente de alianzas de la estrategia de autonomía económica para las mujeres en sus diversidades.</t>
  </si>
  <si>
    <t>O232020200991114 - Servicios de planificación económica, social y estadística de la administración publica</t>
  </si>
  <si>
    <t>1007757724</t>
  </si>
  <si>
    <t>52968743</t>
  </si>
  <si>
    <t>MARIA ALEJANDRA MILLAN</t>
  </si>
  <si>
    <t>1330</t>
  </si>
  <si>
    <t>Prestar servicios profesionales para apoyar la coordinación de las estrategias a cargo de la Subsecretaría del Cuidado y Políticas de Igualdad, así como, la elaboración de conceptos y/o lineamientos relacionados con los enfoques de derechos humanos de las mujeres, género, diferencial e interseccional.</t>
  </si>
  <si>
    <t>1008913804</t>
  </si>
  <si>
    <t>53911723</t>
  </si>
  <si>
    <t>ANA MARIA OSPINA PEDRAZA</t>
  </si>
  <si>
    <t>1453</t>
  </si>
  <si>
    <t>Prestar servicios profesionales para apoyar las acciones técnicas y territoriales que se deriven de la implementaciónde los proyectos de inversión a cargo de la Subsecretaría del Cuidado y Políticas de Igualdad.</t>
  </si>
  <si>
    <t>1000317171</t>
  </si>
  <si>
    <t>52253908</t>
  </si>
  <si>
    <t>SANDRA MILENA DIAZ AREVALO</t>
  </si>
  <si>
    <t>1469</t>
  </si>
  <si>
    <t>144</t>
  </si>
  <si>
    <t>Prestar servicios profesionales para apoyar la coordinación de la estrategia distrital para la autonomía económica de las mujeres en sus diversidades a cargo de la Subsecretaría del Cuidado y Políticas de Igualdad, así como, la elaboración de conceptos y/o lineamientos relacionados con los enfoques de derechos humanos de las mujeres género, diferencial e interseccional.</t>
  </si>
  <si>
    <t>1012068886</t>
  </si>
  <si>
    <t>1098729713</t>
  </si>
  <si>
    <t>ANA DANIELA PINEDA TOBASIA</t>
  </si>
  <si>
    <t>1578</t>
  </si>
  <si>
    <t>135</t>
  </si>
  <si>
    <t>Prestar servicios profesionales para apoyar a la Subsecretaría del Cuidado y Políticas de Igualdad en la coordinación, seguimiento y monitoreo del equipo territorial de la estrategia de autonomía económica para las mujeres.</t>
  </si>
  <si>
    <t>1000278132</t>
  </si>
  <si>
    <t>1026269732</t>
  </si>
  <si>
    <t>LINDA KATHERINE QUIROGA NIETO</t>
  </si>
  <si>
    <t>1635</t>
  </si>
  <si>
    <t>137</t>
  </si>
  <si>
    <t>Prestar servicios profesionales para apoyar la elaboración y revisión de documentos e informes relacionados con las acciones técnicas y territoriales que se deriven de la implementación de los proyectos de inversión a cargo de la Subsecretaría del Cuidado y Políticas de Igualdad.</t>
  </si>
  <si>
    <t>1002161261</t>
  </si>
  <si>
    <t>1117492089</t>
  </si>
  <si>
    <t>ANA MARIA OCHOA TRUJILLO</t>
  </si>
  <si>
    <t>1719</t>
  </si>
  <si>
    <t>131</t>
  </si>
  <si>
    <t>Prestar servicios profesionales la Subsecretaría del Cuidado y Políticas de Igualdad para apoyar la implementación territorial de la estrategia de autonomía económica para las mujeres&lt;(&gt;,&lt;)&gt;​ en las localidades que le sean asignadas.</t>
  </si>
  <si>
    <t>O232020200992913</t>
  </si>
  <si>
    <t>Servicios de educación para la formación y el trabajo</t>
  </si>
  <si>
    <t>1000238245</t>
  </si>
  <si>
    <t>1015441119</t>
  </si>
  <si>
    <t>YENIFER CATERIN CONTRERAS CAIPA</t>
  </si>
  <si>
    <t>1720</t>
  </si>
  <si>
    <t>1000475708</t>
  </si>
  <si>
    <t>1014269721</t>
  </si>
  <si>
    <t>ANGELA MARIA BELTRAN ISAZA</t>
  </si>
  <si>
    <t>1721</t>
  </si>
  <si>
    <t>Prestar servicios profesionales la Subsecretaría del Cuidado y Políticas de Igualdad para apoyar la implementación territorial de la estrategia de autonomía económica para las mujeres, en las localidades que le sean asignadas.</t>
  </si>
  <si>
    <t>1012483485</t>
  </si>
  <si>
    <t>1032503576</t>
  </si>
  <si>
    <t>DANIEL EDUARDO LOPEZ RONCANCIO</t>
  </si>
  <si>
    <t>1735</t>
  </si>
  <si>
    <t>125</t>
  </si>
  <si>
    <t>1000185522</t>
  </si>
  <si>
    <t>52815152</t>
  </si>
  <si>
    <t>DIANA CAROLINA GALEANO PABON</t>
  </si>
  <si>
    <t>1736</t>
  </si>
  <si>
    <t>1000728434</t>
  </si>
  <si>
    <t>1121829610</t>
  </si>
  <si>
    <t>DIANA CAROLINA BAQUERO MARTINEZ</t>
  </si>
  <si>
    <t>1739</t>
  </si>
  <si>
    <t>123</t>
  </si>
  <si>
    <t>1000284886</t>
  </si>
  <si>
    <t>1015430439</t>
  </si>
  <si>
    <t>GLORIA LORENA CALDERON NIÑO</t>
  </si>
  <si>
    <t>1740</t>
  </si>
  <si>
    <t>1000316106</t>
  </si>
  <si>
    <t>1014244390</t>
  </si>
  <si>
    <t>KAREN JULIETH GONGORA ARIAS</t>
  </si>
  <si>
    <t>1757</t>
  </si>
  <si>
    <t>1000176008</t>
  </si>
  <si>
    <t>52810740</t>
  </si>
  <si>
    <t>IVONE ROCIO PEÑA CASTAÑEDA</t>
  </si>
  <si>
    <t>1758</t>
  </si>
  <si>
    <t>Prestar servicios profesionales la Subsecretaría del Cuidado y Políticas de Igualdad para apoyar la implementación territorial de la estrategia de autonomía económica para las mujeres&lt;(&gt;,&lt;)&gt;​ en las localidades que le sean asignadas</t>
  </si>
  <si>
    <t>1010805133</t>
  </si>
  <si>
    <t>1015404486</t>
  </si>
  <si>
    <t>LAURA ANDREA SALGADO MARTINEZ</t>
  </si>
  <si>
    <t>1759</t>
  </si>
  <si>
    <t>1013639936</t>
  </si>
  <si>
    <t>1152218940</t>
  </si>
  <si>
    <t>NATALIA  GOMEZ MEZA</t>
  </si>
  <si>
    <t>M1</t>
  </si>
  <si>
    <t>M2</t>
  </si>
  <si>
    <t>M3</t>
  </si>
  <si>
    <t>Finalizar vigenia</t>
  </si>
  <si>
    <t>Maria Alejandra Millán (alianzas)</t>
  </si>
  <si>
    <t>Sandra Milena Díaz (apoyo transversal)</t>
  </si>
  <si>
    <t>Ana Daniela Pineda (líder Estrategia</t>
  </si>
  <si>
    <t>Linda Katherine Quiroga (líder territorial)</t>
  </si>
  <si>
    <t>Ana María Ospina</t>
  </si>
  <si>
    <t>Reseva pptal</t>
  </si>
  <si>
    <t>Gina Patricia Montealegre</t>
  </si>
  <si>
    <t>Techo presupuestal</t>
  </si>
  <si>
    <t xml:space="preserve">Comprometido (RP) </t>
  </si>
  <si>
    <t>X comprometer</t>
  </si>
  <si>
    <t>Liberaciones sep</t>
  </si>
  <si>
    <t>Liberaciones oct</t>
  </si>
  <si>
    <t>Por comprometer + liberaciones</t>
  </si>
  <si>
    <t>Traslado (oct-nov)</t>
  </si>
  <si>
    <t>PROYECCIÓN RECURSOS X COMPROMETER</t>
  </si>
  <si>
    <t>Proyección adiciones (completar vigencia)</t>
  </si>
  <si>
    <t>Proyección adiciones (reserva pptal)</t>
  </si>
  <si>
    <t>Posible saldo sin ejecutar EAE</t>
  </si>
  <si>
    <t>Posible convenio transmilenio</t>
  </si>
  <si>
    <t>Nuevo saldo sin ejecutar</t>
  </si>
  <si>
    <t xml:space="preserve"> CONCEPTO </t>
  </si>
  <si>
    <t xml:space="preserve"> VALOR </t>
  </si>
  <si>
    <t xml:space="preserve"> PRESUPUESTO ASIGNADO 2024 </t>
  </si>
  <si>
    <t>Adiciones vigencia</t>
  </si>
  <si>
    <t xml:space="preserve"> VALOR COMPROMETIDO A 25/OCT/2024 </t>
  </si>
  <si>
    <t>Adiciones 2025</t>
  </si>
  <si>
    <t xml:space="preserve"> SALDO POR UTILIZAR (1) </t>
  </si>
  <si>
    <t xml:space="preserve"> LIBERACIONES SEGUNDO PAGO (2)* </t>
  </si>
  <si>
    <t xml:space="preserve"> SALDO DEL PROYECTO (1) + (2) = 3 </t>
  </si>
  <si>
    <t>Total Proyecto</t>
  </si>
  <si>
    <t>Pesos en millones</t>
  </si>
  <si>
    <t xml:space="preserve">TRASLADO DE RECURSOS (4) </t>
  </si>
  <si>
    <t xml:space="preserve">Valor total Proyectos </t>
  </si>
  <si>
    <t xml:space="preserve"> TOTAL, PRESUPUESTO DISPONIBLE (3) + (4) </t>
  </si>
  <si>
    <t>Valor total de Giros Agosto</t>
  </si>
  <si>
    <t xml:space="preserve"> MODIFICACIONES PAABS SOLICITADAS EN OCTUBRE  </t>
  </si>
  <si>
    <t>Valor total de Giros Septiembre</t>
  </si>
  <si>
    <t xml:space="preserve"> SALDO DISPONIBLE** </t>
  </si>
  <si>
    <t>Valor total de Giros Octubre</t>
  </si>
  <si>
    <t>Adiciones enero 15 días, 3 personas (por aprobar)</t>
  </si>
  <si>
    <t>Valor total de Giros Noviembre</t>
  </si>
  <si>
    <t xml:space="preserve"> POSIBLE SALDO SIN EJECUTAR AL CIERRE DE VIGENCIA </t>
  </si>
  <si>
    <t>Valor total de Giros Diciembre (por pagar en Enero)</t>
  </si>
  <si>
    <t xml:space="preserve">Propuesta convenio Transmilenio </t>
  </si>
  <si>
    <t>Reservas 2025 (OPS)</t>
  </si>
  <si>
    <t xml:space="preserve"> DIAS ADICIÓN </t>
  </si>
  <si>
    <t xml:space="preserve"> VALOR  </t>
  </si>
  <si>
    <t>Reservas 2025 (Otros)</t>
  </si>
  <si>
    <t>Alianzas estratégicas EAE</t>
  </si>
  <si>
    <t>Apoyo transversal</t>
  </si>
  <si>
    <t>Líder EAE</t>
  </si>
  <si>
    <t>Líder territorial</t>
  </si>
  <si>
    <t>Enlace técnico Subsecretaría</t>
  </si>
  <si>
    <t xml:space="preserve"> TOTAL</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</si>
  <si>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</si>
  <si>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</si>
  <si>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</si>
  <si>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</si>
  <si>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</si>
  <si>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</si>
  <si>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</si>
  <si>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</si>
  <si>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</si>
  <si>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</si>
  <si>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</si>
  <si>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</si>
  <si>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</si>
  <si>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rPr>
        <sz val="11"/>
        <color theme="1"/>
        <rFont val="Calibri"/>
        <family val="2"/>
        <scheme val="minor"/>
      </rP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</si>
  <si>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</si>
  <si>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</si>
  <si>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</si>
  <si>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</si>
  <si>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</si>
  <si>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</si>
  <si>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</si>
  <si>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</si>
  <si>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</si>
  <si>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</si>
  <si>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</si>
  <si>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</si>
  <si>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</si>
  <si>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</si>
  <si>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</si>
  <si>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</si>
  <si>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</si>
  <si>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</si>
  <si>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</si>
  <si>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</si>
  <si>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</si>
  <si>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</si>
  <si>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</si>
  <si>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</si>
  <si>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</si>
  <si>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</si>
  <si>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</si>
  <si>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Casas</t>
  </si>
  <si>
    <t>Mayores (Igual o superior a 60 años)</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</si>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</sst>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Red]\-&quot;$&quot;\ #,##0"/>
    <numFmt numFmtId="165" formatCode="_-&quot;$&quot;\ * #,##0.00_-;\-&quot;$&quot;\ * #,##0.00_-;_-&quot;$&quot;\ * &quot;-&quot;??_-;_-@_-"/>
    <numFmt numFmtId="166" formatCode="_-* #,##0.00\ _€_-;\-* #,##0.00\ _€_-;_-* &quot;-&quot;??\ _€_-;_-@_-"/>
    <numFmt numFmtId="167" formatCode="_-* #,##0\ _€_-;\-* #,##0\ _€_-;_-* &quot;-&quot;\ _€_-;_-@_-"/>
    <numFmt numFmtId="168" formatCode="_-&quot;$&quot;* #,##0.00_-;\-&quot;$&quot;* #,##0.00_-;_-&quot;$&quot;* &quot;-&quot;??_-;_-@_-"/>
    <numFmt numFmtId="169" formatCode="_ &quot;$&quot;\ * #,##0.00_ ;_ &quot;$&quot;\ * \-#,##0.00_ ;_ &quot;$&quot;\ * &quot;-&quot;??_ ;_ @_ "/>
    <numFmt numFmtId="170" formatCode="_(&quot;$&quot;\ * #,##0.00_);_(&quot;$&quot;\ * \(#,##0.00\);_(&quot;$&quot;\ * &quot;-&quot;??_);_(@_)"/>
    <numFmt numFmtId="171" formatCode="&quot;$&quot;\ #,##0"/>
    <numFmt numFmtId="172" formatCode="&quot;$&quot;\ #,##0.00"/>
    <numFmt numFmtId="173" formatCode="#,##0_ ;\-#,##0\ "/>
    <numFmt numFmtId="174" formatCode="0.0%"/>
    <numFmt numFmtId="175" formatCode="0.000000%"/>
    <numFmt numFmtId="176" formatCode="_-[$$-240A]\ * #,##0.00_-;\-[$$-240A]\ * #,##0.00_-;_-[$$-240A]\ * &quot;-&quot;??_-;_-@_-"/>
    <numFmt numFmtId="177" formatCode="#,##0.0"/>
    <numFmt numFmtId="178" formatCode="_-* #,##0.0\ _€_-;\-* #,##0.0\ _€_-;_-* &quot;-&quot;\ _€_-;_-@_-"/>
    <numFmt numFmtId="179" formatCode="_-* #,##0\ _€_-;\-* #,##0\ _€_-;_-* &quot;-&quot;??\ _€_-;_-@_-"/>
    <numFmt numFmtId="180" formatCode="0.000"/>
    <numFmt numFmtId="181" formatCode="#,##0;[Red]#,##0"/>
    <numFmt numFmtId="182" formatCode="0.00000"/>
    <numFmt numFmtId="183" formatCode="0.0000"/>
  </numFmts>
  <fonts count="94">
    <font>
      <sz val="11"/>
      <color theme="1"/>
      <name val="Calibri"/>
      <charset val="134"/>
      <scheme val="minor"/>
    </font>
    <font>
      <sz val="11"/>
      <color theme="1"/>
      <name val="Calibri"/>
      <family val="2"/>
      <scheme val="minor"/>
    </font>
    <font>
      <sz val="11"/>
      <color theme="1"/>
      <name val="Times New Roman"/>
      <family val="1"/>
    </font>
    <font>
      <b/>
      <sz val="10"/>
      <color theme="1"/>
      <name val="Arial"/>
      <family val="2"/>
    </font>
    <font>
      <sz val="11"/>
      <color rgb="FF000000"/>
      <name val="Times New Roman"/>
      <family val="1"/>
    </font>
    <font>
      <sz val="11"/>
      <color rgb="FF000000"/>
      <name val="Aptos Narrow"/>
      <family val="2"/>
    </font>
    <font>
      <b/>
      <sz val="11"/>
      <color theme="1"/>
      <name val="Times New Roman"/>
      <family val="1"/>
    </font>
    <font>
      <b/>
      <sz val="9"/>
      <name val="Arial"/>
      <family val="2"/>
    </font>
    <font>
      <sz val="9"/>
      <name val="Arial"/>
      <family val="2"/>
    </font>
    <font>
      <sz val="9"/>
      <color rgb="FFB700FF"/>
      <name val="Arial"/>
      <family val="2"/>
    </font>
    <font>
      <sz val="9"/>
      <color rgb="FF0070C0"/>
      <name val="Arial"/>
      <family val="2"/>
    </font>
    <font>
      <b/>
      <sz val="9"/>
      <color rgb="FFB700FF"/>
      <name val="Arial"/>
      <family val="2"/>
    </font>
    <font>
      <b/>
      <sz val="8"/>
      <color theme="5"/>
      <name val="Arial"/>
      <family val="2"/>
    </font>
    <font>
      <b/>
      <sz val="10"/>
      <name val="Arial"/>
      <family val="2"/>
    </font>
    <font>
      <sz val="10"/>
      <name val="Arial"/>
      <family val="2"/>
    </font>
    <font>
      <b/>
      <sz val="9"/>
      <color rgb="FF0070C0"/>
      <name val="Arial"/>
      <family val="2"/>
    </font>
    <font>
      <sz val="10"/>
      <color rgb="FFB700FF"/>
      <name val="Arial"/>
      <family val="2"/>
    </font>
    <font>
      <b/>
      <sz val="10"/>
      <color rgb="FFB700FF"/>
      <name val="Arial"/>
      <family val="2"/>
    </font>
    <font>
      <b/>
      <sz val="9"/>
      <color theme="0"/>
      <name val="Arial"/>
      <family val="2"/>
    </font>
    <font>
      <sz val="9"/>
      <name val="Calibri"/>
      <family val="2"/>
    </font>
    <font>
      <sz val="9"/>
      <color rgb="FFB700FF"/>
      <name val="Calibri"/>
      <family val="2"/>
    </font>
    <font>
      <b/>
      <sz val="9"/>
      <name val="Calibri"/>
      <family val="2"/>
    </font>
    <font>
      <sz val="9"/>
      <color rgb="FF0070C0"/>
      <name val="Calibri"/>
      <family val="2"/>
    </font>
    <font>
      <b/>
      <sz val="9"/>
      <color rgb="FFB700FF"/>
      <name val="Calibri"/>
      <family val="2"/>
    </font>
    <font>
      <sz val="10"/>
      <name val="Calibri"/>
      <family val="2"/>
    </font>
    <font>
      <b/>
      <sz val="9"/>
      <color rgb="FF0070C0"/>
      <name val="Calibri"/>
      <family val="2"/>
    </font>
    <font>
      <b/>
      <sz val="9"/>
      <color theme="0"/>
      <name val="Calibri"/>
      <family val="2"/>
      <scheme val="minor"/>
    </font>
    <font>
      <b/>
      <sz val="9"/>
      <color theme="5"/>
      <name val="Arial"/>
      <family val="2"/>
    </font>
    <font>
      <sz val="9"/>
      <color theme="5"/>
      <name val="Arial"/>
      <family val="2"/>
    </font>
    <font>
      <b/>
      <sz val="9"/>
      <color rgb="FF7030A0"/>
      <name val="Arial"/>
      <family val="2"/>
    </font>
    <font>
      <b/>
      <sz val="10"/>
      <color rgb="FF7030A0"/>
      <name val="Arial"/>
      <family val="2"/>
    </font>
    <font>
      <b/>
      <sz val="9"/>
      <color rgb="FFFF0000"/>
      <name val="Arial"/>
      <family val="2"/>
    </font>
    <font>
      <sz val="10"/>
      <color rgb="FFFF0000"/>
      <name val="Arial"/>
      <family val="2"/>
    </font>
    <font>
      <sz val="10"/>
      <color rgb="FF0070C0"/>
      <name val="Arial"/>
      <family val="2"/>
    </font>
    <font>
      <sz val="9"/>
      <color rgb="FF000000"/>
      <name val="Aptos"/>
      <family val="2"/>
    </font>
    <font>
      <b/>
      <sz val="11"/>
      <color rgb="FF000000"/>
      <name val="Aptos Narrow"/>
      <family val="2"/>
    </font>
    <font>
      <b/>
      <sz val="9"/>
      <color rgb="FF000000"/>
      <name val="Aptos"/>
      <family val="2"/>
    </font>
    <font>
      <b/>
      <sz val="11"/>
      <name val="Aptos Narrow"/>
      <family val="2"/>
    </font>
    <font>
      <sz val="11"/>
      <name val="Aptos Narrow"/>
      <family val="2"/>
    </font>
    <font>
      <b/>
      <sz val="11"/>
      <color rgb="FFA02B93"/>
      <name val="Aptos Narrow"/>
      <family val="2"/>
    </font>
    <font>
      <b/>
      <sz val="11"/>
      <color rgb="FF0070C0"/>
      <name val="Aptos Narrow"/>
      <family val="2"/>
    </font>
    <font>
      <sz val="11"/>
      <color rgb="FF0070C0"/>
      <name val="Aptos Narrow"/>
      <family val="2"/>
    </font>
    <font>
      <sz val="8"/>
      <color theme="1"/>
      <name val="Calibri"/>
      <family val="2"/>
      <scheme val="minor"/>
    </font>
    <font>
      <b/>
      <sz val="8"/>
      <color theme="1"/>
      <name val="Calibri"/>
      <family val="2"/>
      <scheme val="minor"/>
    </font>
    <font>
      <sz val="11"/>
      <color theme="1"/>
      <name val="Arial"/>
      <family val="2"/>
    </font>
    <font>
      <sz val="11"/>
      <name val="Arial"/>
      <family val="2"/>
    </font>
    <font>
      <b/>
      <sz val="11"/>
      <name val="Arial"/>
      <family val="2"/>
    </font>
    <font>
      <b/>
      <sz val="12"/>
      <name val="Arial"/>
      <family val="2"/>
    </font>
    <font>
      <b/>
      <sz val="12"/>
      <color theme="1"/>
      <name val="Arial"/>
      <family val="2"/>
    </font>
    <font>
      <sz val="10"/>
      <color theme="1"/>
      <name val="Arial"/>
      <family val="2"/>
    </font>
    <font>
      <sz val="11"/>
      <color theme="1" tint="4.9989318521683403E-2"/>
      <name val="Arial"/>
      <family val="2"/>
    </font>
    <font>
      <b/>
      <sz val="11"/>
      <color theme="1" tint="4.9989318521683403E-2"/>
      <name val="Arial"/>
      <family val="2"/>
    </font>
    <font>
      <b/>
      <sz val="10"/>
      <color theme="1" tint="4.9989318521683403E-2"/>
      <name val="Arial"/>
      <family val="2"/>
    </font>
    <font>
      <b/>
      <sz val="12"/>
      <color theme="1" tint="4.9989318521683403E-2"/>
      <name val="Arial"/>
      <family val="2"/>
    </font>
    <font>
      <sz val="11"/>
      <color theme="1" tint="4.9989318521683403E-2"/>
      <name val="Calibri"/>
      <family val="2"/>
      <scheme val="minor"/>
    </font>
    <font>
      <b/>
      <sz val="18"/>
      <color theme="1" tint="4.9989318521683403E-2"/>
      <name val="Arial"/>
      <family val="2"/>
    </font>
    <font>
      <b/>
      <i/>
      <sz val="11"/>
      <color theme="1" tint="4.9989318521683403E-2"/>
      <name val="Arial"/>
      <family val="2"/>
    </font>
    <font>
      <b/>
      <sz val="8"/>
      <color theme="1" tint="4.9989318521683403E-2"/>
      <name val="Times New Roman"/>
      <family val="1"/>
    </font>
    <font>
      <sz val="11"/>
      <color theme="1" tint="4.9989318521683403E-2"/>
      <name val="Times New Roman"/>
      <family val="1"/>
    </font>
    <font>
      <sz val="7"/>
      <color theme="1" tint="4.9989318521683403E-2"/>
      <name val="Times New Roman"/>
      <family val="1"/>
    </font>
    <font>
      <sz val="8"/>
      <color theme="1" tint="4.9989318521683403E-2"/>
      <name val="Times New Roman"/>
      <family val="1"/>
    </font>
    <font>
      <u/>
      <sz val="11"/>
      <color theme="10"/>
      <name val="Calibri"/>
      <family val="2"/>
      <scheme val="minor"/>
    </font>
    <font>
      <sz val="10"/>
      <color theme="1" tint="4.9989318521683403E-2"/>
      <name val="Times New Roman"/>
      <family val="1"/>
    </font>
    <font>
      <u/>
      <sz val="11"/>
      <color theme="10"/>
      <name val="Arial"/>
      <family val="2"/>
    </font>
    <font>
      <b/>
      <sz val="11"/>
      <color theme="0"/>
      <name val="Arial"/>
      <family val="2"/>
    </font>
    <font>
      <b/>
      <sz val="11"/>
      <color theme="1"/>
      <name val="Arial"/>
      <family val="2"/>
    </font>
    <font>
      <b/>
      <sz val="11"/>
      <color indexed="8"/>
      <name val="Arial"/>
      <family val="2"/>
    </font>
    <font>
      <sz val="11"/>
      <color theme="1"/>
      <name val="Calibri"/>
      <family val="2"/>
      <scheme val="minor"/>
    </font>
    <font>
      <sz val="10"/>
      <color theme="1"/>
      <name val="Verdana"/>
      <family val="2"/>
    </font>
    <font>
      <sz val="11"/>
      <color theme="1"/>
      <name val="Calibri"/>
      <family val="2"/>
    </font>
    <font>
      <sz val="17"/>
      <color theme="0"/>
      <name val="Calibri"/>
      <family val="2"/>
      <scheme val="minor"/>
    </font>
    <font>
      <sz val="11"/>
      <color rgb="FF0B744D"/>
      <name val="Calibri"/>
      <family val="2"/>
      <scheme val="minor"/>
    </font>
    <font>
      <b/>
      <sz val="11"/>
      <color theme="0"/>
      <name val="Calibri"/>
      <family val="2"/>
      <scheme val="minor"/>
    </font>
    <font>
      <sz val="11"/>
      <name val="Calibri"/>
      <family val="2"/>
      <scheme val="minor"/>
    </font>
    <font>
      <b/>
      <sz val="10"/>
      <color theme="1"/>
      <name val="Verdana"/>
      <family val="2"/>
    </font>
    <font>
      <sz val="10"/>
      <name val="Arial Narrow"/>
      <family val="2"/>
    </font>
    <font>
      <sz val="11"/>
      <color indexed="8"/>
      <name val="Calibri"/>
      <family val="2"/>
    </font>
    <font>
      <sz val="11"/>
      <color rgb="FF9C5700"/>
      <name val="Calibri"/>
      <family val="2"/>
      <scheme val="minor"/>
    </font>
    <font>
      <sz val="11"/>
      <color theme="0"/>
      <name val="Calibri"/>
      <family val="2"/>
      <scheme val="minor"/>
    </font>
    <font>
      <sz val="42"/>
      <color theme="0"/>
      <name val="Segoe UI"/>
      <family val="2"/>
    </font>
    <font>
      <sz val="11"/>
      <color indexed="8"/>
      <name val="Arial"/>
      <family val="2"/>
    </font>
    <font>
      <sz val="11"/>
      <color rgb="FF000000"/>
      <name val="Calibri"/>
      <family val="2"/>
      <scheme val="minor"/>
    </font>
    <font>
      <sz val="9"/>
      <name val="Tahoma"/>
      <family val="2"/>
    </font>
    <font>
      <sz val="10"/>
      <color indexed="8"/>
      <name val="Tahoma"/>
      <family val="2"/>
    </font>
    <font>
      <sz val="10"/>
      <name val="Tahoma"/>
      <family val="2"/>
    </font>
    <font>
      <b/>
      <sz val="11"/>
      <color rgb="FF0D0D0D"/>
      <name val="Arial"/>
      <family val="2"/>
    </font>
    <font>
      <sz val="11"/>
      <color rgb="FF0D0D0D"/>
      <name val="Arial"/>
      <family val="2"/>
    </font>
    <font>
      <sz val="11"/>
      <color rgb="FF0D0D0D"/>
      <name val="Arial"/>
    </font>
    <font>
      <sz val="11"/>
      <color rgb="FF000000"/>
      <name val="Arial"/>
    </font>
    <font>
      <sz val="11"/>
      <color rgb="FFFF0000"/>
      <name val="Arial"/>
    </font>
    <font>
      <sz val="11"/>
      <color theme="1" tint="4.9989318521683403E-2"/>
      <name val="Arial"/>
    </font>
    <font>
      <b/>
      <sz val="11"/>
      <color rgb="FF0D0D0D"/>
      <name val="Arial"/>
    </font>
    <font>
      <i/>
      <sz val="11"/>
      <color rgb="FF0D0D0D"/>
      <name val="Arial"/>
    </font>
    <font>
      <b/>
      <sz val="11"/>
      <color rgb="FF000000"/>
      <name val="Arial"/>
    </font>
  </fonts>
  <fills count="33">
    <fill>
      <patternFill patternType="none"/>
    </fill>
    <fill>
      <patternFill patternType="gray125"/>
    </fill>
    <fill>
      <patternFill patternType="solid">
        <fgColor theme="3" tint="0.39994506668294322"/>
        <bgColor indexed="64"/>
      </patternFill>
    </fill>
    <fill>
      <patternFill patternType="solid">
        <fgColor theme="7" tint="0.59999389629810485"/>
        <bgColor indexed="64"/>
      </patternFill>
    </fill>
    <fill>
      <patternFill patternType="solid">
        <fgColor indexed="2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B0F0"/>
        <bgColor indexed="64"/>
      </patternFill>
    </fill>
    <fill>
      <patternFill patternType="solid">
        <fgColor theme="7" tint="0.79995117038483843"/>
        <bgColor indexed="64"/>
      </patternFill>
    </fill>
    <fill>
      <patternFill patternType="solid">
        <fgColor rgb="FFFFFF00"/>
        <bgColor indexed="64"/>
      </patternFill>
    </fill>
    <fill>
      <patternFill patternType="solid">
        <fgColor rgb="FFD0D0D0"/>
        <bgColor indexed="64"/>
      </patternFill>
    </fill>
    <fill>
      <patternFill patternType="solid">
        <fgColor rgb="FFFBE2D5"/>
        <bgColor indexed="64"/>
      </patternFill>
    </fill>
    <fill>
      <patternFill patternType="solid">
        <fgColor rgb="FFFFFFFF"/>
        <bgColor indexed="64"/>
      </patternFill>
    </fill>
    <fill>
      <patternFill patternType="solid">
        <fgColor theme="4" tint="0.79995117038483843"/>
        <bgColor indexed="64"/>
      </patternFill>
    </fill>
    <fill>
      <patternFill patternType="solid">
        <fgColor theme="9" tint="0.59999389629810485"/>
        <bgColor indexed="64"/>
      </patternFill>
    </fill>
    <fill>
      <patternFill patternType="solid">
        <fgColor theme="0"/>
        <bgColor indexed="64"/>
      </patternFill>
    </fill>
    <fill>
      <patternFill patternType="solid">
        <fgColor rgb="FFDDDDDD"/>
        <bgColor indexed="64"/>
      </patternFill>
    </fill>
    <fill>
      <patternFill patternType="solid">
        <fgColor theme="0" tint="-0.14996795556505021"/>
        <bgColor indexed="64"/>
      </patternFill>
    </fill>
    <fill>
      <patternFill patternType="solid">
        <fgColor indexed="9"/>
        <bgColor indexed="64"/>
      </patternFill>
    </fill>
    <fill>
      <patternFill patternType="solid">
        <fgColor rgb="FFFFFFCC"/>
        <bgColor rgb="FFFFFFCC"/>
      </patternFill>
    </fill>
    <fill>
      <patternFill patternType="solid">
        <fgColor rgb="FFC6D9F0"/>
        <bgColor rgb="FFC6D9F0"/>
      </patternFill>
    </fill>
    <fill>
      <patternFill patternType="solid">
        <fgColor rgb="FFFF6699"/>
        <bgColor indexed="64"/>
      </patternFill>
    </fill>
    <fill>
      <patternFill patternType="solid">
        <fgColor rgb="FFFDE9D9"/>
        <bgColor rgb="FFFDE9D9"/>
      </patternFill>
    </fill>
    <fill>
      <patternFill patternType="solid">
        <fgColor rgb="FFF79646"/>
        <bgColor rgb="FFF79646"/>
      </patternFill>
    </fill>
    <fill>
      <patternFill patternType="solid">
        <fgColor theme="4" tint="-0.499984740745262"/>
        <bgColor indexed="64"/>
      </patternFill>
    </fill>
    <fill>
      <patternFill patternType="solid">
        <fgColor theme="4" tint="0.3999450666829432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rgb="FF217346"/>
        <bgColor indexed="64"/>
      </patternFill>
    </fill>
    <fill>
      <patternFill patternType="solid">
        <fgColor theme="9"/>
        <bgColor indexed="64"/>
      </patternFill>
    </fill>
    <fill>
      <patternFill patternType="solid">
        <fgColor rgb="FFDBE5F1"/>
        <bgColor indexed="64"/>
      </patternFill>
    </fill>
    <fill>
      <patternFill patternType="solid">
        <fgColor rgb="FFFFEB9C"/>
        <bgColor indexed="64"/>
      </patternFill>
    </fill>
  </fills>
  <borders count="88">
    <border>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theme="0"/>
      </right>
      <top style="medium">
        <color auto="1"/>
      </top>
      <bottom style="medium">
        <color theme="0"/>
      </bottom>
      <diagonal/>
    </border>
    <border>
      <left style="medium">
        <color theme="0"/>
      </left>
      <right/>
      <top/>
      <bottom style="medium">
        <color theme="0"/>
      </bottom>
      <diagonal/>
    </border>
    <border>
      <left style="medium">
        <color theme="0"/>
      </left>
      <right/>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bottom/>
      <diagonal/>
    </border>
    <border>
      <left style="medium">
        <color auto="1"/>
      </left>
      <right style="medium">
        <color auto="1"/>
      </right>
      <top/>
      <bottom/>
      <diagonal/>
    </border>
    <border>
      <left/>
      <right/>
      <top/>
      <bottom style="medium">
        <color auto="1"/>
      </bottom>
      <diagonal/>
    </border>
    <border>
      <left style="medium">
        <color theme="0"/>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rgb="FF000000"/>
      </bottom>
      <diagonal/>
    </border>
    <border>
      <left style="thin">
        <color rgb="FF000000"/>
      </left>
      <right style="medium">
        <color auto="1"/>
      </right>
      <top style="thin">
        <color rgb="FF000000"/>
      </top>
      <bottom style="thin">
        <color rgb="FF000000"/>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diagonal/>
    </border>
    <border>
      <left style="thin">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right/>
      <top style="thin">
        <color theme="9" tint="0.39991454817346722"/>
      </top>
      <bottom style="thin">
        <color theme="9" tint="0.39991454817346722"/>
      </bottom>
      <diagonal/>
    </border>
    <border>
      <left/>
      <right style="thin">
        <color theme="9" tint="0.39988402966399123"/>
      </right>
      <top/>
      <bottom style="thin">
        <color theme="9" tint="0.39988402966399123"/>
      </bottom>
      <diagonal/>
    </border>
    <border>
      <left style="thin">
        <color theme="9" tint="0.39991454817346722"/>
      </left>
      <right/>
      <top/>
      <bottom style="thin">
        <color theme="9" tint="0.39988402966399123"/>
      </bottom>
      <diagonal/>
    </border>
  </borders>
  <cellStyleXfs count="37">
    <xf numFmtId="0" fontId="0" fillId="0" borderId="0"/>
    <xf numFmtId="166" fontId="67" fillId="0" borderId="0" applyFont="0" applyFill="0" applyBorder="0" applyAlignment="0" applyProtection="0"/>
    <xf numFmtId="44" fontId="67" fillId="0" borderId="0" applyFont="0" applyFill="0" applyBorder="0" applyAlignment="0" applyProtection="0"/>
    <xf numFmtId="9" fontId="67" fillId="0" borderId="0" applyFont="0" applyFill="0" applyBorder="0" applyAlignment="0" applyProtection="0"/>
    <xf numFmtId="167" fontId="67" fillId="0" borderId="0" applyFont="0" applyFill="0" applyBorder="0" applyAlignment="0" applyProtection="0"/>
    <xf numFmtId="42" fontId="67" fillId="0" borderId="0" applyFont="0" applyFill="0" applyBorder="0" applyAlignment="0" applyProtection="0"/>
    <xf numFmtId="0" fontId="61" fillId="0" borderId="0" applyNumberFormat="0" applyFill="0" applyBorder="0" applyAlignment="0" applyProtection="0"/>
    <xf numFmtId="0" fontId="67" fillId="28" borderId="85" applyNumberFormat="0" applyAlignment="0" applyProtection="0"/>
    <xf numFmtId="49" fontId="68" fillId="0" borderId="0" applyFill="0" applyBorder="0" applyProtection="0">
      <alignment horizontal="left" vertical="center"/>
    </xf>
    <xf numFmtId="0" fontId="69" fillId="0" borderId="86" applyNumberFormat="0" applyFont="0" applyFill="0" applyAlignment="0"/>
    <xf numFmtId="0" fontId="69" fillId="0" borderId="87" applyNumberFormat="0" applyFont="0" applyFill="0" applyAlignment="0"/>
    <xf numFmtId="0" fontId="70" fillId="29" borderId="0" applyNumberFormat="0" applyProtection="0">
      <alignment horizontal="left" wrapText="1" indent="4"/>
    </xf>
    <xf numFmtId="0" fontId="71" fillId="29" borderId="0" applyNumberFormat="0" applyProtection="0">
      <alignment horizontal="left" wrapText="1" indent="4"/>
    </xf>
    <xf numFmtId="0" fontId="72" fillId="30" borderId="0" applyNumberFormat="0" applyBorder="0" applyAlignment="0" applyProtection="0"/>
    <xf numFmtId="16" fontId="73" fillId="0" borderId="0" applyFont="0" applyFill="0" applyBorder="0" applyAlignment="0">
      <alignment horizontal="left"/>
    </xf>
    <xf numFmtId="0" fontId="74" fillId="31" borderId="0" applyNumberFormat="0" applyBorder="0" applyProtection="0">
      <alignment horizontal="center" vertical="center"/>
    </xf>
    <xf numFmtId="41" fontId="67" fillId="0" borderId="0" applyFont="0" applyFill="0" applyBorder="0" applyAlignment="0" applyProtection="0"/>
    <xf numFmtId="166" fontId="75" fillId="0" borderId="0" applyFont="0" applyFill="0" applyBorder="0" applyAlignment="0" applyProtection="0"/>
    <xf numFmtId="168" fontId="67" fillId="0" borderId="0" applyFont="0" applyFill="0" applyBorder="0" applyAlignment="0" applyProtection="0"/>
    <xf numFmtId="169" fontId="14" fillId="0" borderId="0" applyFont="0" applyFill="0" applyBorder="0" applyAlignment="0" applyProtection="0"/>
    <xf numFmtId="170" fontId="67" fillId="0" borderId="0" applyFont="0" applyFill="0" applyBorder="0" applyAlignment="0" applyProtection="0"/>
    <xf numFmtId="165" fontId="14" fillId="0" borderId="0" applyFont="0" applyFill="0" applyBorder="0" applyAlignment="0" applyProtection="0"/>
    <xf numFmtId="168" fontId="76" fillId="0" borderId="0" applyFont="0" applyFill="0" applyBorder="0" applyAlignment="0" applyProtection="0"/>
    <xf numFmtId="5" fontId="69" fillId="0" borderId="0" applyFont="0" applyFill="0" applyBorder="0" applyAlignment="0" applyProtection="0"/>
    <xf numFmtId="0" fontId="77" fillId="32" borderId="0" applyNumberFormat="0" applyBorder="0" applyAlignment="0" applyProtection="0"/>
    <xf numFmtId="0" fontId="14" fillId="0" borderId="0"/>
    <xf numFmtId="0" fontId="14" fillId="0" borderId="0"/>
    <xf numFmtId="0" fontId="69" fillId="0" borderId="0"/>
    <xf numFmtId="0" fontId="75" fillId="0" borderId="0"/>
    <xf numFmtId="0" fontId="75" fillId="0" borderId="0"/>
    <xf numFmtId="0" fontId="14" fillId="0" borderId="0"/>
    <xf numFmtId="9" fontId="7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71" fillId="0" borderId="0" applyFill="0" applyBorder="0">
      <alignment wrapText="1"/>
    </xf>
    <xf numFmtId="0" fontId="78" fillId="0" borderId="0"/>
    <xf numFmtId="0" fontId="79" fillId="29" borderId="0" applyNumberFormat="0" applyBorder="0" applyProtection="0">
      <alignment horizontal="left" indent="1"/>
    </xf>
  </cellStyleXfs>
  <cellXfs count="7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4" fillId="0" borderId="3" xfId="0" applyFont="1" applyBorder="1" applyAlignment="1">
      <alignment vertical="center"/>
    </xf>
    <xf numFmtId="0" fontId="0" fillId="0" borderId="3" xfId="0" applyBorder="1"/>
    <xf numFmtId="0" fontId="0" fillId="0" borderId="4" xfId="0" applyBorder="1" applyAlignment="1">
      <alignment vertical="center"/>
    </xf>
    <xf numFmtId="0" fontId="5" fillId="0" borderId="3" xfId="0" applyFont="1" applyBorder="1"/>
    <xf numFmtId="0" fontId="0" fillId="0" borderId="0" xfId="0" applyAlignment="1">
      <alignment vertical="center"/>
    </xf>
    <xf numFmtId="0" fontId="6" fillId="0" borderId="0" xfId="0" applyFont="1" applyAlignment="1">
      <alignment horizontal="left" vertical="center"/>
    </xf>
    <xf numFmtId="0" fontId="6" fillId="3" borderId="3" xfId="0" applyFont="1" applyFill="1" applyBorder="1" applyAlignment="1">
      <alignment vertical="center"/>
    </xf>
    <xf numFmtId="0" fontId="2" fillId="0" borderId="3" xfId="0" applyFont="1" applyBorder="1" applyAlignment="1">
      <alignment horizontal="left" vertical="center"/>
    </xf>
    <xf numFmtId="0" fontId="7" fillId="0" borderId="0" xfId="25" applyFont="1" applyAlignment="1">
      <alignment vertical="center"/>
    </xf>
    <xf numFmtId="0" fontId="8" fillId="0" borderId="0" xfId="25" applyFont="1" applyAlignment="1">
      <alignment vertical="top"/>
    </xf>
    <xf numFmtId="0" fontId="9" fillId="0" borderId="0" xfId="25" applyFont="1" applyAlignment="1">
      <alignment vertical="top"/>
    </xf>
    <xf numFmtId="0" fontId="7" fillId="0" borderId="0" xfId="25" applyFont="1" applyAlignment="1">
      <alignment vertical="top"/>
    </xf>
    <xf numFmtId="0" fontId="10" fillId="0" borderId="0" xfId="25" applyFont="1" applyAlignment="1">
      <alignment vertical="top"/>
    </xf>
    <xf numFmtId="0" fontId="11" fillId="0" borderId="0" xfId="25" applyFont="1" applyAlignment="1">
      <alignment vertical="top"/>
    </xf>
    <xf numFmtId="0" fontId="12" fillId="0" borderId="0" xfId="25" applyFont="1" applyAlignment="1">
      <alignment vertical="top"/>
    </xf>
    <xf numFmtId="0" fontId="13" fillId="0" borderId="0" xfId="25" applyFont="1" applyAlignment="1">
      <alignment vertical="top"/>
    </xf>
    <xf numFmtId="0" fontId="14" fillId="0" borderId="0" xfId="25" applyAlignment="1">
      <alignment vertical="top"/>
    </xf>
    <xf numFmtId="0" fontId="14" fillId="0" borderId="0" xfId="25" applyAlignment="1">
      <alignment horizontal="left" vertical="top"/>
    </xf>
    <xf numFmtId="171" fontId="14" fillId="0" borderId="0" xfId="25" applyNumberFormat="1" applyAlignment="1">
      <alignment vertical="top"/>
    </xf>
    <xf numFmtId="0" fontId="7" fillId="4" borderId="3" xfId="25" applyFont="1" applyFill="1" applyBorder="1" applyAlignment="1">
      <alignment vertical="center"/>
    </xf>
    <xf numFmtId="0" fontId="7" fillId="4" borderId="3" xfId="25" applyFont="1" applyFill="1" applyBorder="1" applyAlignment="1">
      <alignment vertical="center" wrapText="1"/>
    </xf>
    <xf numFmtId="14" fontId="8" fillId="0" borderId="0" xfId="25" applyNumberFormat="1" applyFont="1" applyAlignment="1">
      <alignment horizontal="right" vertical="top"/>
    </xf>
    <xf numFmtId="14" fontId="9" fillId="0" borderId="0" xfId="25" applyNumberFormat="1" applyFont="1" applyAlignment="1">
      <alignment horizontal="right" vertical="top"/>
    </xf>
    <xf numFmtId="14" fontId="7" fillId="0" borderId="0" xfId="25" applyNumberFormat="1" applyFont="1" applyAlignment="1">
      <alignment horizontal="right" vertical="top"/>
    </xf>
    <xf numFmtId="14" fontId="11" fillId="0" borderId="0" xfId="25" applyNumberFormat="1" applyFont="1" applyAlignment="1">
      <alignment horizontal="right" vertical="top"/>
    </xf>
    <xf numFmtId="0" fontId="7" fillId="5" borderId="3" xfId="25" applyFont="1" applyFill="1" applyBorder="1" applyAlignment="1">
      <alignment vertical="center"/>
    </xf>
    <xf numFmtId="3" fontId="0" fillId="0" borderId="0" xfId="0" applyNumberFormat="1" applyAlignment="1">
      <alignment horizontal="right" vertical="top"/>
    </xf>
    <xf numFmtId="3" fontId="14" fillId="0" borderId="0" xfId="25" applyNumberFormat="1" applyAlignment="1">
      <alignment horizontal="right" vertical="top"/>
    </xf>
    <xf numFmtId="3" fontId="16" fillId="0" borderId="0" xfId="25" applyNumberFormat="1" applyFont="1" applyAlignment="1">
      <alignment horizontal="right" vertical="top"/>
    </xf>
    <xf numFmtId="3" fontId="17" fillId="0" borderId="0" xfId="25" applyNumberFormat="1" applyFont="1" applyAlignment="1">
      <alignment horizontal="right" vertical="top"/>
    </xf>
    <xf numFmtId="3" fontId="14" fillId="0" borderId="0" xfId="25" applyNumberFormat="1" applyAlignment="1">
      <alignment vertical="top"/>
    </xf>
    <xf numFmtId="0" fontId="7" fillId="4" borderId="4" xfId="25" applyFont="1" applyFill="1" applyBorder="1" applyAlignment="1">
      <alignment vertical="center"/>
    </xf>
    <xf numFmtId="0" fontId="18" fillId="6" borderId="5" xfId="25" applyFont="1" applyFill="1" applyBorder="1" applyAlignment="1">
      <alignment horizontal="center" vertical="center"/>
    </xf>
    <xf numFmtId="171" fontId="18" fillId="6" borderId="6" xfId="25" applyNumberFormat="1" applyFont="1" applyFill="1" applyBorder="1" applyAlignment="1">
      <alignment horizontal="center" vertical="center"/>
    </xf>
    <xf numFmtId="0" fontId="18" fillId="6" borderId="6" xfId="25" applyFont="1" applyFill="1" applyBorder="1" applyAlignment="1">
      <alignment horizontal="center" vertical="center" wrapText="1"/>
    </xf>
    <xf numFmtId="0" fontId="18" fillId="6" borderId="7" xfId="25" applyFont="1" applyFill="1" applyBorder="1" applyAlignment="1">
      <alignment horizontal="center" vertical="center"/>
    </xf>
    <xf numFmtId="0" fontId="26" fillId="6" borderId="7" xfId="25" applyFont="1" applyFill="1" applyBorder="1" applyAlignment="1">
      <alignment horizontal="center" vertical="center" wrapText="1"/>
    </xf>
    <xf numFmtId="0" fontId="26" fillId="7" borderId="7" xfId="25" applyFont="1" applyFill="1" applyBorder="1" applyAlignment="1">
      <alignment horizontal="center" vertical="center" wrapText="1"/>
    </xf>
    <xf numFmtId="3" fontId="8" fillId="0" borderId="0" xfId="25" applyNumberFormat="1" applyFont="1" applyAlignment="1">
      <alignment horizontal="right" vertical="top"/>
    </xf>
    <xf numFmtId="3" fontId="9" fillId="0" borderId="0" xfId="25" applyNumberFormat="1" applyFont="1" applyAlignment="1">
      <alignment horizontal="right" vertical="top"/>
    </xf>
    <xf numFmtId="3" fontId="11" fillId="0" borderId="0" xfId="25" applyNumberFormat="1" applyFont="1" applyAlignment="1">
      <alignment horizontal="right" vertical="top"/>
    </xf>
    <xf numFmtId="3" fontId="7" fillId="0" borderId="0" xfId="25" applyNumberFormat="1" applyFont="1" applyAlignment="1">
      <alignment horizontal="right" vertical="top"/>
    </xf>
    <xf numFmtId="3" fontId="13" fillId="0" borderId="0" xfId="25" applyNumberFormat="1" applyFont="1" applyAlignment="1">
      <alignment horizontal="right" vertical="top"/>
    </xf>
    <xf numFmtId="172" fontId="26" fillId="6" borderId="7" xfId="25" applyNumberFormat="1" applyFont="1" applyFill="1" applyBorder="1" applyAlignment="1">
      <alignment horizontal="center" vertical="center" wrapText="1"/>
    </xf>
    <xf numFmtId="172" fontId="26" fillId="7" borderId="7" xfId="25" applyNumberFormat="1" applyFont="1" applyFill="1" applyBorder="1" applyAlignment="1">
      <alignment horizontal="center" vertical="center" wrapText="1"/>
    </xf>
    <xf numFmtId="10" fontId="18" fillId="7" borderId="0" xfId="32" applyNumberFormat="1" applyFont="1" applyFill="1" applyAlignment="1">
      <alignment vertical="top"/>
    </xf>
    <xf numFmtId="172" fontId="14" fillId="0" borderId="0" xfId="25" applyNumberFormat="1" applyAlignment="1">
      <alignment vertical="top"/>
    </xf>
    <xf numFmtId="3" fontId="12" fillId="0" borderId="0" xfId="25" applyNumberFormat="1" applyFont="1" applyAlignment="1">
      <alignment vertical="top"/>
    </xf>
    <xf numFmtId="3" fontId="27" fillId="0" borderId="0" xfId="25" applyNumberFormat="1" applyFont="1" applyAlignment="1">
      <alignment vertical="top"/>
    </xf>
    <xf numFmtId="0" fontId="26" fillId="6" borderId="7" xfId="25" applyFont="1" applyFill="1" applyBorder="1" applyAlignment="1">
      <alignment horizontal="right" vertical="center" wrapText="1"/>
    </xf>
    <xf numFmtId="0" fontId="26" fillId="6" borderId="9" xfId="25" applyFont="1" applyFill="1" applyBorder="1" applyAlignment="1">
      <alignment horizontal="center" vertical="center" wrapText="1"/>
    </xf>
    <xf numFmtId="0" fontId="26" fillId="6" borderId="10" xfId="25" applyFont="1" applyFill="1" applyBorder="1" applyAlignment="1">
      <alignment horizontal="center" vertical="center" wrapText="1"/>
    </xf>
    <xf numFmtId="0" fontId="7" fillId="0" borderId="0" xfId="25" applyFont="1" applyAlignment="1">
      <alignment horizontal="left" vertical="center"/>
    </xf>
    <xf numFmtId="3" fontId="28" fillId="8" borderId="11" xfId="25" applyNumberFormat="1" applyFont="1" applyFill="1" applyBorder="1" applyAlignment="1">
      <alignment horizontal="right" vertical="top"/>
    </xf>
    <xf numFmtId="3" fontId="28" fillId="9" borderId="11" xfId="25" applyNumberFormat="1" applyFont="1" applyFill="1" applyBorder="1" applyAlignment="1">
      <alignment horizontal="right" vertical="top"/>
    </xf>
    <xf numFmtId="3" fontId="27" fillId="9" borderId="0" xfId="25" applyNumberFormat="1" applyFont="1" applyFill="1" applyAlignment="1">
      <alignment horizontal="right" vertical="top"/>
    </xf>
    <xf numFmtId="172" fontId="26" fillId="6" borderId="7" xfId="25" applyNumberFormat="1" applyFont="1" applyFill="1" applyBorder="1" applyAlignment="1">
      <alignment horizontal="right" vertical="center" wrapText="1"/>
    </xf>
    <xf numFmtId="172" fontId="26" fillId="6" borderId="0" xfId="25" applyNumberFormat="1" applyFont="1" applyFill="1" applyAlignment="1">
      <alignment horizontal="right" vertical="center" wrapText="1"/>
    </xf>
    <xf numFmtId="9" fontId="0" fillId="0" borderId="0" xfId="32" applyFont="1" applyAlignment="1">
      <alignment vertical="top"/>
    </xf>
    <xf numFmtId="3" fontId="9" fillId="8" borderId="11" xfId="25" applyNumberFormat="1" applyFont="1" applyFill="1" applyBorder="1" applyAlignment="1">
      <alignment horizontal="right" vertical="top"/>
    </xf>
    <xf numFmtId="3" fontId="27" fillId="8" borderId="11" xfId="25" applyNumberFormat="1" applyFont="1" applyFill="1" applyBorder="1" applyAlignment="1">
      <alignment horizontal="right" vertical="top"/>
    </xf>
    <xf numFmtId="0" fontId="12" fillId="0" borderId="0" xfId="25" applyFont="1" applyAlignment="1">
      <alignment horizontal="left" vertical="top"/>
    </xf>
    <xf numFmtId="171" fontId="7" fillId="0" borderId="0" xfId="25" applyNumberFormat="1" applyFont="1" applyAlignment="1">
      <alignment vertical="center"/>
    </xf>
    <xf numFmtId="171" fontId="8" fillId="0" borderId="0" xfId="25" applyNumberFormat="1" applyFont="1" applyAlignment="1">
      <alignment vertical="top"/>
    </xf>
    <xf numFmtId="171" fontId="9" fillId="0" borderId="0" xfId="25" applyNumberFormat="1" applyFont="1" applyAlignment="1">
      <alignment vertical="top"/>
    </xf>
    <xf numFmtId="171" fontId="11" fillId="0" borderId="0" xfId="25" applyNumberFormat="1" applyFont="1" applyAlignment="1">
      <alignment vertical="top"/>
    </xf>
    <xf numFmtId="0" fontId="15" fillId="0" borderId="0" xfId="25" applyFont="1" applyAlignment="1">
      <alignment vertical="top"/>
    </xf>
    <xf numFmtId="171" fontId="7" fillId="0" borderId="0" xfId="25" applyNumberFormat="1" applyFont="1" applyAlignment="1">
      <alignment vertical="top"/>
    </xf>
    <xf numFmtId="171" fontId="13" fillId="0" borderId="0" xfId="25" applyNumberFormat="1" applyFont="1" applyAlignment="1">
      <alignment vertical="top"/>
    </xf>
    <xf numFmtId="3" fontId="7" fillId="0" borderId="0" xfId="25" applyNumberFormat="1" applyFont="1" applyAlignment="1">
      <alignment vertical="top"/>
    </xf>
    <xf numFmtId="3" fontId="11" fillId="0" borderId="0" xfId="25" applyNumberFormat="1" applyFont="1" applyAlignment="1">
      <alignment vertical="top"/>
    </xf>
    <xf numFmtId="171" fontId="10" fillId="0" borderId="0" xfId="25" applyNumberFormat="1" applyFont="1" applyAlignment="1">
      <alignment vertical="top"/>
    </xf>
    <xf numFmtId="171" fontId="12" fillId="0" borderId="0" xfId="25" applyNumberFormat="1" applyFont="1" applyAlignment="1">
      <alignment vertical="top"/>
    </xf>
    <xf numFmtId="172" fontId="8" fillId="0" borderId="0" xfId="25" applyNumberFormat="1" applyFont="1" applyAlignment="1">
      <alignment vertical="top"/>
    </xf>
    <xf numFmtId="0" fontId="13" fillId="0" borderId="0" xfId="25" applyFont="1" applyAlignment="1">
      <alignment horizontal="left" vertical="top"/>
    </xf>
    <xf numFmtId="0" fontId="13" fillId="9" borderId="0" xfId="25" applyFont="1" applyFill="1" applyAlignment="1">
      <alignment vertical="top"/>
    </xf>
    <xf numFmtId="3" fontId="7" fillId="9" borderId="0" xfId="25" applyNumberFormat="1" applyFont="1" applyFill="1" applyAlignment="1">
      <alignment vertical="top"/>
    </xf>
    <xf numFmtId="3" fontId="29" fillId="0" borderId="0" xfId="25" applyNumberFormat="1" applyFont="1" applyAlignment="1">
      <alignment vertical="top"/>
    </xf>
    <xf numFmtId="3" fontId="30" fillId="0" borderId="0" xfId="25" applyNumberFormat="1" applyFont="1" applyAlignment="1">
      <alignment vertical="top"/>
    </xf>
    <xf numFmtId="3" fontId="31" fillId="0" borderId="0" xfId="25" applyNumberFormat="1" applyFont="1" applyAlignment="1">
      <alignment vertical="top"/>
    </xf>
    <xf numFmtId="3" fontId="13" fillId="9" borderId="0" xfId="25" applyNumberFormat="1" applyFont="1" applyFill="1" applyAlignment="1">
      <alignment vertical="top"/>
    </xf>
    <xf numFmtId="3" fontId="13" fillId="0" borderId="0" xfId="25" applyNumberFormat="1" applyFont="1" applyAlignment="1">
      <alignment vertical="top"/>
    </xf>
    <xf numFmtId="10" fontId="0" fillId="0" borderId="0" xfId="32" applyNumberFormat="1" applyFont="1" applyAlignment="1">
      <alignment vertical="top"/>
    </xf>
    <xf numFmtId="0" fontId="32" fillId="0" borderId="0" xfId="25" applyFont="1" applyAlignment="1">
      <alignment vertical="top"/>
    </xf>
    <xf numFmtId="3" fontId="32" fillId="0" borderId="0" xfId="25" applyNumberFormat="1" applyFont="1" applyAlignment="1">
      <alignment vertical="top"/>
    </xf>
    <xf numFmtId="173" fontId="0" fillId="0" borderId="0" xfId="21" applyNumberFormat="1" applyFont="1" applyAlignment="1">
      <alignment vertical="top"/>
    </xf>
    <xf numFmtId="0" fontId="33" fillId="0" borderId="0" xfId="25" applyFont="1" applyAlignment="1">
      <alignment vertical="top"/>
    </xf>
    <xf numFmtId="173" fontId="33" fillId="0" borderId="0" xfId="25" applyNumberFormat="1" applyFont="1" applyAlignment="1">
      <alignment vertical="top"/>
    </xf>
    <xf numFmtId="10" fontId="34" fillId="0" borderId="13" xfId="25" applyNumberFormat="1" applyFont="1" applyBorder="1" applyAlignment="1">
      <alignment vertical="center" wrapText="1"/>
    </xf>
    <xf numFmtId="0" fontId="14" fillId="0" borderId="0" xfId="25" applyAlignment="1">
      <alignment horizontal="center" vertical="center"/>
    </xf>
    <xf numFmtId="0" fontId="35" fillId="10" borderId="14" xfId="25" applyFont="1" applyFill="1" applyBorder="1" applyAlignment="1">
      <alignment horizontal="center" vertical="center"/>
    </xf>
    <xf numFmtId="0" fontId="35" fillId="10" borderId="15" xfId="25" applyFont="1" applyFill="1" applyBorder="1" applyAlignment="1">
      <alignment horizontal="center" vertical="center"/>
    </xf>
    <xf numFmtId="0" fontId="35" fillId="0" borderId="14" xfId="25" applyFont="1" applyBorder="1" applyAlignment="1">
      <alignment vertical="center"/>
    </xf>
    <xf numFmtId="164" fontId="35" fillId="0" borderId="15" xfId="25" applyNumberFormat="1" applyFont="1" applyBorder="1" applyAlignment="1">
      <alignment horizontal="right" vertical="center"/>
    </xf>
    <xf numFmtId="0" fontId="5" fillId="0" borderId="14" xfId="25" applyFont="1" applyBorder="1" applyAlignment="1">
      <alignment vertical="center"/>
    </xf>
    <xf numFmtId="164" fontId="5" fillId="0" borderId="15" xfId="25" applyNumberFormat="1" applyFont="1" applyBorder="1" applyAlignment="1">
      <alignment horizontal="right" vertical="center"/>
    </xf>
    <xf numFmtId="0" fontId="5" fillId="11" borderId="14" xfId="25" applyFont="1" applyFill="1" applyBorder="1" applyAlignment="1">
      <alignment vertical="center"/>
    </xf>
    <xf numFmtId="164" fontId="5" fillId="11" borderId="15" xfId="25" applyNumberFormat="1" applyFont="1" applyFill="1" applyBorder="1" applyAlignment="1">
      <alignment horizontal="right" vertical="center"/>
    </xf>
    <xf numFmtId="0" fontId="36" fillId="0" borderId="13" xfId="25" applyFont="1" applyBorder="1" applyAlignment="1">
      <alignment vertical="center" wrapText="1"/>
    </xf>
    <xf numFmtId="3" fontId="36" fillId="0" borderId="13" xfId="25" applyNumberFormat="1" applyFont="1" applyBorder="1" applyAlignment="1">
      <alignment vertical="center" wrapText="1"/>
    </xf>
    <xf numFmtId="10" fontId="36" fillId="0" borderId="13" xfId="25" applyNumberFormat="1" applyFont="1" applyBorder="1" applyAlignment="1">
      <alignment vertical="center" wrapText="1"/>
    </xf>
    <xf numFmtId="0" fontId="35" fillId="10" borderId="14" xfId="25" applyFont="1" applyFill="1" applyBorder="1" applyAlignment="1">
      <alignment vertical="center"/>
    </xf>
    <xf numFmtId="164" fontId="35" fillId="10" borderId="15" xfId="25" applyNumberFormat="1" applyFont="1" applyFill="1" applyBorder="1" applyAlignment="1">
      <alignment horizontal="right" vertical="center"/>
    </xf>
    <xf numFmtId="3" fontId="34" fillId="0" borderId="13" xfId="25" applyNumberFormat="1" applyFont="1" applyBorder="1" applyAlignment="1">
      <alignment vertical="center" wrapText="1"/>
    </xf>
    <xf numFmtId="0" fontId="35" fillId="12" borderId="14" xfId="25" applyFont="1" applyFill="1" applyBorder="1" applyAlignment="1">
      <alignment vertical="center"/>
    </xf>
    <xf numFmtId="164" fontId="5" fillId="12" borderId="15" xfId="25" applyNumberFormat="1" applyFont="1" applyFill="1" applyBorder="1" applyAlignment="1">
      <alignment horizontal="right" vertical="center"/>
    </xf>
    <xf numFmtId="0" fontId="37" fillId="0" borderId="14" xfId="25" applyFont="1" applyBorder="1" applyAlignment="1">
      <alignment vertical="center"/>
    </xf>
    <xf numFmtId="164" fontId="38" fillId="0" borderId="15" xfId="25" applyNumberFormat="1" applyFont="1" applyBorder="1" applyAlignment="1">
      <alignment horizontal="right" vertical="center"/>
    </xf>
    <xf numFmtId="0" fontId="39" fillId="0" borderId="14" xfId="25" applyFont="1" applyBorder="1" applyAlignment="1">
      <alignment vertical="center"/>
    </xf>
    <xf numFmtId="164" fontId="39" fillId="0" borderId="15" xfId="25" applyNumberFormat="1" applyFont="1" applyBorder="1" applyAlignment="1">
      <alignment horizontal="right" vertical="center"/>
    </xf>
    <xf numFmtId="0" fontId="40" fillId="0" borderId="14" xfId="25" applyFont="1" applyBorder="1" applyAlignment="1">
      <alignment vertical="center"/>
    </xf>
    <xf numFmtId="164" fontId="41" fillId="0" borderId="15" xfId="25" applyNumberFormat="1" applyFont="1" applyBorder="1" applyAlignment="1">
      <alignment horizontal="right" vertical="center"/>
    </xf>
    <xf numFmtId="10" fontId="0" fillId="0" borderId="0" xfId="21" applyNumberFormat="1" applyFont="1" applyAlignment="1">
      <alignment vertical="top"/>
    </xf>
    <xf numFmtId="0" fontId="5" fillId="12" borderId="14" xfId="25" applyFont="1" applyFill="1" applyBorder="1" applyAlignment="1">
      <alignment vertical="center"/>
    </xf>
    <xf numFmtId="0" fontId="5" fillId="12" borderId="15" xfId="25" applyFont="1" applyFill="1" applyBorder="1" applyAlignment="1">
      <alignment horizontal="center" vertical="center"/>
    </xf>
    <xf numFmtId="0" fontId="42" fillId="0" borderId="0" xfId="0" applyFont="1" applyAlignment="1">
      <alignment horizontal="center" vertical="center"/>
    </xf>
    <xf numFmtId="0" fontId="43" fillId="0" borderId="0" xfId="0" applyFont="1" applyAlignment="1">
      <alignment vertical="center"/>
    </xf>
    <xf numFmtId="0" fontId="42" fillId="0" borderId="0" xfId="0" applyFont="1" applyAlignment="1">
      <alignment horizontal="center" vertical="center" wrapText="1"/>
    </xf>
    <xf numFmtId="0" fontId="42" fillId="0" borderId="0" xfId="0" applyFont="1" applyAlignment="1">
      <alignment vertical="center" wrapText="1"/>
    </xf>
    <xf numFmtId="172" fontId="42" fillId="0" borderId="0" xfId="0" applyNumberFormat="1" applyFont="1" applyAlignment="1">
      <alignment vertical="center" wrapText="1"/>
    </xf>
    <xf numFmtId="174" fontId="42" fillId="0" borderId="0" xfId="3" applyNumberFormat="1" applyFont="1" applyAlignment="1">
      <alignment horizontal="center" vertical="center" wrapText="1"/>
    </xf>
    <xf numFmtId="3" fontId="42" fillId="0" borderId="0" xfId="0" applyNumberFormat="1" applyFont="1" applyAlignment="1">
      <alignment horizontal="center" vertical="center" wrapText="1"/>
    </xf>
    <xf numFmtId="0" fontId="42" fillId="0" borderId="0" xfId="0" applyFont="1" applyAlignment="1">
      <alignment vertical="center"/>
    </xf>
    <xf numFmtId="0" fontId="43" fillId="13" borderId="0" xfId="0" applyFont="1" applyFill="1" applyAlignment="1">
      <alignment horizontal="center" vertical="center" wrapText="1"/>
    </xf>
    <xf numFmtId="172" fontId="43" fillId="13" borderId="0" xfId="0" applyNumberFormat="1" applyFont="1" applyFill="1" applyAlignment="1">
      <alignment horizontal="center" vertical="center" wrapText="1"/>
    </xf>
    <xf numFmtId="174" fontId="43" fillId="13" borderId="0" xfId="3" applyNumberFormat="1" applyFont="1" applyFill="1" applyAlignment="1">
      <alignment horizontal="center" vertical="center" wrapText="1"/>
    </xf>
    <xf numFmtId="3" fontId="43" fillId="13" borderId="0" xfId="0" applyNumberFormat="1" applyFont="1" applyFill="1" applyAlignment="1">
      <alignment horizontal="center" vertical="center" wrapText="1"/>
    </xf>
    <xf numFmtId="172" fontId="43" fillId="3" borderId="0" xfId="0" applyNumberFormat="1" applyFont="1" applyFill="1" applyAlignment="1">
      <alignment horizontal="center" vertical="center" wrapText="1"/>
    </xf>
    <xf numFmtId="172" fontId="42" fillId="0" borderId="0" xfId="0" applyNumberFormat="1" applyFont="1" applyAlignment="1">
      <alignment horizontal="justify" vertical="center"/>
    </xf>
    <xf numFmtId="172" fontId="42" fillId="0" borderId="0" xfId="0" applyNumberFormat="1" applyFont="1" applyAlignment="1">
      <alignment vertical="center"/>
    </xf>
    <xf numFmtId="174" fontId="42" fillId="0" borderId="0" xfId="3" applyNumberFormat="1" applyFont="1" applyAlignment="1">
      <alignment horizontal="center" vertical="center"/>
    </xf>
    <xf numFmtId="3" fontId="42" fillId="0" borderId="0" xfId="0" applyNumberFormat="1" applyFont="1" applyAlignment="1">
      <alignment horizontal="center" vertical="center"/>
    </xf>
    <xf numFmtId="175" fontId="42" fillId="0" borderId="0" xfId="3" applyNumberFormat="1" applyFont="1" applyAlignment="1">
      <alignment vertical="center"/>
    </xf>
    <xf numFmtId="0" fontId="43" fillId="0" borderId="0" xfId="0" applyFont="1" applyAlignment="1">
      <alignment horizontal="center" vertical="center" wrapText="1"/>
    </xf>
    <xf numFmtId="172" fontId="43" fillId="0" borderId="0" xfId="0" applyNumberFormat="1" applyFont="1" applyAlignment="1">
      <alignment horizontal="justify" vertical="center" wrapText="1"/>
    </xf>
    <xf numFmtId="172" fontId="43" fillId="0" borderId="0" xfId="0" applyNumberFormat="1" applyFont="1" applyAlignment="1">
      <alignment vertical="center" wrapText="1"/>
    </xf>
    <xf numFmtId="174" fontId="43" fillId="0" borderId="0" xfId="3" applyNumberFormat="1" applyFont="1" applyAlignment="1">
      <alignment horizontal="center" vertical="center" wrapText="1"/>
    </xf>
    <xf numFmtId="3" fontId="43" fillId="0" borderId="0" xfId="0" applyNumberFormat="1" applyFont="1" applyAlignment="1">
      <alignment horizontal="center" vertical="center" wrapText="1"/>
    </xf>
    <xf numFmtId="0" fontId="43" fillId="0" borderId="0" xfId="0" applyFont="1" applyAlignment="1">
      <alignment vertical="center" wrapText="1"/>
    </xf>
    <xf numFmtId="175" fontId="43" fillId="0" borderId="0" xfId="0" applyNumberFormat="1" applyFont="1" applyAlignment="1">
      <alignment vertical="center" wrapText="1"/>
    </xf>
    <xf numFmtId="0" fontId="42" fillId="14" borderId="0" xfId="0" applyFont="1" applyFill="1" applyAlignment="1">
      <alignment horizontal="center" vertical="center" wrapText="1"/>
    </xf>
    <xf numFmtId="10" fontId="42" fillId="0" borderId="0" xfId="3" applyNumberFormat="1" applyFont="1" applyAlignment="1">
      <alignment vertical="center" wrapText="1"/>
    </xf>
    <xf numFmtId="10" fontId="43" fillId="0" borderId="0" xfId="3" applyNumberFormat="1" applyFont="1" applyAlignment="1">
      <alignment vertical="center"/>
    </xf>
    <xf numFmtId="10" fontId="42" fillId="0" borderId="0" xfId="3" applyNumberFormat="1" applyFont="1" applyAlignment="1">
      <alignment vertical="center"/>
    </xf>
    <xf numFmtId="0" fontId="44" fillId="0" borderId="0" xfId="0" applyFont="1" applyAlignment="1">
      <alignment vertical="center"/>
    </xf>
    <xf numFmtId="0" fontId="44" fillId="0" borderId="0" xfId="0" applyFont="1"/>
    <xf numFmtId="0" fontId="47" fillId="0" borderId="20" xfId="0" applyFont="1" applyBorder="1" applyAlignment="1">
      <alignment horizontal="left" vertical="center" wrapText="1"/>
    </xf>
    <xf numFmtId="0" fontId="47" fillId="0" borderId="11" xfId="0" applyFont="1" applyBorder="1" applyAlignment="1">
      <alignment horizontal="left" vertical="center" wrapText="1"/>
    </xf>
    <xf numFmtId="0" fontId="48" fillId="0" borderId="23" xfId="0" applyFont="1" applyBorder="1" applyAlignment="1">
      <alignment horizontal="left" vertical="center" wrapText="1"/>
    </xf>
    <xf numFmtId="0" fontId="46" fillId="8" borderId="21" xfId="25" applyFont="1" applyFill="1" applyBorder="1" applyAlignment="1">
      <alignment horizontal="center" vertical="center" wrapText="1"/>
    </xf>
    <xf numFmtId="0" fontId="46" fillId="8" borderId="22" xfId="25" applyFont="1" applyFill="1" applyBorder="1" applyAlignment="1">
      <alignment horizontal="center" vertical="center" wrapText="1"/>
    </xf>
    <xf numFmtId="15" fontId="49" fillId="0" borderId="8" xfId="0" applyNumberFormat="1" applyFont="1" applyBorder="1" applyAlignment="1">
      <alignment horizontal="center" vertical="center"/>
    </xf>
    <xf numFmtId="0" fontId="49" fillId="0" borderId="27" xfId="0" applyFont="1" applyBorder="1" applyAlignment="1">
      <alignment horizontal="justify" vertical="center" wrapText="1"/>
    </xf>
    <xf numFmtId="0" fontId="49" fillId="0" borderId="3" xfId="0" applyFont="1" applyBorder="1" applyAlignment="1">
      <alignment horizontal="justify" vertical="center"/>
    </xf>
    <xf numFmtId="0" fontId="44" fillId="0" borderId="21" xfId="0" applyFont="1" applyBorder="1"/>
    <xf numFmtId="0" fontId="44" fillId="0" borderId="22" xfId="0" applyFont="1" applyBorder="1"/>
    <xf numFmtId="0" fontId="50" fillId="0" borderId="0" xfId="0" applyFont="1" applyAlignment="1">
      <alignment vertical="center"/>
    </xf>
    <xf numFmtId="0" fontId="50" fillId="0" borderId="0" xfId="0" applyFont="1" applyAlignment="1">
      <alignment horizontal="center" vertical="center"/>
    </xf>
    <xf numFmtId="0" fontId="51" fillId="8" borderId="3" xfId="0" applyFont="1" applyFill="1" applyBorder="1" applyAlignment="1">
      <alignment horizontal="left" vertical="center" wrapText="1"/>
    </xf>
    <xf numFmtId="0" fontId="51" fillId="8" borderId="3" xfId="0" applyFont="1" applyFill="1" applyBorder="1" applyAlignment="1">
      <alignment vertical="center" wrapText="1"/>
    </xf>
    <xf numFmtId="0" fontId="50" fillId="15" borderId="0" xfId="0" applyFont="1" applyFill="1" applyAlignment="1">
      <alignment vertical="center"/>
    </xf>
    <xf numFmtId="0" fontId="51" fillId="3" borderId="35"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0" fillId="0" borderId="3" xfId="0" applyFont="1" applyBorder="1" applyAlignment="1">
      <alignment vertical="center"/>
    </xf>
    <xf numFmtId="172" fontId="50" fillId="0" borderId="3" xfId="2" applyNumberFormat="1" applyFont="1" applyBorder="1" applyAlignment="1">
      <alignment vertical="center"/>
    </xf>
    <xf numFmtId="0" fontId="51" fillId="16" borderId="3" xfId="0" applyFont="1" applyFill="1" applyBorder="1" applyAlignment="1">
      <alignment horizontal="left" vertical="center"/>
    </xf>
    <xf numFmtId="0" fontId="51" fillId="16" borderId="3" xfId="0" applyFont="1" applyFill="1" applyBorder="1" applyAlignment="1">
      <alignment horizontal="center" vertical="center"/>
    </xf>
    <xf numFmtId="172" fontId="51" fillId="16" borderId="3" xfId="2" applyNumberFormat="1" applyFont="1" applyFill="1" applyBorder="1" applyAlignment="1">
      <alignment horizontal="center" vertical="center"/>
    </xf>
    <xf numFmtId="0" fontId="50" fillId="15" borderId="0" xfId="0" applyFont="1" applyFill="1" applyAlignment="1">
      <alignment horizontal="center" vertical="center"/>
    </xf>
    <xf numFmtId="3" fontId="50" fillId="0" borderId="3" xfId="0" applyNumberFormat="1" applyFont="1" applyBorder="1" applyAlignment="1">
      <alignment horizontal="center" vertical="center"/>
    </xf>
    <xf numFmtId="172" fontId="50" fillId="0" borderId="3" xfId="2" applyNumberFormat="1" applyFont="1" applyBorder="1" applyAlignment="1">
      <alignment horizontal="center" vertical="center"/>
    </xf>
    <xf numFmtId="0" fontId="50" fillId="0" borderId="3" xfId="0" applyFont="1" applyBorder="1" applyAlignment="1">
      <alignment horizontal="center" vertical="center"/>
    </xf>
    <xf numFmtId="0" fontId="52" fillId="3" borderId="37" xfId="0" applyFont="1" applyFill="1" applyBorder="1" applyAlignment="1">
      <alignment horizontal="center" vertical="center" wrapText="1"/>
    </xf>
    <xf numFmtId="0" fontId="52" fillId="3" borderId="27" xfId="0" applyFont="1" applyFill="1" applyBorder="1" applyAlignment="1">
      <alignment horizontal="center" vertical="center" wrapText="1"/>
    </xf>
    <xf numFmtId="0" fontId="50" fillId="17" borderId="3" xfId="0" applyFont="1" applyFill="1" applyBorder="1" applyAlignment="1">
      <alignment horizontal="center" vertical="center"/>
    </xf>
    <xf numFmtId="176" fontId="51" fillId="16" borderId="3" xfId="5" applyNumberFormat="1" applyFont="1" applyFill="1" applyBorder="1" applyAlignment="1">
      <alignment horizontal="center" vertical="center"/>
    </xf>
    <xf numFmtId="176" fontId="51" fillId="0" borderId="3" xfId="5" applyNumberFormat="1" applyFont="1" applyFill="1" applyBorder="1" applyAlignment="1">
      <alignment horizontal="center" vertical="center"/>
    </xf>
    <xf numFmtId="176" fontId="50" fillId="0" borderId="0" xfId="0" applyNumberFormat="1" applyFont="1" applyAlignment="1">
      <alignment vertical="center"/>
    </xf>
    <xf numFmtId="49" fontId="51" fillId="3" borderId="35" xfId="0" applyNumberFormat="1" applyFont="1" applyFill="1" applyBorder="1" applyAlignment="1">
      <alignment horizontal="center" vertical="center" wrapText="1"/>
    </xf>
    <xf numFmtId="0" fontId="51" fillId="0" borderId="3" xfId="0" applyFont="1" applyBorder="1" applyAlignment="1">
      <alignment vertical="center"/>
    </xf>
    <xf numFmtId="0" fontId="51" fillId="0" borderId="3" xfId="0" applyFont="1" applyBorder="1" applyAlignment="1">
      <alignment vertical="center" wrapText="1"/>
    </xf>
    <xf numFmtId="3" fontId="50" fillId="0" borderId="3" xfId="0" applyNumberFormat="1" applyFont="1" applyBorder="1" applyAlignment="1">
      <alignment vertical="center"/>
    </xf>
    <xf numFmtId="0" fontId="51" fillId="17" borderId="3" xfId="0" applyFont="1" applyFill="1" applyBorder="1" applyAlignment="1">
      <alignment horizontal="center" vertical="center"/>
    </xf>
    <xf numFmtId="176" fontId="51" fillId="16" borderId="3" xfId="0" applyNumberFormat="1" applyFont="1" applyFill="1" applyBorder="1" applyAlignment="1">
      <alignment horizontal="center" vertical="center"/>
    </xf>
    <xf numFmtId="0" fontId="52" fillId="3" borderId="35" xfId="0" applyFont="1" applyFill="1" applyBorder="1" applyAlignment="1">
      <alignment horizontal="center" vertical="center" wrapText="1"/>
    </xf>
    <xf numFmtId="49" fontId="52" fillId="3" borderId="35" xfId="0" applyNumberFormat="1" applyFont="1" applyFill="1" applyBorder="1" applyAlignment="1">
      <alignment horizontal="center" vertical="center" wrapText="1"/>
    </xf>
    <xf numFmtId="0" fontId="50" fillId="0" borderId="0" xfId="0" applyFont="1" applyAlignment="1">
      <alignment horizontal="justify" vertical="center"/>
    </xf>
    <xf numFmtId="9" fontId="50" fillId="0" borderId="0" xfId="3" applyFont="1" applyAlignment="1">
      <alignment vertical="center"/>
    </xf>
    <xf numFmtId="0" fontId="51" fillId="3" borderId="3" xfId="0" applyFont="1" applyFill="1" applyBorder="1" applyAlignment="1">
      <alignment horizontal="justify" vertical="center" wrapText="1"/>
    </xf>
    <xf numFmtId="0" fontId="51" fillId="0" borderId="3" xfId="0" applyFont="1" applyBorder="1" applyAlignment="1">
      <alignment horizontal="center" vertical="center" wrapText="1"/>
    </xf>
    <xf numFmtId="0" fontId="50" fillId="0" borderId="38" xfId="0" applyFont="1" applyBorder="1" applyAlignment="1">
      <alignment horizontal="center" vertical="center"/>
    </xf>
    <xf numFmtId="0" fontId="51" fillId="3" borderId="38" xfId="0" applyFont="1" applyFill="1" applyBorder="1" applyAlignment="1">
      <alignment vertical="center"/>
    </xf>
    <xf numFmtId="0" fontId="51" fillId="3" borderId="39" xfId="0" applyFont="1" applyFill="1" applyBorder="1" applyAlignment="1">
      <alignment horizontal="center" vertical="center"/>
    </xf>
    <xf numFmtId="0" fontId="50" fillId="0" borderId="41" xfId="0" applyFont="1" applyBorder="1" applyAlignment="1">
      <alignment horizontal="center" vertical="center"/>
    </xf>
    <xf numFmtId="0" fontId="51" fillId="3" borderId="41" xfId="0" applyFont="1" applyFill="1" applyBorder="1" applyAlignment="1">
      <alignment vertical="center"/>
    </xf>
    <xf numFmtId="0" fontId="51" fillId="3" borderId="0" xfId="0" applyFont="1" applyFill="1" applyAlignment="1">
      <alignment horizontal="center" vertical="center"/>
    </xf>
    <xf numFmtId="0" fontId="50" fillId="0" borderId="28" xfId="0" applyFont="1" applyBorder="1" applyAlignment="1">
      <alignment horizontal="center" vertical="center"/>
    </xf>
    <xf numFmtId="0" fontId="51" fillId="3" borderId="28" xfId="0" applyFont="1" applyFill="1" applyBorder="1" applyAlignment="1">
      <alignment vertical="center"/>
    </xf>
    <xf numFmtId="0" fontId="51" fillId="3" borderId="29" xfId="0" applyFont="1" applyFill="1" applyBorder="1" applyAlignment="1">
      <alignment horizontal="center" vertical="center"/>
    </xf>
    <xf numFmtId="0" fontId="51" fillId="3" borderId="3" xfId="0" applyFont="1" applyFill="1" applyBorder="1" applyAlignment="1">
      <alignment horizontal="center" vertical="center" wrapText="1"/>
    </xf>
    <xf numFmtId="0" fontId="50" fillId="0" borderId="3" xfId="0" applyFont="1" applyBorder="1" applyAlignment="1">
      <alignment horizontal="center" vertical="center" wrapText="1"/>
    </xf>
    <xf numFmtId="0" fontId="50" fillId="0" borderId="3" xfId="0" applyFont="1" applyBorder="1" applyAlignment="1">
      <alignment horizontal="justify" vertical="center" wrapText="1"/>
    </xf>
    <xf numFmtId="0" fontId="50" fillId="0" borderId="3" xfId="0" applyFont="1" applyBorder="1" applyAlignment="1">
      <alignment horizontal="justify" vertical="center"/>
    </xf>
    <xf numFmtId="0" fontId="51" fillId="3" borderId="39" xfId="0" applyFont="1" applyFill="1" applyBorder="1" applyAlignment="1">
      <alignment vertical="center"/>
    </xf>
    <xf numFmtId="0" fontId="51" fillId="3" borderId="0" xfId="0" applyFont="1" applyFill="1" applyAlignment="1">
      <alignment vertical="center"/>
    </xf>
    <xf numFmtId="0" fontId="51" fillId="3" borderId="29" xfId="0" applyFont="1" applyFill="1" applyBorder="1" applyAlignment="1">
      <alignment vertical="center"/>
    </xf>
    <xf numFmtId="173" fontId="50" fillId="0" borderId="3" xfId="4" applyNumberFormat="1" applyFont="1" applyBorder="1" applyAlignment="1">
      <alignment horizontal="center" vertical="center" wrapText="1"/>
    </xf>
    <xf numFmtId="167" fontId="50" fillId="0" borderId="3" xfId="4" applyFont="1" applyBorder="1" applyAlignment="1">
      <alignment horizontal="center" vertical="center" wrapText="1"/>
    </xf>
    <xf numFmtId="173" fontId="50" fillId="0" borderId="3" xfId="4" applyNumberFormat="1" applyFont="1" applyFill="1" applyBorder="1" applyAlignment="1">
      <alignment horizontal="center" vertical="center" wrapText="1"/>
    </xf>
    <xf numFmtId="177" fontId="50" fillId="0" borderId="3" xfId="0" applyNumberFormat="1" applyFont="1" applyBorder="1" applyAlignment="1">
      <alignment horizontal="center" vertical="center"/>
    </xf>
    <xf numFmtId="0" fontId="51" fillId="3" borderId="40" xfId="0" applyFont="1" applyFill="1" applyBorder="1" applyAlignment="1">
      <alignment vertical="center"/>
    </xf>
    <xf numFmtId="0" fontId="51" fillId="3" borderId="42" xfId="0" applyFont="1" applyFill="1" applyBorder="1" applyAlignment="1">
      <alignment vertical="center"/>
    </xf>
    <xf numFmtId="0" fontId="51" fillId="3" borderId="43" xfId="0" applyFont="1" applyFill="1" applyBorder="1" applyAlignment="1">
      <alignment vertical="center"/>
    </xf>
    <xf numFmtId="4" fontId="50" fillId="0" borderId="3" xfId="0" applyNumberFormat="1" applyFont="1" applyBorder="1" applyAlignment="1">
      <alignment horizontal="center" vertical="center"/>
    </xf>
    <xf numFmtId="9" fontId="51" fillId="3" borderId="3" xfId="3" applyFont="1" applyFill="1" applyBorder="1" applyAlignment="1">
      <alignment horizontal="center" vertical="center" wrapText="1"/>
    </xf>
    <xf numFmtId="178" fontId="45" fillId="0" borderId="3" xfId="4" applyNumberFormat="1" applyFont="1" applyFill="1" applyBorder="1" applyAlignment="1">
      <alignment horizontal="center" vertical="center"/>
    </xf>
    <xf numFmtId="9" fontId="45" fillId="0" borderId="3" xfId="3" applyFont="1" applyFill="1" applyBorder="1" applyAlignment="1">
      <alignment horizontal="center" vertical="center"/>
    </xf>
    <xf numFmtId="0" fontId="50" fillId="0" borderId="3" xfId="3" applyNumberFormat="1" applyFont="1" applyBorder="1" applyAlignment="1">
      <alignment horizontal="left" vertical="center" wrapText="1"/>
    </xf>
    <xf numFmtId="0" fontId="44" fillId="0" borderId="3" xfId="6" applyFont="1" applyBorder="1" applyAlignment="1">
      <alignment horizontal="justify" vertical="center" wrapText="1"/>
    </xf>
    <xf numFmtId="0" fontId="50" fillId="0" borderId="3" xfId="3" applyNumberFormat="1" applyFont="1" applyBorder="1" applyAlignment="1">
      <alignment horizontal="justify" vertical="center"/>
    </xf>
    <xf numFmtId="167" fontId="45" fillId="0" borderId="3" xfId="4" applyFont="1" applyBorder="1" applyAlignment="1">
      <alignment horizontal="center" vertical="center"/>
    </xf>
    <xf numFmtId="0" fontId="50" fillId="0" borderId="27" xfId="3" applyNumberFormat="1" applyFont="1" applyBorder="1" applyAlignment="1">
      <alignment horizontal="justify" vertical="center" wrapText="1"/>
    </xf>
    <xf numFmtId="0" fontId="44" fillId="0" borderId="0" xfId="6" applyFont="1" applyAlignment="1">
      <alignment horizontal="justify" vertical="center" wrapText="1"/>
    </xf>
    <xf numFmtId="0" fontId="50" fillId="0" borderId="27" xfId="3" applyNumberFormat="1" applyFont="1" applyBorder="1" applyAlignment="1">
      <alignment horizontal="left" vertical="center" wrapText="1"/>
    </xf>
    <xf numFmtId="0" fontId="50" fillId="0" borderId="3" xfId="3" applyNumberFormat="1" applyFont="1" applyBorder="1" applyAlignment="1">
      <alignment horizontal="justify" vertical="center" wrapText="1"/>
    </xf>
    <xf numFmtId="0" fontId="44" fillId="0" borderId="3" xfId="6" applyNumberFormat="1" applyFont="1" applyBorder="1" applyAlignment="1">
      <alignment horizontal="left" vertical="center" wrapText="1"/>
    </xf>
    <xf numFmtId="0" fontId="50" fillId="0" borderId="3" xfId="3" applyNumberFormat="1" applyFont="1" applyBorder="1" applyAlignment="1">
      <alignment horizontal="left" vertical="top" wrapText="1"/>
    </xf>
    <xf numFmtId="0" fontId="44" fillId="0" borderId="0" xfId="6" applyFont="1" applyAlignment="1">
      <alignment horizontal="left" vertical="top" wrapText="1"/>
    </xf>
    <xf numFmtId="0" fontId="50" fillId="0" borderId="3" xfId="3" applyNumberFormat="1" applyFont="1" applyBorder="1" applyAlignment="1">
      <alignment horizontal="justify" vertical="top" wrapText="1"/>
    </xf>
    <xf numFmtId="9" fontId="50" fillId="0" borderId="3" xfId="3" applyFont="1" applyBorder="1" applyAlignment="1">
      <alignment vertical="center"/>
    </xf>
    <xf numFmtId="9" fontId="50" fillId="0" borderId="3" xfId="3" applyFont="1" applyBorder="1" applyAlignment="1">
      <alignment horizontal="justify" vertical="center"/>
    </xf>
    <xf numFmtId="0" fontId="51" fillId="18" borderId="0" xfId="25" applyFont="1" applyFill="1" applyAlignment="1">
      <alignment vertical="center" wrapText="1"/>
    </xf>
    <xf numFmtId="0" fontId="50" fillId="0" borderId="0" xfId="0" applyFont="1"/>
    <xf numFmtId="0" fontId="54" fillId="0" borderId="0" xfId="0" applyFont="1" applyAlignment="1">
      <alignment vertical="center"/>
    </xf>
    <xf numFmtId="0" fontId="51" fillId="0" borderId="22" xfId="25" applyFont="1" applyBorder="1" applyAlignment="1">
      <alignment horizontal="center" vertical="center" wrapText="1"/>
    </xf>
    <xf numFmtId="0" fontId="51" fillId="15" borderId="48" xfId="25" applyFont="1" applyFill="1" applyBorder="1" applyAlignment="1">
      <alignment vertical="center" wrapText="1"/>
    </xf>
    <xf numFmtId="0" fontId="51" fillId="15" borderId="49" xfId="25" applyFont="1" applyFill="1" applyBorder="1" applyAlignment="1">
      <alignment vertical="center" wrapText="1"/>
    </xf>
    <xf numFmtId="0" fontId="51" fillId="15" borderId="50" xfId="25" applyFont="1" applyFill="1" applyBorder="1" applyAlignment="1">
      <alignment vertical="center" wrapText="1"/>
    </xf>
    <xf numFmtId="0" fontId="51" fillId="15" borderId="0" xfId="25" applyFont="1" applyFill="1" applyAlignment="1">
      <alignment vertical="center" wrapText="1"/>
    </xf>
    <xf numFmtId="0" fontId="51" fillId="15" borderId="46" xfId="25" applyFont="1" applyFill="1" applyBorder="1" applyAlignment="1">
      <alignment vertical="center" wrapText="1"/>
    </xf>
    <xf numFmtId="0" fontId="51" fillId="0" borderId="46" xfId="25" applyFont="1" applyBorder="1" applyAlignment="1">
      <alignment vertical="center" wrapText="1"/>
    </xf>
    <xf numFmtId="0" fontId="51" fillId="0" borderId="0" xfId="25" applyFont="1" applyAlignment="1">
      <alignment vertical="center" wrapText="1"/>
    </xf>
    <xf numFmtId="0" fontId="51" fillId="0" borderId="0" xfId="25" applyFont="1" applyAlignment="1">
      <alignment horizontal="center" vertical="center" wrapText="1"/>
    </xf>
    <xf numFmtId="0" fontId="51" fillId="15" borderId="46" xfId="25" applyFont="1" applyFill="1" applyBorder="1" applyAlignment="1">
      <alignment horizontal="center" vertical="center" wrapText="1"/>
    </xf>
    <xf numFmtId="0" fontId="51" fillId="15" borderId="57" xfId="25" applyFont="1" applyFill="1" applyBorder="1" applyAlignment="1">
      <alignment horizontal="center" vertical="center" wrapText="1"/>
    </xf>
    <xf numFmtId="0" fontId="56" fillId="15" borderId="0" xfId="25" applyFont="1" applyFill="1" applyAlignment="1">
      <alignment horizontal="center" vertical="center" wrapText="1"/>
    </xf>
    <xf numFmtId="0" fontId="50" fillId="15" borderId="46" xfId="0" applyFont="1" applyFill="1" applyBorder="1" applyAlignment="1">
      <alignment vertical="center"/>
    </xf>
    <xf numFmtId="0" fontId="51" fillId="8" borderId="59" xfId="25" applyFont="1" applyFill="1" applyBorder="1" applyAlignment="1">
      <alignment horizontal="center" vertical="center" wrapText="1"/>
    </xf>
    <xf numFmtId="0" fontId="51" fillId="8" borderId="5" xfId="25" applyFont="1" applyFill="1" applyBorder="1" applyAlignment="1">
      <alignment horizontal="center" vertical="center" wrapText="1"/>
    </xf>
    <xf numFmtId="0" fontId="51" fillId="8" borderId="7" xfId="25" applyFont="1" applyFill="1" applyBorder="1" applyAlignment="1">
      <alignment horizontal="center" vertical="center" wrapText="1"/>
    </xf>
    <xf numFmtId="0" fontId="51" fillId="8" borderId="18" xfId="25" applyFont="1" applyFill="1" applyBorder="1" applyAlignment="1">
      <alignment vertical="center" wrapText="1"/>
    </xf>
    <xf numFmtId="179" fontId="50" fillId="0" borderId="60" xfId="1" applyNumberFormat="1" applyFont="1" applyBorder="1" applyAlignment="1">
      <alignment vertical="center"/>
    </xf>
    <xf numFmtId="179" fontId="50" fillId="0" borderId="27" xfId="1" applyNumberFormat="1" applyFont="1" applyBorder="1" applyAlignment="1">
      <alignment vertical="center"/>
    </xf>
    <xf numFmtId="0" fontId="51" fillId="8" borderId="8" xfId="25" applyFont="1" applyFill="1" applyBorder="1" applyAlignment="1">
      <alignment vertical="center" wrapText="1"/>
    </xf>
    <xf numFmtId="179" fontId="50" fillId="0" borderId="8" xfId="1" applyNumberFormat="1" applyFont="1" applyBorder="1" applyAlignment="1">
      <alignment vertical="center"/>
    </xf>
    <xf numFmtId="179" fontId="50" fillId="0" borderId="3" xfId="1" applyNumberFormat="1" applyFont="1" applyBorder="1" applyAlignment="1">
      <alignment vertical="center"/>
    </xf>
    <xf numFmtId="0" fontId="51" fillId="8" borderId="21" xfId="25" applyFont="1" applyFill="1" applyBorder="1" applyAlignment="1">
      <alignment vertical="center" wrapText="1"/>
    </xf>
    <xf numFmtId="179" fontId="50" fillId="0" borderId="21" xfId="1" applyNumberFormat="1" applyFont="1" applyBorder="1" applyAlignment="1">
      <alignment vertical="center"/>
    </xf>
    <xf numFmtId="179" fontId="50" fillId="0" borderId="22" xfId="1" applyNumberFormat="1" applyFont="1" applyBorder="1" applyAlignment="1">
      <alignment vertical="center"/>
    </xf>
    <xf numFmtId="0" fontId="51" fillId="8" borderId="3" xfId="25" applyFont="1" applyFill="1" applyBorder="1" applyAlignment="1">
      <alignment horizontal="center" vertical="center" wrapText="1"/>
    </xf>
    <xf numFmtId="0" fontId="50" fillId="0" borderId="21" xfId="25" applyFont="1" applyBorder="1" applyAlignment="1">
      <alignment horizontal="left" vertical="center" wrapText="1"/>
    </xf>
    <xf numFmtId="0" fontId="50" fillId="0" borderId="46" xfId="25" applyFont="1" applyBorder="1" applyAlignment="1">
      <alignment horizontal="left" vertical="center" wrapText="1"/>
    </xf>
    <xf numFmtId="3" fontId="51" fillId="0" borderId="0" xfId="25" applyNumberFormat="1" applyFont="1" applyAlignment="1">
      <alignment horizontal="center" vertical="center" wrapText="1"/>
    </xf>
    <xf numFmtId="0" fontId="51" fillId="0" borderId="27" xfId="25" applyFont="1" applyBorder="1" applyAlignment="1">
      <alignment horizontal="left" vertical="center" wrapText="1"/>
    </xf>
    <xf numFmtId="4" fontId="51" fillId="0" borderId="35" xfId="25" applyNumberFormat="1" applyFont="1" applyBorder="1" applyAlignment="1">
      <alignment horizontal="center" vertical="center" wrapText="1"/>
    </xf>
    <xf numFmtId="0" fontId="51" fillId="3" borderId="22" xfId="25" applyFont="1" applyFill="1" applyBorder="1" applyAlignment="1">
      <alignment horizontal="left" vertical="center" wrapText="1"/>
    </xf>
    <xf numFmtId="4" fontId="50" fillId="3" borderId="22" xfId="33" applyNumberFormat="1" applyFont="1" applyFill="1" applyBorder="1" applyAlignment="1" applyProtection="1">
      <alignment horizontal="center" vertical="center" wrapText="1"/>
    </xf>
    <xf numFmtId="9" fontId="51" fillId="0" borderId="3" xfId="25" applyNumberFormat="1" applyFont="1" applyBorder="1" applyAlignment="1">
      <alignment horizontal="center" vertical="center" wrapText="1"/>
    </xf>
    <xf numFmtId="0" fontId="51" fillId="0" borderId="3" xfId="25" applyFont="1" applyBorder="1" applyAlignment="1">
      <alignment horizontal="left" vertical="center" wrapText="1"/>
    </xf>
    <xf numFmtId="9" fontId="50" fillId="0" borderId="3" xfId="31" applyFont="1" applyFill="1" applyBorder="1" applyAlignment="1" applyProtection="1">
      <alignment horizontal="center" vertical="center" wrapText="1"/>
      <protection locked="0"/>
    </xf>
    <xf numFmtId="0" fontId="51" fillId="3" borderId="3" xfId="25" applyFont="1" applyFill="1" applyBorder="1" applyAlignment="1">
      <alignment horizontal="left" vertical="center" wrapText="1"/>
    </xf>
    <xf numFmtId="9" fontId="50" fillId="3" borderId="3" xfId="3" applyFont="1" applyFill="1" applyBorder="1" applyAlignment="1" applyProtection="1">
      <alignment horizontal="center" vertical="center" wrapText="1"/>
      <protection locked="0"/>
    </xf>
    <xf numFmtId="0" fontId="57" fillId="19" borderId="70" xfId="0" applyFont="1" applyFill="1" applyBorder="1" applyAlignment="1">
      <alignment horizontal="center" vertical="center" wrapText="1"/>
    </xf>
    <xf numFmtId="0" fontId="57" fillId="0" borderId="70" xfId="0" applyFont="1" applyBorder="1" applyAlignment="1">
      <alignment horizontal="center" vertical="center" wrapText="1"/>
    </xf>
    <xf numFmtId="9" fontId="60" fillId="0" borderId="0" xfId="0" applyNumberFormat="1" applyFont="1" applyAlignment="1">
      <alignment horizontal="center" vertical="center"/>
    </xf>
    <xf numFmtId="0" fontId="57" fillId="20" borderId="70" xfId="0" applyFont="1" applyFill="1" applyBorder="1" applyAlignment="1">
      <alignment horizontal="center" vertical="center" wrapText="1"/>
    </xf>
    <xf numFmtId="180" fontId="60" fillId="20" borderId="0" xfId="0" applyNumberFormat="1" applyFont="1" applyFill="1" applyAlignment="1">
      <alignment horizontal="center" vertical="center"/>
    </xf>
    <xf numFmtId="10" fontId="60" fillId="20" borderId="0" xfId="0" applyNumberFormat="1" applyFont="1" applyFill="1" applyAlignment="1">
      <alignment horizontal="center" vertical="center"/>
    </xf>
    <xf numFmtId="0" fontId="57" fillId="20" borderId="73" xfId="0" applyFont="1" applyFill="1" applyBorder="1" applyAlignment="1">
      <alignment horizontal="center" vertical="center" wrapText="1"/>
    </xf>
    <xf numFmtId="180" fontId="60" fillId="20" borderId="56" xfId="0" applyNumberFormat="1" applyFont="1" applyFill="1" applyBorder="1" applyAlignment="1">
      <alignment horizontal="center" vertical="center"/>
    </xf>
    <xf numFmtId="0" fontId="57" fillId="0" borderId="0" xfId="0" applyFont="1" applyAlignment="1">
      <alignment horizontal="center" vertical="center" wrapText="1"/>
    </xf>
    <xf numFmtId="180" fontId="60" fillId="0" borderId="0" xfId="0" applyNumberFormat="1" applyFon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wrapText="1"/>
    </xf>
    <xf numFmtId="0" fontId="51" fillId="15" borderId="0" xfId="25" applyFont="1" applyFill="1" applyAlignment="1">
      <alignment horizontal="center" vertical="center" wrapText="1"/>
    </xf>
    <xf numFmtId="0" fontId="51" fillId="8" borderId="9" xfId="25" applyFont="1" applyFill="1" applyBorder="1" applyAlignment="1">
      <alignment horizontal="center" vertical="center" wrapText="1"/>
    </xf>
    <xf numFmtId="0" fontId="51" fillId="17" borderId="0" xfId="25" applyFont="1" applyFill="1" applyAlignment="1">
      <alignment vertical="center" wrapText="1"/>
    </xf>
    <xf numFmtId="179" fontId="50" fillId="0" borderId="28" xfId="1" applyNumberFormat="1" applyFont="1" applyBorder="1" applyAlignment="1">
      <alignment vertical="center"/>
    </xf>
    <xf numFmtId="9" fontId="50" fillId="0" borderId="4" xfId="3" applyFont="1" applyBorder="1" applyAlignment="1">
      <alignment vertical="center"/>
    </xf>
    <xf numFmtId="179" fontId="50" fillId="0" borderId="4" xfId="1" applyNumberFormat="1" applyFont="1" applyBorder="1" applyAlignment="1">
      <alignment vertical="center"/>
    </xf>
    <xf numFmtId="179" fontId="50" fillId="0" borderId="32" xfId="1" applyNumberFormat="1" applyFont="1" applyBorder="1" applyAlignment="1">
      <alignment vertical="center"/>
    </xf>
    <xf numFmtId="167" fontId="51" fillId="0" borderId="22" xfId="4" applyFont="1" applyFill="1" applyBorder="1" applyAlignment="1" applyProtection="1">
      <alignment horizontal="center" vertical="center" wrapText="1"/>
    </xf>
    <xf numFmtId="167" fontId="51" fillId="0" borderId="0" xfId="4" applyFont="1" applyFill="1" applyBorder="1" applyAlignment="1" applyProtection="1">
      <alignment horizontal="center" vertical="center" wrapText="1"/>
    </xf>
    <xf numFmtId="4" fontId="51" fillId="0" borderId="35" xfId="1" applyNumberFormat="1" applyFont="1" applyFill="1" applyBorder="1" applyAlignment="1" applyProtection="1">
      <alignment horizontal="center" vertical="center" wrapText="1"/>
    </xf>
    <xf numFmtId="4" fontId="51" fillId="3" borderId="22" xfId="3" applyNumberFormat="1" applyFont="1" applyFill="1" applyBorder="1" applyAlignment="1" applyProtection="1">
      <alignment horizontal="center" vertical="center" wrapText="1"/>
    </xf>
    <xf numFmtId="174" fontId="50" fillId="0" borderId="3" xfId="31" applyNumberFormat="1" applyFont="1" applyFill="1" applyBorder="1" applyAlignment="1" applyProtection="1">
      <alignment horizontal="center" vertical="center" wrapText="1"/>
      <protection locked="0"/>
    </xf>
    <xf numFmtId="0" fontId="57" fillId="19" borderId="77" xfId="0" applyFont="1" applyFill="1" applyBorder="1" applyAlignment="1">
      <alignment horizontal="center" vertical="center" wrapText="1"/>
    </xf>
    <xf numFmtId="180" fontId="57" fillId="21" borderId="54" xfId="0" applyNumberFormat="1" applyFont="1" applyFill="1" applyBorder="1" applyAlignment="1">
      <alignment horizontal="center" vertical="center"/>
    </xf>
    <xf numFmtId="180" fontId="57" fillId="20" borderId="54" xfId="0" applyNumberFormat="1" applyFont="1" applyFill="1" applyBorder="1" applyAlignment="1">
      <alignment horizontal="center" vertical="center"/>
    </xf>
    <xf numFmtId="180" fontId="57" fillId="20" borderId="15" xfId="0" applyNumberFormat="1" applyFont="1" applyFill="1" applyBorder="1" applyAlignment="1">
      <alignment horizontal="center" vertical="center"/>
    </xf>
    <xf numFmtId="180" fontId="57" fillId="0" borderId="0" xfId="0" applyNumberFormat="1" applyFont="1" applyAlignment="1">
      <alignment horizontal="center" vertical="center"/>
    </xf>
    <xf numFmtId="0" fontId="56" fillId="0" borderId="0" xfId="25" applyFont="1" applyAlignment="1">
      <alignment horizontal="center" vertical="center" wrapText="1"/>
    </xf>
    <xf numFmtId="0" fontId="51" fillId="8" borderId="61" xfId="25" applyFont="1" applyFill="1" applyBorder="1" applyAlignment="1">
      <alignment horizontal="center" vertical="center" wrapText="1"/>
    </xf>
    <xf numFmtId="179" fontId="50" fillId="0" borderId="18" xfId="1" applyNumberFormat="1" applyFont="1" applyBorder="1" applyAlignment="1">
      <alignment vertical="center"/>
    </xf>
    <xf numFmtId="179" fontId="50" fillId="0" borderId="19" xfId="1" applyNumberFormat="1" applyFont="1" applyBorder="1" applyAlignment="1">
      <alignment vertical="center"/>
    </xf>
    <xf numFmtId="0" fontId="50" fillId="0" borderId="0" xfId="25" applyFont="1" applyAlignment="1">
      <alignment horizontal="center" vertical="center" wrapText="1"/>
    </xf>
    <xf numFmtId="0" fontId="60" fillId="0" borderId="0" xfId="0" applyFont="1" applyAlignment="1">
      <alignment horizontal="justify" vertical="center" wrapText="1"/>
    </xf>
    <xf numFmtId="0" fontId="54" fillId="0" borderId="0" xfId="0" applyFont="1" applyAlignment="1">
      <alignment horizontal="justify" vertical="center" wrapText="1"/>
    </xf>
    <xf numFmtId="0" fontId="58" fillId="0" borderId="0" xfId="0" applyFont="1" applyAlignment="1">
      <alignment horizontal="justify" vertical="center" wrapText="1"/>
    </xf>
    <xf numFmtId="180" fontId="60" fillId="0" borderId="0" xfId="0" applyNumberFormat="1" applyFont="1" applyAlignment="1">
      <alignment horizontal="justify" vertical="center" wrapText="1"/>
    </xf>
    <xf numFmtId="180" fontId="58" fillId="0" borderId="0" xfId="0" applyNumberFormat="1" applyFont="1" applyAlignment="1">
      <alignment horizontal="justify" vertical="center" wrapText="1"/>
    </xf>
    <xf numFmtId="0" fontId="50" fillId="15" borderId="0" xfId="25" applyFont="1" applyFill="1" applyAlignment="1">
      <alignment vertical="center" wrapText="1"/>
    </xf>
    <xf numFmtId="0" fontId="50" fillId="15" borderId="54" xfId="25" applyFont="1" applyFill="1" applyBorder="1" applyAlignment="1">
      <alignment vertical="center" wrapText="1"/>
    </xf>
    <xf numFmtId="0" fontId="50" fillId="0" borderId="0" xfId="25" applyFont="1" applyAlignment="1">
      <alignment vertical="center" wrapText="1"/>
    </xf>
    <xf numFmtId="0" fontId="50" fillId="0" borderId="54" xfId="25" applyFont="1" applyBorder="1" applyAlignment="1">
      <alignment vertical="center" wrapText="1"/>
    </xf>
    <xf numFmtId="0" fontId="51" fillId="0" borderId="54" xfId="25" applyFont="1" applyBorder="1" applyAlignment="1">
      <alignment horizontal="center" vertical="center" wrapText="1"/>
    </xf>
    <xf numFmtId="0" fontId="50" fillId="15" borderId="54" xfId="0" applyFont="1" applyFill="1" applyBorder="1" applyAlignment="1">
      <alignment vertical="center"/>
    </xf>
    <xf numFmtId="181" fontId="50" fillId="0" borderId="0" xfId="0" applyNumberFormat="1" applyFont="1" applyAlignment="1">
      <alignment vertical="center"/>
    </xf>
    <xf numFmtId="0" fontId="51" fillId="8" borderId="80" xfId="25" applyFont="1" applyFill="1" applyBorder="1" applyAlignment="1">
      <alignment horizontal="center" vertical="center" wrapText="1"/>
    </xf>
    <xf numFmtId="181" fontId="50" fillId="0" borderId="0" xfId="2" applyNumberFormat="1" applyFont="1" applyBorder="1" applyAlignment="1">
      <alignment vertical="center"/>
    </xf>
    <xf numFmtId="179" fontId="50" fillId="0" borderId="20" xfId="1" applyNumberFormat="1" applyFont="1" applyBorder="1" applyAlignment="1">
      <alignment vertical="center"/>
    </xf>
    <xf numFmtId="179" fontId="51" fillId="0" borderId="3" xfId="1" applyNumberFormat="1" applyFont="1" applyBorder="1" applyAlignment="1">
      <alignment vertical="center"/>
    </xf>
    <xf numFmtId="9" fontId="50" fillId="0" borderId="11" xfId="3" applyFont="1" applyBorder="1" applyAlignment="1">
      <alignment vertical="center"/>
    </xf>
    <xf numFmtId="179" fontId="50" fillId="0" borderId="11" xfId="1" applyNumberFormat="1" applyFont="1" applyBorder="1" applyAlignment="1">
      <alignment vertical="center"/>
    </xf>
    <xf numFmtId="179" fontId="51" fillId="0" borderId="22" xfId="1" applyNumberFormat="1" applyFont="1" applyBorder="1" applyAlignment="1">
      <alignment vertical="center"/>
    </xf>
    <xf numFmtId="9" fontId="50" fillId="0" borderId="22" xfId="3" applyFont="1" applyBorder="1" applyAlignment="1">
      <alignment vertical="center"/>
    </xf>
    <xf numFmtId="9" fontId="50" fillId="0" borderId="23" xfId="3" applyFont="1" applyBorder="1" applyAlignment="1">
      <alignment vertical="center"/>
    </xf>
    <xf numFmtId="0" fontId="50" fillId="0" borderId="54" xfId="25" applyFont="1" applyBorder="1" applyAlignment="1">
      <alignment horizontal="center" vertical="center" wrapText="1"/>
    </xf>
    <xf numFmtId="42" fontId="50" fillId="0" borderId="0" xfId="5" applyFont="1" applyAlignment="1">
      <alignment vertical="center"/>
    </xf>
    <xf numFmtId="42" fontId="51" fillId="0" borderId="0" xfId="5" applyFont="1" applyAlignment="1">
      <alignment vertical="center"/>
    </xf>
    <xf numFmtId="0" fontId="51" fillId="0" borderId="0" xfId="0" applyFont="1" applyAlignment="1">
      <alignment vertical="center"/>
    </xf>
    <xf numFmtId="0" fontId="60" fillId="0" borderId="0" xfId="0" applyFont="1" applyAlignment="1">
      <alignment horizontal="center" vertical="center"/>
    </xf>
    <xf numFmtId="0" fontId="60" fillId="22" borderId="0" xfId="0" applyFont="1" applyFill="1" applyAlignment="1">
      <alignment horizontal="center" vertical="center"/>
    </xf>
    <xf numFmtId="182" fontId="57" fillId="22" borderId="0" xfId="0" applyNumberFormat="1" applyFont="1" applyFill="1" applyAlignment="1">
      <alignment horizontal="center" vertical="center"/>
    </xf>
    <xf numFmtId="0" fontId="60" fillId="0" borderId="0" xfId="0" applyFont="1" applyAlignment="1">
      <alignment vertical="center"/>
    </xf>
    <xf numFmtId="0" fontId="57" fillId="23" borderId="0" xfId="0" applyFont="1" applyFill="1" applyAlignment="1">
      <alignment vertical="center"/>
    </xf>
    <xf numFmtId="183" fontId="60" fillId="23" borderId="0" xfId="0" applyNumberFormat="1" applyFont="1" applyFill="1" applyAlignment="1">
      <alignment horizontal="center" vertical="center"/>
    </xf>
    <xf numFmtId="0" fontId="62" fillId="0" borderId="0" xfId="0" applyFont="1" applyAlignment="1">
      <alignment horizontal="justify" vertical="center" wrapText="1"/>
    </xf>
    <xf numFmtId="0" fontId="62" fillId="0" borderId="0" xfId="0" applyFont="1" applyAlignment="1">
      <alignment vertical="center"/>
    </xf>
    <xf numFmtId="0" fontId="58" fillId="0" borderId="0" xfId="0" applyFont="1" applyAlignment="1">
      <alignment vertical="center"/>
    </xf>
    <xf numFmtId="180" fontId="60" fillId="23" borderId="0" xfId="0" applyNumberFormat="1" applyFont="1" applyFill="1" applyAlignment="1">
      <alignment horizontal="center" vertical="center"/>
    </xf>
    <xf numFmtId="3" fontId="51" fillId="0" borderId="35" xfId="25" applyNumberFormat="1" applyFont="1" applyBorder="1" applyAlignment="1">
      <alignment horizontal="center" vertical="center" wrapText="1"/>
    </xf>
    <xf numFmtId="3" fontId="50" fillId="3" borderId="22" xfId="33" applyNumberFormat="1" applyFont="1" applyFill="1" applyBorder="1" applyAlignment="1" applyProtection="1">
      <alignment horizontal="center" vertical="center" wrapText="1"/>
    </xf>
    <xf numFmtId="3" fontId="51" fillId="3" borderId="22" xfId="3" applyNumberFormat="1" applyFont="1" applyFill="1" applyBorder="1" applyAlignment="1" applyProtection="1">
      <alignment horizontal="center" vertical="center" wrapText="1"/>
    </xf>
    <xf numFmtId="174" fontId="51" fillId="0" borderId="3" xfId="25" applyNumberFormat="1" applyFont="1" applyBorder="1" applyAlignment="1">
      <alignment horizontal="center" vertical="center" wrapText="1"/>
    </xf>
    <xf numFmtId="3" fontId="51" fillId="0" borderId="35" xfId="1" applyNumberFormat="1" applyFont="1" applyFill="1" applyBorder="1" applyAlignment="1" applyProtection="1">
      <alignment horizontal="center" vertical="center" wrapText="1"/>
    </xf>
    <xf numFmtId="9" fontId="45" fillId="0" borderId="3" xfId="31" applyFont="1" applyFill="1" applyBorder="1" applyAlignment="1" applyProtection="1">
      <alignment horizontal="center" vertical="center" wrapText="1"/>
      <protection locked="0"/>
    </xf>
    <xf numFmtId="179" fontId="51" fillId="0" borderId="3" xfId="1" applyNumberFormat="1" applyFont="1" applyFill="1" applyBorder="1" applyAlignment="1">
      <alignment vertical="center"/>
    </xf>
    <xf numFmtId="179" fontId="51" fillId="0" borderId="22" xfId="1" applyNumberFormat="1" applyFont="1" applyFill="1" applyBorder="1" applyAlignment="1">
      <alignment vertical="center"/>
    </xf>
    <xf numFmtId="0" fontId="54" fillId="0" borderId="0" xfId="0" applyFont="1" applyAlignment="1">
      <alignment horizontal="justify" vertical="center"/>
    </xf>
    <xf numFmtId="3" fontId="51" fillId="15" borderId="35" xfId="1" applyNumberFormat="1" applyFont="1" applyFill="1" applyBorder="1" applyAlignment="1" applyProtection="1">
      <alignment horizontal="center" vertical="center" wrapText="1"/>
    </xf>
    <xf numFmtId="9" fontId="51" fillId="3" borderId="3" xfId="3" applyFont="1" applyFill="1" applyBorder="1" applyAlignment="1" applyProtection="1">
      <alignment horizontal="center" vertical="center" wrapText="1"/>
      <protection locked="0"/>
    </xf>
    <xf numFmtId="0" fontId="44" fillId="0" borderId="0" xfId="0" applyFont="1" applyAlignment="1">
      <alignment horizontal="left" vertical="center"/>
    </xf>
    <xf numFmtId="0" fontId="65" fillId="26" borderId="3" xfId="0" applyFont="1" applyFill="1" applyBorder="1" applyAlignment="1">
      <alignment horizontal="left" vertical="center"/>
    </xf>
    <xf numFmtId="0" fontId="65" fillId="26" borderId="3" xfId="0" applyFont="1" applyFill="1" applyBorder="1" applyAlignment="1">
      <alignment horizontal="center" vertical="center"/>
    </xf>
    <xf numFmtId="0" fontId="65" fillId="0" borderId="3" xfId="0" applyFont="1" applyBorder="1" applyAlignment="1">
      <alignment horizontal="left" vertical="center"/>
    </xf>
    <xf numFmtId="0" fontId="44" fillId="0" borderId="35" xfId="0" applyFont="1" applyBorder="1" applyAlignment="1">
      <alignment horizontal="left" vertical="center"/>
    </xf>
    <xf numFmtId="0" fontId="66" fillId="0" borderId="35" xfId="0" applyFont="1" applyBorder="1" applyAlignment="1">
      <alignment horizontal="left" vertical="center" wrapText="1"/>
    </xf>
    <xf numFmtId="0" fontId="44" fillId="0" borderId="3" xfId="0" applyFont="1" applyBorder="1" applyAlignment="1">
      <alignment vertical="center" wrapText="1"/>
    </xf>
    <xf numFmtId="0" fontId="44" fillId="0" borderId="27" xfId="0" applyFont="1" applyBorder="1" applyAlignment="1">
      <alignment vertical="center" wrapText="1"/>
    </xf>
    <xf numFmtId="0" fontId="65" fillId="27" borderId="3" xfId="0" applyFont="1" applyFill="1" applyBorder="1" applyAlignment="1">
      <alignment horizontal="left" vertical="center"/>
    </xf>
    <xf numFmtId="0" fontId="44" fillId="27" borderId="27" xfId="0" applyFont="1" applyFill="1" applyBorder="1" applyAlignment="1">
      <alignment vertical="center" wrapText="1"/>
    </xf>
    <xf numFmtId="0" fontId="44" fillId="0" borderId="27" xfId="0" applyFont="1" applyBorder="1" applyAlignment="1">
      <alignment horizontal="left" vertical="center" wrapText="1"/>
    </xf>
    <xf numFmtId="0" fontId="44" fillId="27" borderId="27" xfId="0" applyFont="1" applyFill="1" applyBorder="1" applyAlignment="1">
      <alignment horizontal="left" vertical="center" wrapText="1"/>
    </xf>
    <xf numFmtId="0" fontId="65" fillId="0" borderId="3" xfId="0" applyFont="1" applyBorder="1" applyAlignment="1">
      <alignment horizontal="left" vertical="center" wrapText="1"/>
    </xf>
    <xf numFmtId="0" fontId="65" fillId="27" borderId="3" xfId="0" applyFont="1" applyFill="1" applyBorder="1" applyAlignment="1">
      <alignment horizontal="left" vertical="center" wrapText="1"/>
    </xf>
    <xf numFmtId="0" fontId="65" fillId="0" borderId="3" xfId="0" applyFont="1" applyBorder="1" applyAlignment="1">
      <alignment vertical="center" wrapText="1"/>
    </xf>
    <xf numFmtId="0" fontId="44" fillId="0" borderId="3" xfId="0" applyFont="1" applyBorder="1" applyAlignment="1">
      <alignment horizontal="left" vertical="center" wrapText="1"/>
    </xf>
    <xf numFmtId="0" fontId="45" fillId="15" borderId="3" xfId="0" applyFont="1" applyFill="1" applyBorder="1" applyAlignment="1">
      <alignment horizontal="left" vertical="center" wrapText="1"/>
    </xf>
    <xf numFmtId="0" fontId="42" fillId="28" borderId="0" xfId="0" applyFont="1" applyFill="1" applyAlignment="1">
      <alignment horizontal="center" vertical="center" wrapText="1"/>
    </xf>
    <xf numFmtId="0" fontId="8" fillId="28" borderId="0" xfId="25" applyFont="1" applyFill="1" applyAlignment="1">
      <alignment vertical="top"/>
    </xf>
    <xf numFmtId="3" fontId="8" fillId="28" borderId="0" xfId="25" applyNumberFormat="1" applyFont="1" applyFill="1" applyAlignment="1">
      <alignment horizontal="right" vertical="top"/>
    </xf>
    <xf numFmtId="0" fontId="8" fillId="28" borderId="8" xfId="25" applyFont="1" applyFill="1" applyBorder="1" applyAlignment="1">
      <alignment horizontal="center" vertical="center"/>
    </xf>
    <xf numFmtId="3" fontId="8" fillId="28" borderId="3" xfId="25" applyNumberFormat="1" applyFont="1" applyFill="1" applyBorder="1" applyAlignment="1">
      <alignment horizontal="center" vertical="top"/>
    </xf>
    <xf numFmtId="15" fontId="19" fillId="28" borderId="3" xfId="25" applyNumberFormat="1" applyFont="1" applyFill="1" applyBorder="1" applyAlignment="1">
      <alignment horizontal="center" vertical="center" wrapText="1"/>
    </xf>
    <xf numFmtId="0" fontId="8" fillId="28" borderId="3" xfId="25" applyFont="1" applyFill="1" applyBorder="1" applyAlignment="1">
      <alignment vertical="top"/>
    </xf>
    <xf numFmtId="3" fontId="8" fillId="28" borderId="3" xfId="25" applyNumberFormat="1" applyFont="1" applyFill="1" applyBorder="1" applyAlignment="1">
      <alignment horizontal="right" vertical="top"/>
    </xf>
    <xf numFmtId="3" fontId="8" fillId="28" borderId="4" xfId="25" applyNumberFormat="1" applyFont="1" applyFill="1" applyBorder="1" applyAlignment="1">
      <alignment horizontal="right" vertical="top"/>
    </xf>
    <xf numFmtId="3" fontId="7" fillId="28" borderId="12" xfId="25" applyNumberFormat="1" applyFont="1" applyFill="1" applyBorder="1" applyAlignment="1">
      <alignment horizontal="right" vertical="top"/>
    </xf>
    <xf numFmtId="3" fontId="8" fillId="28" borderId="0" xfId="25" applyNumberFormat="1" applyFont="1" applyFill="1" applyAlignment="1">
      <alignment horizontal="left" vertical="top"/>
    </xf>
    <xf numFmtId="3" fontId="8" fillId="28" borderId="0" xfId="25" applyNumberFormat="1" applyFont="1" applyFill="1" applyAlignment="1">
      <alignment vertical="top"/>
    </xf>
    <xf numFmtId="0" fontId="9" fillId="28" borderId="0" xfId="25" applyFont="1" applyFill="1" applyAlignment="1">
      <alignment vertical="top"/>
    </xf>
    <xf numFmtId="3" fontId="9" fillId="28" borderId="0" xfId="25" applyNumberFormat="1" applyFont="1" applyFill="1" applyAlignment="1">
      <alignment horizontal="right" vertical="top"/>
    </xf>
    <xf numFmtId="0" fontId="9" fillId="28" borderId="8" xfId="25" applyFont="1" applyFill="1" applyBorder="1" applyAlignment="1">
      <alignment horizontal="center" vertical="center"/>
    </xf>
    <xf numFmtId="3" fontId="9" fillId="28" borderId="3" xfId="25" applyNumberFormat="1" applyFont="1" applyFill="1" applyBorder="1" applyAlignment="1">
      <alignment horizontal="center" vertical="top"/>
    </xf>
    <xf numFmtId="15" fontId="20" fillId="28" borderId="3" xfId="25" applyNumberFormat="1" applyFont="1" applyFill="1" applyBorder="1" applyAlignment="1">
      <alignment horizontal="center" vertical="center" wrapText="1"/>
    </xf>
    <xf numFmtId="0" fontId="9" fillId="28" borderId="3" xfId="25" applyFont="1" applyFill="1" applyBorder="1" applyAlignment="1">
      <alignment vertical="top"/>
    </xf>
    <xf numFmtId="3" fontId="9" fillId="28" borderId="3" xfId="25" applyNumberFormat="1" applyFont="1" applyFill="1" applyBorder="1" applyAlignment="1">
      <alignment horizontal="right" vertical="top"/>
    </xf>
    <xf numFmtId="3" fontId="9" fillId="28" borderId="4" xfId="25" applyNumberFormat="1" applyFont="1" applyFill="1" applyBorder="1" applyAlignment="1">
      <alignment horizontal="right" vertical="top"/>
    </xf>
    <xf numFmtId="3" fontId="9" fillId="28" borderId="0" xfId="25" applyNumberFormat="1" applyFont="1" applyFill="1" applyAlignment="1">
      <alignment horizontal="left" vertical="top"/>
    </xf>
    <xf numFmtId="3" fontId="9" fillId="28" borderId="0" xfId="25" applyNumberFormat="1" applyFont="1" applyFill="1" applyAlignment="1">
      <alignment vertical="top"/>
    </xf>
    <xf numFmtId="0" fontId="7" fillId="28" borderId="0" xfId="25" applyFont="1" applyFill="1" applyAlignment="1">
      <alignment vertical="top"/>
    </xf>
    <xf numFmtId="3" fontId="7" fillId="28" borderId="0" xfId="25" applyNumberFormat="1" applyFont="1" applyFill="1" applyAlignment="1">
      <alignment horizontal="right" vertical="top"/>
    </xf>
    <xf numFmtId="0" fontId="7" fillId="28" borderId="8" xfId="25" applyFont="1" applyFill="1" applyBorder="1" applyAlignment="1">
      <alignment horizontal="center" vertical="center"/>
    </xf>
    <xf numFmtId="3" fontId="7" fillId="28" borderId="3" xfId="25" applyNumberFormat="1" applyFont="1" applyFill="1" applyBorder="1" applyAlignment="1">
      <alignment horizontal="center" vertical="top"/>
    </xf>
    <xf numFmtId="15" fontId="21" fillId="28" borderId="3" xfId="25" applyNumberFormat="1" applyFont="1" applyFill="1" applyBorder="1" applyAlignment="1">
      <alignment horizontal="center" vertical="center" wrapText="1"/>
    </xf>
    <xf numFmtId="0" fontId="7" fillId="28" borderId="3" xfId="25" applyFont="1" applyFill="1" applyBorder="1" applyAlignment="1">
      <alignment vertical="top"/>
    </xf>
    <xf numFmtId="3" fontId="7" fillId="28" borderId="3" xfId="25" applyNumberFormat="1" applyFont="1" applyFill="1" applyBorder="1" applyAlignment="1">
      <alignment horizontal="right" vertical="top"/>
    </xf>
    <xf numFmtId="3" fontId="7" fillId="28" borderId="4" xfId="25" applyNumberFormat="1" applyFont="1" applyFill="1" applyBorder="1" applyAlignment="1">
      <alignment horizontal="right" vertical="top"/>
    </xf>
    <xf numFmtId="3" fontId="7" fillId="28" borderId="0" xfId="25" applyNumberFormat="1" applyFont="1" applyFill="1" applyAlignment="1">
      <alignment horizontal="left" vertical="top"/>
    </xf>
    <xf numFmtId="3" fontId="7" fillId="28" borderId="0" xfId="25" applyNumberFormat="1" applyFont="1" applyFill="1" applyAlignment="1">
      <alignment vertical="top"/>
    </xf>
    <xf numFmtId="0" fontId="10" fillId="28" borderId="0" xfId="25" applyFont="1" applyFill="1" applyAlignment="1">
      <alignment vertical="top"/>
    </xf>
    <xf numFmtId="3" fontId="10" fillId="28" borderId="0" xfId="25" applyNumberFormat="1" applyFont="1" applyFill="1" applyAlignment="1">
      <alignment horizontal="right" vertical="top"/>
    </xf>
    <xf numFmtId="0" fontId="10" fillId="28" borderId="8" xfId="25" applyFont="1" applyFill="1" applyBorder="1" applyAlignment="1">
      <alignment horizontal="center" vertical="center"/>
    </xf>
    <xf numFmtId="3" fontId="10" fillId="28" borderId="3" xfId="25" applyNumberFormat="1" applyFont="1" applyFill="1" applyBorder="1" applyAlignment="1">
      <alignment horizontal="center" vertical="top"/>
    </xf>
    <xf numFmtId="15" fontId="22" fillId="28" borderId="3" xfId="25" applyNumberFormat="1" applyFont="1" applyFill="1" applyBorder="1" applyAlignment="1">
      <alignment horizontal="center" vertical="center" wrapText="1"/>
    </xf>
    <xf numFmtId="0" fontId="10" fillId="28" borderId="3" xfId="25" applyFont="1" applyFill="1" applyBorder="1" applyAlignment="1">
      <alignment vertical="top"/>
    </xf>
    <xf numFmtId="3" fontId="10" fillId="28" borderId="3" xfId="25" applyNumberFormat="1" applyFont="1" applyFill="1" applyBorder="1" applyAlignment="1">
      <alignment horizontal="right" vertical="top"/>
    </xf>
    <xf numFmtId="3" fontId="10" fillId="28" borderId="4" xfId="25" applyNumberFormat="1" applyFont="1" applyFill="1" applyBorder="1" applyAlignment="1">
      <alignment horizontal="right" vertical="top"/>
    </xf>
    <xf numFmtId="3" fontId="10" fillId="28" borderId="0" xfId="25" applyNumberFormat="1" applyFont="1" applyFill="1" applyAlignment="1">
      <alignment horizontal="left" vertical="top"/>
    </xf>
    <xf numFmtId="0" fontId="11" fillId="28" borderId="0" xfId="25" applyFont="1" applyFill="1" applyAlignment="1">
      <alignment vertical="top"/>
    </xf>
    <xf numFmtId="3" fontId="11" fillId="28" borderId="0" xfId="25" applyNumberFormat="1" applyFont="1" applyFill="1" applyAlignment="1">
      <alignment horizontal="right" vertical="top"/>
    </xf>
    <xf numFmtId="0" fontId="11" fillId="28" borderId="8" xfId="25" applyFont="1" applyFill="1" applyBorder="1" applyAlignment="1">
      <alignment horizontal="center" vertical="center"/>
    </xf>
    <xf numFmtId="3" fontId="11" fillId="28" borderId="3" xfId="25" applyNumberFormat="1" applyFont="1" applyFill="1" applyBorder="1" applyAlignment="1">
      <alignment horizontal="center" vertical="top"/>
    </xf>
    <xf numFmtId="15" fontId="23" fillId="28" borderId="3" xfId="25" applyNumberFormat="1" applyFont="1" applyFill="1" applyBorder="1" applyAlignment="1">
      <alignment horizontal="center" vertical="center" wrapText="1"/>
    </xf>
    <xf numFmtId="0" fontId="11" fillId="28" borderId="3" xfId="25" applyFont="1" applyFill="1" applyBorder="1" applyAlignment="1">
      <alignment vertical="top"/>
    </xf>
    <xf numFmtId="3" fontId="11" fillId="28" borderId="3" xfId="25" applyNumberFormat="1" applyFont="1" applyFill="1" applyBorder="1" applyAlignment="1">
      <alignment horizontal="right" vertical="top"/>
    </xf>
    <xf numFmtId="3" fontId="11" fillId="28" borderId="4" xfId="25" applyNumberFormat="1" applyFont="1" applyFill="1" applyBorder="1" applyAlignment="1">
      <alignment horizontal="right" vertical="top"/>
    </xf>
    <xf numFmtId="3" fontId="11" fillId="28" borderId="0" xfId="25" applyNumberFormat="1" applyFont="1" applyFill="1" applyAlignment="1">
      <alignment horizontal="left" vertical="top"/>
    </xf>
    <xf numFmtId="3" fontId="11" fillId="28" borderId="0" xfId="25" applyNumberFormat="1" applyFont="1" applyFill="1" applyAlignment="1">
      <alignment vertical="top"/>
    </xf>
    <xf numFmtId="15" fontId="24" fillId="28" borderId="3" xfId="25" applyNumberFormat="1" applyFont="1" applyFill="1" applyBorder="1" applyAlignment="1">
      <alignment horizontal="center" vertical="center" wrapText="1"/>
    </xf>
    <xf numFmtId="0" fontId="15" fillId="28" borderId="0" xfId="25" applyFont="1" applyFill="1" applyAlignment="1">
      <alignment vertical="top"/>
    </xf>
    <xf numFmtId="3" fontId="15" fillId="28" borderId="0" xfId="25" applyNumberFormat="1" applyFont="1" applyFill="1" applyAlignment="1">
      <alignment horizontal="right" vertical="top"/>
    </xf>
    <xf numFmtId="0" fontId="15" fillId="28" borderId="0" xfId="25" applyFont="1" applyFill="1" applyAlignment="1">
      <alignment horizontal="center" vertical="center"/>
    </xf>
    <xf numFmtId="3" fontId="15" fillId="28" borderId="0" xfId="25" applyNumberFormat="1" applyFont="1" applyFill="1" applyAlignment="1">
      <alignment horizontal="center" vertical="top"/>
    </xf>
    <xf numFmtId="15" fontId="25" fillId="28" borderId="0" xfId="25" applyNumberFormat="1" applyFont="1" applyFill="1" applyAlignment="1">
      <alignment horizontal="center" vertical="center" wrapText="1"/>
    </xf>
    <xf numFmtId="3" fontId="15" fillId="28" borderId="0" xfId="25" applyNumberFormat="1" applyFont="1" applyFill="1" applyAlignment="1">
      <alignment horizontal="left" vertical="top"/>
    </xf>
    <xf numFmtId="0" fontId="8" fillId="28" borderId="0" xfId="25" applyFont="1" applyFill="1" applyAlignment="1">
      <alignment horizontal="center" vertical="center"/>
    </xf>
    <xf numFmtId="171" fontId="8" fillId="28" borderId="0" xfId="25" applyNumberFormat="1" applyFont="1" applyFill="1" applyAlignment="1">
      <alignment horizontal="center" vertical="center"/>
    </xf>
    <xf numFmtId="0" fontId="8" fillId="28" borderId="0" xfId="25" applyFont="1" applyFill="1" applyAlignment="1">
      <alignment horizontal="center" vertical="center" wrapText="1"/>
    </xf>
    <xf numFmtId="0" fontId="8" fillId="28" borderId="0" xfId="25" applyFont="1" applyFill="1" applyAlignment="1">
      <alignment horizontal="left" vertical="top"/>
    </xf>
    <xf numFmtId="3" fontId="11" fillId="28" borderId="12" xfId="25" applyNumberFormat="1" applyFont="1" applyFill="1" applyBorder="1" applyAlignment="1">
      <alignment horizontal="right" vertical="top"/>
    </xf>
    <xf numFmtId="3" fontId="15" fillId="28" borderId="12" xfId="25" applyNumberFormat="1" applyFont="1" applyFill="1" applyBorder="1" applyAlignment="1">
      <alignment horizontal="right" vertical="top"/>
    </xf>
    <xf numFmtId="179" fontId="50" fillId="0" borderId="0" xfId="0" applyNumberFormat="1" applyFont="1" applyAlignment="1">
      <alignment vertical="center"/>
    </xf>
    <xf numFmtId="179" fontId="50" fillId="0" borderId="0" xfId="0" applyNumberFormat="1" applyFont="1"/>
    <xf numFmtId="177" fontId="51" fillId="3" borderId="22" xfId="3" applyNumberFormat="1" applyFont="1" applyFill="1" applyBorder="1" applyAlignment="1" applyProtection="1">
      <alignment horizontal="center" vertical="center" wrapText="1"/>
    </xf>
    <xf numFmtId="179" fontId="50" fillId="0" borderId="19" xfId="1" applyNumberFormat="1" applyFont="1" applyFill="1" applyBorder="1" applyAlignment="1">
      <alignment vertical="center"/>
    </xf>
    <xf numFmtId="179" fontId="50" fillId="0" borderId="3" xfId="1" applyNumberFormat="1" applyFont="1" applyFill="1" applyBorder="1" applyAlignment="1">
      <alignment vertical="center"/>
    </xf>
    <xf numFmtId="0" fontId="45" fillId="15" borderId="4" xfId="0" applyFont="1" applyFill="1" applyBorder="1" applyAlignment="1">
      <alignment horizontal="left" vertical="center" wrapText="1"/>
    </xf>
    <xf numFmtId="0" fontId="45" fillId="15" borderId="36" xfId="0" applyFont="1" applyFill="1" applyBorder="1" applyAlignment="1">
      <alignment horizontal="left" vertical="center" wrapText="1"/>
    </xf>
    <xf numFmtId="0" fontId="64" fillId="24" borderId="4" xfId="0" applyFont="1" applyFill="1" applyBorder="1" applyAlignment="1">
      <alignment horizontal="center" vertical="center"/>
    </xf>
    <xf numFmtId="0" fontId="64" fillId="24" borderId="36" xfId="0" applyFont="1" applyFill="1" applyBorder="1" applyAlignment="1">
      <alignment horizontal="center" vertical="center"/>
    </xf>
    <xf numFmtId="0" fontId="65" fillId="25" borderId="4" xfId="0" applyFont="1" applyFill="1" applyBorder="1" applyAlignment="1">
      <alignment horizontal="left" vertical="center" wrapText="1"/>
    </xf>
    <xf numFmtId="0" fontId="65" fillId="25" borderId="36" xfId="0" applyFont="1" applyFill="1" applyBorder="1" applyAlignment="1">
      <alignment horizontal="left" vertical="center" wrapText="1"/>
    </xf>
    <xf numFmtId="0" fontId="65" fillId="13" borderId="4" xfId="0" applyFont="1" applyFill="1" applyBorder="1" applyAlignment="1">
      <alignment horizontal="center" vertical="center"/>
    </xf>
    <xf numFmtId="0" fontId="65" fillId="13" borderId="36" xfId="0" applyFont="1" applyFill="1" applyBorder="1" applyAlignment="1">
      <alignment horizontal="center" vertical="center"/>
    </xf>
    <xf numFmtId="0" fontId="51" fillId="0" borderId="5" xfId="25" applyFont="1" applyBorder="1" applyAlignment="1">
      <alignment horizontal="center" vertical="center"/>
    </xf>
    <xf numFmtId="0" fontId="51" fillId="0" borderId="7" xfId="25" applyFont="1" applyBorder="1" applyAlignment="1">
      <alignment horizontal="center" vertical="center"/>
    </xf>
    <xf numFmtId="0" fontId="51" fillId="0" borderId="9" xfId="25" applyFont="1" applyBorder="1" applyAlignment="1">
      <alignment horizontal="center" vertical="center"/>
    </xf>
    <xf numFmtId="0" fontId="53" fillId="0" borderId="16" xfId="0" applyFont="1" applyBorder="1" applyAlignment="1">
      <alignment horizontal="left" vertical="center" wrapText="1"/>
    </xf>
    <xf numFmtId="0" fontId="53" fillId="0" borderId="58" xfId="0" applyFont="1" applyBorder="1" applyAlignment="1">
      <alignment horizontal="left" vertical="center" wrapText="1"/>
    </xf>
    <xf numFmtId="0" fontId="53" fillId="0" borderId="17" xfId="0" applyFont="1" applyBorder="1" applyAlignment="1">
      <alignment horizontal="left" vertical="center" wrapText="1"/>
    </xf>
    <xf numFmtId="0" fontId="51" fillId="0" borderId="24" xfId="0" applyFont="1" applyBorder="1" applyAlignment="1">
      <alignment horizontal="center" vertical="center" wrapText="1"/>
    </xf>
    <xf numFmtId="0" fontId="51" fillId="0" borderId="26" xfId="0" applyFont="1" applyBorder="1" applyAlignment="1">
      <alignment horizontal="center" vertical="center" wrapText="1"/>
    </xf>
    <xf numFmtId="0" fontId="50" fillId="0" borderId="24" xfId="0" applyFont="1" applyBorder="1" applyAlignment="1">
      <alignment horizontal="center" vertical="center"/>
    </xf>
    <xf numFmtId="0" fontId="50" fillId="0" borderId="26" xfId="0" applyFont="1" applyBorder="1" applyAlignment="1">
      <alignment horizontal="center" vertical="center"/>
    </xf>
    <xf numFmtId="0" fontId="51" fillId="0" borderId="74" xfId="0" applyFont="1" applyBorder="1" applyAlignment="1">
      <alignment horizontal="center" vertical="center" wrapText="1"/>
    </xf>
    <xf numFmtId="0" fontId="51" fillId="0" borderId="12" xfId="0" applyFont="1" applyBorder="1" applyAlignment="1">
      <alignment horizontal="center" vertical="center" wrapText="1"/>
    </xf>
    <xf numFmtId="0" fontId="50" fillId="0" borderId="74" xfId="0" applyFont="1" applyBorder="1" applyAlignment="1">
      <alignment horizontal="center" vertical="center"/>
    </xf>
    <xf numFmtId="0" fontId="50" fillId="0" borderId="12" xfId="0" applyFont="1" applyBorder="1" applyAlignment="1">
      <alignment horizontal="center" vertical="center"/>
    </xf>
    <xf numFmtId="0" fontId="51" fillId="0" borderId="18" xfId="25" applyFont="1" applyBorder="1" applyAlignment="1">
      <alignment horizontal="center" vertical="center" wrapText="1"/>
    </xf>
    <xf numFmtId="0" fontId="51" fillId="0" borderId="19" xfId="25" applyFont="1" applyBorder="1" applyAlignment="1">
      <alignment horizontal="center" vertical="center" wrapText="1"/>
    </xf>
    <xf numFmtId="0" fontId="51" fillId="0" borderId="20" xfId="25" applyFont="1" applyBorder="1" applyAlignment="1">
      <alignment horizontal="center" vertical="center" wrapText="1"/>
    </xf>
    <xf numFmtId="0" fontId="51" fillId="0" borderId="21" xfId="25" applyFont="1" applyBorder="1" applyAlignment="1">
      <alignment horizontal="center" vertical="center" wrapText="1"/>
    </xf>
    <xf numFmtId="0" fontId="51" fillId="0" borderId="22" xfId="25" applyFont="1" applyBorder="1" applyAlignment="1">
      <alignment horizontal="center" vertical="center" wrapText="1"/>
    </xf>
    <xf numFmtId="0" fontId="51" fillId="0" borderId="23" xfId="25" applyFont="1" applyBorder="1" applyAlignment="1">
      <alignment horizontal="center" vertical="center" wrapText="1"/>
    </xf>
    <xf numFmtId="0" fontId="51" fillId="8" borderId="16" xfId="25" applyFont="1" applyFill="1" applyBorder="1" applyAlignment="1">
      <alignment horizontal="left" vertical="center" wrapText="1"/>
    </xf>
    <xf numFmtId="0" fontId="51" fillId="8" borderId="17" xfId="25" applyFont="1" applyFill="1" applyBorder="1" applyAlignment="1">
      <alignment horizontal="left" vertical="center" wrapText="1"/>
    </xf>
    <xf numFmtId="0" fontId="51" fillId="0" borderId="16" xfId="25" applyFont="1" applyBorder="1" applyAlignment="1">
      <alignment horizontal="center" vertical="center" wrapText="1"/>
    </xf>
    <xf numFmtId="0" fontId="51" fillId="0" borderId="58" xfId="25" applyFont="1" applyBorder="1" applyAlignment="1">
      <alignment horizontal="center" vertical="center" wrapText="1"/>
    </xf>
    <xf numFmtId="0" fontId="51" fillId="0" borderId="17" xfId="25" applyFont="1" applyBorder="1" applyAlignment="1">
      <alignment horizontal="center" vertical="center" wrapText="1"/>
    </xf>
    <xf numFmtId="0" fontId="51" fillId="0" borderId="75" xfId="0" applyFont="1" applyBorder="1" applyAlignment="1">
      <alignment horizontal="center" vertical="center" wrapText="1"/>
    </xf>
    <xf numFmtId="0" fontId="51" fillId="0" borderId="34" xfId="0" applyFont="1" applyBorder="1" applyAlignment="1">
      <alignment horizontal="center" vertical="center" wrapText="1"/>
    </xf>
    <xf numFmtId="0" fontId="50" fillId="0" borderId="75" xfId="0" applyFont="1" applyBorder="1" applyAlignment="1">
      <alignment horizontal="center" vertical="center"/>
    </xf>
    <xf numFmtId="0" fontId="50" fillId="0" borderId="34" xfId="0" applyFont="1" applyBorder="1" applyAlignment="1">
      <alignment horizontal="center" vertical="center"/>
    </xf>
    <xf numFmtId="0" fontId="56" fillId="0" borderId="16" xfId="25" applyFont="1" applyBorder="1" applyAlignment="1">
      <alignment horizontal="center" vertical="center" wrapText="1"/>
    </xf>
    <xf numFmtId="0" fontId="56" fillId="0" borderId="58" xfId="25" applyFont="1" applyBorder="1" applyAlignment="1">
      <alignment horizontal="center" vertical="center" wrapText="1"/>
    </xf>
    <xf numFmtId="0" fontId="56" fillId="0" borderId="17" xfId="25" applyFont="1" applyBorder="1" applyAlignment="1">
      <alignment horizontal="center" vertical="center" wrapText="1"/>
    </xf>
    <xf numFmtId="0" fontId="51" fillId="8" borderId="16" xfId="25" applyFont="1" applyFill="1" applyBorder="1" applyAlignment="1">
      <alignment horizontal="center" vertical="center" wrapText="1"/>
    </xf>
    <xf numFmtId="0" fontId="51" fillId="8" borderId="58" xfId="25" applyFont="1" applyFill="1" applyBorder="1" applyAlignment="1">
      <alignment horizontal="center" vertical="center" wrapText="1"/>
    </xf>
    <xf numFmtId="0" fontId="51" fillId="8" borderId="17" xfId="25" applyFont="1" applyFill="1" applyBorder="1" applyAlignment="1">
      <alignment horizontal="center" vertical="center" wrapText="1"/>
    </xf>
    <xf numFmtId="0" fontId="55" fillId="0" borderId="52" xfId="0" applyFont="1" applyBorder="1" applyAlignment="1">
      <alignment horizontal="center" vertical="center"/>
    </xf>
    <xf numFmtId="0" fontId="55" fillId="0" borderId="55" xfId="0" applyFont="1" applyBorder="1" applyAlignment="1">
      <alignment horizontal="center" vertical="center"/>
    </xf>
    <xf numFmtId="0" fontId="55" fillId="0" borderId="14" xfId="0" applyFont="1" applyBorder="1" applyAlignment="1">
      <alignment horizontal="center" vertical="center"/>
    </xf>
    <xf numFmtId="0" fontId="51" fillId="0" borderId="45" xfId="25" applyFont="1" applyBorder="1" applyAlignment="1">
      <alignment horizontal="center" vertical="center" wrapText="1"/>
    </xf>
    <xf numFmtId="0" fontId="51" fillId="0" borderId="53" xfId="25" applyFont="1" applyBorder="1" applyAlignment="1">
      <alignment horizontal="center" vertical="center" wrapText="1"/>
    </xf>
    <xf numFmtId="0" fontId="51" fillId="0" borderId="51" xfId="25" applyFont="1" applyBorder="1" applyAlignment="1">
      <alignment horizontal="center" vertical="center" wrapText="1"/>
    </xf>
    <xf numFmtId="0" fontId="51" fillId="0" borderId="46" xfId="25" applyFont="1" applyBorder="1" applyAlignment="1">
      <alignment horizontal="center" vertical="center" wrapText="1"/>
    </xf>
    <xf numFmtId="0" fontId="51" fillId="0" borderId="0" xfId="25" applyFont="1" applyAlignment="1">
      <alignment horizontal="center" vertical="center" wrapText="1"/>
    </xf>
    <xf numFmtId="0" fontId="51" fillId="0" borderId="54" xfId="25" applyFont="1" applyBorder="1" applyAlignment="1">
      <alignment horizontal="center" vertical="center" wrapText="1"/>
    </xf>
    <xf numFmtId="0" fontId="51" fillId="0" borderId="47" xfId="25" applyFont="1" applyBorder="1" applyAlignment="1">
      <alignment horizontal="center" vertical="center" wrapText="1"/>
    </xf>
    <xf numFmtId="0" fontId="51" fillId="0" borderId="56" xfId="25" applyFont="1" applyBorder="1" applyAlignment="1">
      <alignment horizontal="center" vertical="center" wrapText="1"/>
    </xf>
    <xf numFmtId="0" fontId="51" fillId="0" borderId="15" xfId="25" applyFont="1" applyBorder="1" applyAlignment="1">
      <alignment horizontal="center" vertical="center" wrapText="1"/>
    </xf>
    <xf numFmtId="15" fontId="51" fillId="0" borderId="45" xfId="0" applyNumberFormat="1" applyFont="1" applyBorder="1" applyAlignment="1">
      <alignment horizontal="center" vertical="center"/>
    </xf>
    <xf numFmtId="0" fontId="51" fillId="0" borderId="51" xfId="0" applyFont="1" applyBorder="1" applyAlignment="1">
      <alignment horizontal="center" vertical="center"/>
    </xf>
    <xf numFmtId="0" fontId="51" fillId="0" borderId="46" xfId="0" applyFont="1" applyBorder="1" applyAlignment="1">
      <alignment horizontal="center" vertical="center"/>
    </xf>
    <xf numFmtId="0" fontId="51" fillId="0" borderId="54" xfId="0" applyFont="1" applyBorder="1" applyAlignment="1">
      <alignment horizontal="center" vertical="center"/>
    </xf>
    <xf numFmtId="0" fontId="51" fillId="0" borderId="47" xfId="0" applyFont="1" applyBorder="1" applyAlignment="1">
      <alignment horizontal="center" vertical="center"/>
    </xf>
    <xf numFmtId="0" fontId="51" fillId="0" borderId="15" xfId="0" applyFont="1" applyBorder="1" applyAlignment="1">
      <alignment horizontal="center" vertical="center"/>
    </xf>
    <xf numFmtId="0" fontId="51" fillId="8" borderId="45" xfId="25" applyFont="1" applyFill="1" applyBorder="1" applyAlignment="1">
      <alignment horizontal="left" vertical="center" wrapText="1"/>
    </xf>
    <xf numFmtId="0" fontId="51" fillId="8" borderId="51" xfId="25" applyFont="1" applyFill="1" applyBorder="1" applyAlignment="1">
      <alignment horizontal="left" vertical="center" wrapText="1"/>
    </xf>
    <xf numFmtId="0" fontId="51" fillId="8" borderId="46" xfId="25" applyFont="1" applyFill="1" applyBorder="1" applyAlignment="1">
      <alignment horizontal="left" vertical="center" wrapText="1"/>
    </xf>
    <xf numFmtId="0" fontId="51" fillId="8" borderId="54" xfId="25" applyFont="1" applyFill="1" applyBorder="1" applyAlignment="1">
      <alignment horizontal="left" vertical="center" wrapText="1"/>
    </xf>
    <xf numFmtId="0" fontId="51" fillId="8" borderId="47" xfId="25" applyFont="1" applyFill="1" applyBorder="1" applyAlignment="1">
      <alignment horizontal="left" vertical="center" wrapText="1"/>
    </xf>
    <xf numFmtId="0" fontId="51" fillId="8" borderId="15" xfId="25" applyFont="1" applyFill="1" applyBorder="1" applyAlignment="1">
      <alignment horizontal="left" vertical="center" wrapText="1"/>
    </xf>
    <xf numFmtId="0" fontId="51" fillId="8" borderId="53" xfId="25" applyFont="1" applyFill="1" applyBorder="1" applyAlignment="1">
      <alignment horizontal="left" vertical="center" wrapText="1"/>
    </xf>
    <xf numFmtId="0" fontId="51" fillId="8" borderId="0" xfId="25" applyFont="1" applyFill="1" applyAlignment="1">
      <alignment horizontal="left" vertical="center" wrapText="1"/>
    </xf>
    <xf numFmtId="0" fontId="51" fillId="8" borderId="56" xfId="25" applyFont="1" applyFill="1" applyBorder="1" applyAlignment="1">
      <alignment horizontal="left" vertical="center" wrapText="1"/>
    </xf>
    <xf numFmtId="0" fontId="51" fillId="8" borderId="3" xfId="25" applyFont="1" applyFill="1" applyBorder="1" applyAlignment="1">
      <alignment horizontal="center" vertical="center" wrapText="1"/>
    </xf>
    <xf numFmtId="0" fontId="51" fillId="8" borderId="11" xfId="25" applyFont="1" applyFill="1" applyBorder="1" applyAlignment="1">
      <alignment horizontal="center" vertical="center" wrapText="1"/>
    </xf>
    <xf numFmtId="0" fontId="51" fillId="0" borderId="5" xfId="25" applyFont="1" applyBorder="1" applyAlignment="1">
      <alignment horizontal="center" vertical="center" wrapText="1"/>
    </xf>
    <xf numFmtId="0" fontId="51" fillId="0" borderId="7" xfId="25" applyFont="1" applyBorder="1" applyAlignment="1">
      <alignment horizontal="center" vertical="center" wrapText="1"/>
    </xf>
    <xf numFmtId="0" fontId="51" fillId="0" borderId="9" xfId="25" applyFont="1" applyBorder="1" applyAlignment="1">
      <alignment horizontal="center" vertical="center" wrapText="1"/>
    </xf>
    <xf numFmtId="0" fontId="51" fillId="15" borderId="56" xfId="25" applyFont="1" applyFill="1" applyBorder="1" applyAlignment="1">
      <alignment horizontal="left" vertical="center" wrapText="1"/>
    </xf>
    <xf numFmtId="0" fontId="50" fillId="0" borderId="22" xfId="25" applyFont="1" applyBorder="1" applyAlignment="1">
      <alignment horizontal="center" vertical="center" wrapText="1"/>
    </xf>
    <xf numFmtId="0" fontId="50" fillId="0" borderId="23" xfId="25" applyFont="1" applyBorder="1" applyAlignment="1">
      <alignment horizontal="center" vertical="center" wrapText="1"/>
    </xf>
    <xf numFmtId="0" fontId="51" fillId="8" borderId="4" xfId="25" applyFont="1" applyFill="1" applyBorder="1" applyAlignment="1">
      <alignment horizontal="center" vertical="center" wrapText="1"/>
    </xf>
    <xf numFmtId="0" fontId="51" fillId="8" borderId="31" xfId="25" applyFont="1" applyFill="1" applyBorder="1" applyAlignment="1">
      <alignment horizontal="center" vertical="center" wrapText="1"/>
    </xf>
    <xf numFmtId="0" fontId="51" fillId="8" borderId="36" xfId="25" applyFont="1" applyFill="1" applyBorder="1" applyAlignment="1">
      <alignment horizontal="center" vertical="center" wrapText="1"/>
    </xf>
    <xf numFmtId="0" fontId="50" fillId="8" borderId="3" xfId="25" applyFont="1" applyFill="1" applyBorder="1" applyAlignment="1">
      <alignment horizontal="center" vertical="center" wrapText="1"/>
    </xf>
    <xf numFmtId="9" fontId="44" fillId="0" borderId="3" xfId="33" applyFont="1" applyFill="1" applyBorder="1" applyAlignment="1" applyProtection="1">
      <alignment horizontal="justify" vertical="center" wrapText="1"/>
    </xf>
    <xf numFmtId="9" fontId="50" fillId="0" borderId="3" xfId="33" applyFont="1" applyFill="1" applyBorder="1" applyAlignment="1" applyProtection="1">
      <alignment horizontal="justify" vertical="center" wrapText="1"/>
    </xf>
    <xf numFmtId="9" fontId="50" fillId="0" borderId="11" xfId="33" applyFont="1" applyFill="1" applyBorder="1" applyAlignment="1" applyProtection="1">
      <alignment horizontal="justify" vertical="center" wrapText="1"/>
    </xf>
    <xf numFmtId="9" fontId="50" fillId="0" borderId="22" xfId="33" applyFont="1" applyFill="1" applyBorder="1" applyAlignment="1" applyProtection="1">
      <alignment horizontal="justify" vertical="center" wrapText="1"/>
    </xf>
    <xf numFmtId="9" fontId="50" fillId="0" borderId="23" xfId="33" applyFont="1" applyFill="1" applyBorder="1" applyAlignment="1" applyProtection="1">
      <alignment horizontal="justify" vertical="center" wrapText="1"/>
    </xf>
    <xf numFmtId="9" fontId="87" fillId="0" borderId="38" xfId="33" applyFont="1" applyFill="1" applyBorder="1" applyAlignment="1" applyProtection="1">
      <alignment horizontal="left" vertical="top" wrapText="1"/>
    </xf>
    <xf numFmtId="9" fontId="50" fillId="0" borderId="39" xfId="33" applyFont="1" applyFill="1" applyBorder="1" applyAlignment="1" applyProtection="1">
      <alignment horizontal="left" vertical="top" wrapText="1"/>
    </xf>
    <xf numFmtId="9" fontId="50" fillId="0" borderId="40" xfId="33" applyFont="1" applyFill="1" applyBorder="1" applyAlignment="1" applyProtection="1">
      <alignment horizontal="left" vertical="top" wrapText="1"/>
    </xf>
    <xf numFmtId="9" fontId="50" fillId="0" borderId="78" xfId="33" applyFont="1" applyFill="1" applyBorder="1" applyAlignment="1" applyProtection="1">
      <alignment horizontal="left" vertical="top" wrapText="1"/>
    </xf>
    <xf numFmtId="9" fontId="50" fillId="0" borderId="56" xfId="33" applyFont="1" applyFill="1" applyBorder="1" applyAlignment="1" applyProtection="1">
      <alignment horizontal="left" vertical="top" wrapText="1"/>
    </xf>
    <xf numFmtId="9" fontId="50" fillId="0" borderId="79" xfId="33" applyFont="1" applyFill="1" applyBorder="1" applyAlignment="1" applyProtection="1">
      <alignment horizontal="left" vertical="top" wrapText="1"/>
    </xf>
    <xf numFmtId="9" fontId="50" fillId="0" borderId="3" xfId="33" applyFont="1" applyFill="1" applyBorder="1" applyAlignment="1" applyProtection="1">
      <alignment horizontal="left" vertical="top" wrapText="1"/>
    </xf>
    <xf numFmtId="9" fontId="50" fillId="0" borderId="22" xfId="33" applyFont="1" applyFill="1" applyBorder="1" applyAlignment="1" applyProtection="1">
      <alignment horizontal="left" vertical="top" wrapText="1"/>
    </xf>
    <xf numFmtId="0" fontId="51" fillId="8" borderId="63" xfId="25" applyFont="1" applyFill="1" applyBorder="1" applyAlignment="1">
      <alignment horizontal="center" vertical="center" wrapText="1"/>
    </xf>
    <xf numFmtId="0" fontId="51" fillId="8" borderId="25" xfId="25" applyFont="1" applyFill="1" applyBorder="1" applyAlignment="1">
      <alignment horizontal="center" vertical="center" wrapText="1"/>
    </xf>
    <xf numFmtId="0" fontId="51" fillId="8" borderId="44" xfId="25" applyFont="1" applyFill="1" applyBorder="1" applyAlignment="1">
      <alignment horizontal="center" vertical="center" wrapText="1"/>
    </xf>
    <xf numFmtId="0" fontId="51" fillId="8" borderId="19" xfId="25" applyFont="1" applyFill="1" applyBorder="1" applyAlignment="1">
      <alignment horizontal="center" vertical="center" wrapText="1"/>
    </xf>
    <xf numFmtId="0" fontId="51" fillId="8" borderId="20" xfId="25" applyFont="1" applyFill="1" applyBorder="1" applyAlignment="1">
      <alignment horizontal="center" vertical="center" wrapText="1"/>
    </xf>
    <xf numFmtId="0" fontId="51" fillId="8" borderId="12" xfId="25" applyFont="1" applyFill="1" applyBorder="1" applyAlignment="1">
      <alignment horizontal="center" vertical="center" wrapText="1"/>
    </xf>
    <xf numFmtId="0" fontId="57" fillId="19" borderId="66" xfId="0" applyFont="1" applyFill="1" applyBorder="1" applyAlignment="1">
      <alignment horizontal="center" vertical="center" wrapText="1"/>
    </xf>
    <xf numFmtId="0" fontId="58" fillId="0" borderId="67" xfId="0" applyFont="1" applyBorder="1" applyAlignment="1">
      <alignment vertical="center"/>
    </xf>
    <xf numFmtId="0" fontId="58" fillId="0" borderId="76" xfId="0" applyFont="1" applyBorder="1" applyAlignment="1">
      <alignment vertical="center"/>
    </xf>
    <xf numFmtId="0" fontId="51" fillId="8" borderId="62" xfId="25" applyFont="1" applyFill="1" applyBorder="1" applyAlignment="1">
      <alignment horizontal="center" vertical="center" wrapText="1"/>
    </xf>
    <xf numFmtId="0" fontId="51" fillId="8" borderId="27" xfId="25" applyFont="1" applyFill="1" applyBorder="1" applyAlignment="1">
      <alignment horizontal="center" vertical="center" wrapText="1"/>
    </xf>
    <xf numFmtId="9" fontId="50" fillId="0" borderId="38" xfId="25" applyNumberFormat="1" applyFont="1" applyBorder="1" applyAlignment="1">
      <alignment horizontal="left" vertical="center" wrapText="1"/>
    </xf>
    <xf numFmtId="9" fontId="50" fillId="0" borderId="39" xfId="25" applyNumberFormat="1" applyFont="1" applyBorder="1" applyAlignment="1">
      <alignment horizontal="left" vertical="center" wrapText="1"/>
    </xf>
    <xf numFmtId="9" fontId="50" fillId="0" borderId="40" xfId="25" applyNumberFormat="1" applyFont="1" applyBorder="1" applyAlignment="1">
      <alignment horizontal="left" vertical="center" wrapText="1"/>
    </xf>
    <xf numFmtId="9" fontId="50" fillId="0" borderId="28" xfId="25" applyNumberFormat="1" applyFont="1" applyBorder="1" applyAlignment="1">
      <alignment horizontal="left" vertical="center" wrapText="1"/>
    </xf>
    <xf numFmtId="9" fontId="50" fillId="0" borderId="29" xfId="25" applyNumberFormat="1" applyFont="1" applyBorder="1" applyAlignment="1">
      <alignment horizontal="left" vertical="center" wrapText="1"/>
    </xf>
    <xf numFmtId="9" fontId="50" fillId="0" borderId="43" xfId="25" applyNumberFormat="1" applyFont="1" applyBorder="1" applyAlignment="1">
      <alignment horizontal="left" vertical="center" wrapText="1"/>
    </xf>
    <xf numFmtId="9" fontId="44" fillId="0" borderId="38" xfId="6" applyNumberFormat="1" applyFont="1" applyBorder="1" applyAlignment="1">
      <alignment horizontal="left" vertical="center" wrapText="1"/>
    </xf>
    <xf numFmtId="9" fontId="44" fillId="0" borderId="39" xfId="25" applyNumberFormat="1" applyFont="1" applyBorder="1" applyAlignment="1">
      <alignment horizontal="left" vertical="center" wrapText="1"/>
    </xf>
    <xf numFmtId="9" fontId="44" fillId="0" borderId="81" xfId="25" applyNumberFormat="1" applyFont="1" applyBorder="1" applyAlignment="1">
      <alignment horizontal="left" vertical="center" wrapText="1"/>
    </xf>
    <xf numFmtId="9" fontId="44" fillId="0" borderId="28" xfId="25" applyNumberFormat="1" applyFont="1" applyBorder="1" applyAlignment="1">
      <alignment horizontal="left" vertical="center" wrapText="1"/>
    </xf>
    <xf numFmtId="9" fontId="44" fillId="0" borderId="29" xfId="25" applyNumberFormat="1" applyFont="1" applyBorder="1" applyAlignment="1">
      <alignment horizontal="left" vertical="center" wrapText="1"/>
    </xf>
    <xf numFmtId="9" fontId="44" fillId="0" borderId="30" xfId="25" applyNumberFormat="1" applyFont="1" applyBorder="1" applyAlignment="1">
      <alignment horizontal="left" vertical="center" wrapText="1"/>
    </xf>
    <xf numFmtId="9" fontId="50" fillId="0" borderId="38" xfId="25" applyNumberFormat="1" applyFont="1" applyBorder="1" applyAlignment="1">
      <alignment horizontal="justify" vertical="center" wrapText="1"/>
    </xf>
    <xf numFmtId="9" fontId="50" fillId="0" borderId="39" xfId="25" applyNumberFormat="1" applyFont="1" applyBorder="1" applyAlignment="1">
      <alignment horizontal="justify" vertical="center" wrapText="1"/>
    </xf>
    <xf numFmtId="9" fontId="50" fillId="0" borderId="40" xfId="25" applyNumberFormat="1" applyFont="1" applyBorder="1" applyAlignment="1">
      <alignment horizontal="justify" vertical="center" wrapText="1"/>
    </xf>
    <xf numFmtId="9" fontId="50" fillId="0" borderId="28" xfId="25" applyNumberFormat="1" applyFont="1" applyBorder="1" applyAlignment="1">
      <alignment horizontal="justify" vertical="center" wrapText="1"/>
    </xf>
    <xf numFmtId="9" fontId="50" fillId="0" borderId="29" xfId="25" applyNumberFormat="1" applyFont="1" applyBorder="1" applyAlignment="1">
      <alignment horizontal="justify" vertical="center" wrapText="1"/>
    </xf>
    <xf numFmtId="9" fontId="50" fillId="0" borderId="43" xfId="25" applyNumberFormat="1" applyFont="1" applyBorder="1" applyAlignment="1">
      <alignment horizontal="justify" vertical="center" wrapText="1"/>
    </xf>
    <xf numFmtId="9" fontId="44" fillId="0" borderId="38" xfId="6" applyNumberFormat="1" applyFont="1" applyFill="1" applyBorder="1" applyAlignment="1">
      <alignment horizontal="left" vertical="center" wrapText="1"/>
    </xf>
    <xf numFmtId="9" fontId="44" fillId="0" borderId="39" xfId="6" applyNumberFormat="1" applyFont="1" applyFill="1" applyBorder="1" applyAlignment="1">
      <alignment horizontal="left" vertical="center" wrapText="1"/>
    </xf>
    <xf numFmtId="9" fontId="44" fillId="0" borderId="81" xfId="6" applyNumberFormat="1" applyFont="1" applyFill="1" applyBorder="1" applyAlignment="1">
      <alignment horizontal="left" vertical="center" wrapText="1"/>
    </xf>
    <xf numFmtId="9" fontId="44" fillId="0" borderId="28" xfId="6" applyNumberFormat="1" applyFont="1" applyFill="1" applyBorder="1" applyAlignment="1">
      <alignment horizontal="left" vertical="center" wrapText="1"/>
    </xf>
    <xf numFmtId="9" fontId="44" fillId="0" borderId="29" xfId="6" applyNumberFormat="1" applyFont="1" applyFill="1" applyBorder="1" applyAlignment="1">
      <alignment horizontal="left" vertical="center" wrapText="1"/>
    </xf>
    <xf numFmtId="9" fontId="44" fillId="0" borderId="30" xfId="6" applyNumberFormat="1" applyFont="1" applyFill="1" applyBorder="1" applyAlignment="1">
      <alignment horizontal="left" vertical="center" wrapText="1"/>
    </xf>
    <xf numFmtId="0" fontId="50" fillId="0" borderId="45" xfId="25" applyFont="1" applyBorder="1" applyAlignment="1">
      <alignment horizontal="center" vertical="center" wrapText="1"/>
    </xf>
    <xf numFmtId="0" fontId="50" fillId="0" borderId="46" xfId="25" applyFont="1" applyBorder="1" applyAlignment="1">
      <alignment horizontal="center" vertical="center" wrapText="1"/>
    </xf>
    <xf numFmtId="0" fontId="50" fillId="0" borderId="47" xfId="25" applyFont="1" applyBorder="1" applyAlignment="1">
      <alignment horizontal="center" vertical="center" wrapText="1"/>
    </xf>
    <xf numFmtId="0" fontId="51" fillId="8" borderId="8" xfId="25" applyFont="1" applyFill="1" applyBorder="1" applyAlignment="1">
      <alignment horizontal="center" vertical="center" wrapText="1"/>
    </xf>
    <xf numFmtId="0" fontId="51" fillId="0" borderId="1" xfId="25" applyFont="1" applyBorder="1" applyAlignment="1">
      <alignment horizontal="justify" vertical="center" wrapText="1"/>
    </xf>
    <xf numFmtId="0" fontId="51" fillId="0" borderId="59" xfId="25" applyFont="1" applyBorder="1" applyAlignment="1">
      <alignment horizontal="justify" vertical="center" wrapText="1"/>
    </xf>
    <xf numFmtId="0" fontId="51" fillId="8" borderId="18" xfId="25" applyFont="1" applyFill="1" applyBorder="1" applyAlignment="1">
      <alignment horizontal="center" vertical="center" wrapText="1"/>
    </xf>
    <xf numFmtId="3" fontId="51" fillId="0" borderId="22" xfId="25" applyNumberFormat="1" applyFont="1" applyBorder="1" applyAlignment="1">
      <alignment horizontal="center" vertical="center" wrapText="1"/>
    </xf>
    <xf numFmtId="0" fontId="51" fillId="8" borderId="47" xfId="25" applyFont="1" applyFill="1" applyBorder="1" applyAlignment="1">
      <alignment horizontal="center" vertical="center" wrapText="1"/>
    </xf>
    <xf numFmtId="0" fontId="51" fillId="8" borderId="56" xfId="25" applyFont="1" applyFill="1" applyBorder="1" applyAlignment="1">
      <alignment horizontal="center" vertical="center" wrapText="1"/>
    </xf>
    <xf numFmtId="0" fontId="51" fillId="8" borderId="15" xfId="25" applyFont="1" applyFill="1" applyBorder="1" applyAlignment="1">
      <alignment horizontal="center" vertical="center" wrapText="1"/>
    </xf>
    <xf numFmtId="0" fontId="51" fillId="15" borderId="18" xfId="25" applyFont="1" applyFill="1" applyBorder="1" applyAlignment="1">
      <alignment horizontal="center" vertical="center" wrapText="1"/>
    </xf>
    <xf numFmtId="0" fontId="51" fillId="15" borderId="19" xfId="25" applyFont="1" applyFill="1" applyBorder="1" applyAlignment="1">
      <alignment horizontal="center" vertical="center" wrapText="1"/>
    </xf>
    <xf numFmtId="0" fontId="51" fillId="15" borderId="20" xfId="25" applyFont="1" applyFill="1" applyBorder="1" applyAlignment="1">
      <alignment horizontal="center" vertical="center" wrapText="1"/>
    </xf>
    <xf numFmtId="9" fontId="59" fillId="0" borderId="71" xfId="0" applyNumberFormat="1" applyFont="1" applyBorder="1" applyAlignment="1">
      <alignment horizontal="justify" vertical="center" wrapText="1"/>
    </xf>
    <xf numFmtId="9" fontId="59" fillId="0" borderId="68" xfId="0" applyNumberFormat="1" applyFont="1" applyBorder="1" applyAlignment="1">
      <alignment horizontal="justify" vertical="center" wrapText="1"/>
    </xf>
    <xf numFmtId="9" fontId="59" fillId="0" borderId="0" xfId="0" applyNumberFormat="1" applyFont="1" applyAlignment="1">
      <alignment horizontal="justify" vertical="center" wrapText="1"/>
    </xf>
    <xf numFmtId="0" fontId="59" fillId="0" borderId="0" xfId="0" applyFont="1" applyAlignment="1">
      <alignment horizontal="justify" vertical="center" wrapText="1"/>
    </xf>
    <xf numFmtId="2" fontId="50" fillId="0" borderId="3" xfId="25" applyNumberFormat="1" applyFont="1" applyBorder="1" applyAlignment="1">
      <alignment horizontal="justify" vertical="center" wrapText="1"/>
    </xf>
    <xf numFmtId="0" fontId="57" fillId="19" borderId="64" xfId="0" applyFont="1" applyFill="1" applyBorder="1" applyAlignment="1">
      <alignment horizontal="justify" vertical="center" wrapText="1"/>
    </xf>
    <xf numFmtId="0" fontId="58" fillId="0" borderId="68" xfId="0" applyFont="1" applyBorder="1" applyAlignment="1">
      <alignment horizontal="justify" vertical="center" wrapText="1"/>
    </xf>
    <xf numFmtId="174" fontId="51" fillId="0" borderId="35" xfId="25" applyNumberFormat="1" applyFont="1" applyBorder="1" applyAlignment="1">
      <alignment horizontal="center" vertical="center" wrapText="1"/>
    </xf>
    <xf numFmtId="174" fontId="51" fillId="0" borderId="61" xfId="25" applyNumberFormat="1" applyFont="1" applyBorder="1" applyAlignment="1">
      <alignment horizontal="center" vertical="center" wrapText="1"/>
    </xf>
    <xf numFmtId="174" fontId="51" fillId="0" borderId="3" xfId="25" applyNumberFormat="1" applyFont="1" applyBorder="1" applyAlignment="1">
      <alignment horizontal="center" vertical="center" wrapText="1"/>
    </xf>
    <xf numFmtId="0" fontId="57" fillId="19" borderId="65" xfId="0" applyFont="1" applyFill="1" applyBorder="1" applyAlignment="1">
      <alignment horizontal="center" vertical="center" wrapText="1"/>
    </xf>
    <xf numFmtId="0" fontId="58" fillId="0" borderId="69" xfId="0" applyFont="1" applyBorder="1" applyAlignment="1">
      <alignment vertical="center"/>
    </xf>
    <xf numFmtId="9" fontId="60" fillId="0" borderId="72" xfId="0" applyNumberFormat="1" applyFont="1" applyBorder="1" applyAlignment="1">
      <alignment horizontal="center" vertical="center" wrapText="1"/>
    </xf>
    <xf numFmtId="9" fontId="58" fillId="0" borderId="69" xfId="0" applyNumberFormat="1" applyFont="1" applyBorder="1" applyAlignment="1">
      <alignment vertical="center"/>
    </xf>
    <xf numFmtId="174" fontId="60" fillId="0" borderId="0" xfId="0" applyNumberFormat="1" applyFont="1" applyAlignment="1">
      <alignment horizontal="center" vertical="center" wrapText="1"/>
    </xf>
    <xf numFmtId="174" fontId="58" fillId="0" borderId="0" xfId="0" applyNumberFormat="1" applyFont="1" applyAlignment="1">
      <alignment vertical="center"/>
    </xf>
    <xf numFmtId="9" fontId="44" fillId="0" borderId="3" xfId="33" applyFont="1" applyFill="1" applyBorder="1" applyAlignment="1" applyProtection="1">
      <alignment horizontal="center" vertical="center" wrapText="1"/>
    </xf>
    <xf numFmtId="9" fontId="44" fillId="0" borderId="11" xfId="33" applyFont="1" applyFill="1" applyBorder="1" applyAlignment="1" applyProtection="1">
      <alignment horizontal="center" vertical="center" wrapText="1"/>
    </xf>
    <xf numFmtId="9" fontId="44" fillId="0" borderId="22" xfId="33" applyFont="1" applyFill="1" applyBorder="1" applyAlignment="1" applyProtection="1">
      <alignment horizontal="center" vertical="center" wrapText="1"/>
    </xf>
    <xf numFmtId="9" fontId="44" fillId="0" borderId="23" xfId="33" applyFont="1" applyFill="1" applyBorder="1" applyAlignment="1" applyProtection="1">
      <alignment horizontal="center" vertical="center" wrapText="1"/>
    </xf>
    <xf numFmtId="9" fontId="86" fillId="0" borderId="38" xfId="33" applyFont="1" applyFill="1" applyBorder="1" applyAlignment="1" applyProtection="1">
      <alignment horizontal="left" vertical="top" wrapText="1"/>
    </xf>
    <xf numFmtId="9" fontId="50" fillId="0" borderId="3" xfId="33" applyFont="1" applyFill="1" applyBorder="1" applyAlignment="1" applyProtection="1">
      <alignment horizontal="left" vertical="center" wrapText="1"/>
    </xf>
    <xf numFmtId="9" fontId="50" fillId="0" borderId="22" xfId="33" applyFont="1" applyFill="1" applyBorder="1" applyAlignment="1" applyProtection="1">
      <alignment horizontal="left" vertical="center" wrapText="1"/>
    </xf>
    <xf numFmtId="9" fontId="50" fillId="0" borderId="3" xfId="33" applyFont="1" applyFill="1" applyBorder="1" applyAlignment="1" applyProtection="1">
      <alignment horizontal="justify" vertical="top" wrapText="1"/>
    </xf>
    <xf numFmtId="9" fontId="50" fillId="0" borderId="22" xfId="33" applyFont="1" applyFill="1" applyBorder="1" applyAlignment="1" applyProtection="1">
      <alignment horizontal="justify" vertical="top" wrapText="1"/>
    </xf>
    <xf numFmtId="9" fontId="63" fillId="0" borderId="39" xfId="6" applyNumberFormat="1" applyFont="1" applyBorder="1" applyAlignment="1">
      <alignment horizontal="left" vertical="center" wrapText="1"/>
    </xf>
    <xf numFmtId="9" fontId="63" fillId="0" borderId="81" xfId="6" applyNumberFormat="1" applyFont="1" applyBorder="1" applyAlignment="1">
      <alignment horizontal="left" vertical="center" wrapText="1"/>
    </xf>
    <xf numFmtId="9" fontId="63" fillId="0" borderId="28" xfId="6" applyNumberFormat="1" applyFont="1" applyBorder="1" applyAlignment="1">
      <alignment horizontal="left" vertical="center" wrapText="1"/>
    </xf>
    <xf numFmtId="9" fontId="63" fillId="0" borderId="29" xfId="6" applyNumberFormat="1" applyFont="1" applyBorder="1" applyAlignment="1">
      <alignment horizontal="left" vertical="center" wrapText="1"/>
    </xf>
    <xf numFmtId="9" fontId="63" fillId="0" borderId="30" xfId="6" applyNumberFormat="1" applyFont="1" applyBorder="1" applyAlignment="1">
      <alignment horizontal="left" vertical="center" wrapText="1"/>
    </xf>
    <xf numFmtId="9" fontId="50" fillId="0" borderId="81" xfId="25" applyNumberFormat="1" applyFont="1" applyBorder="1" applyAlignment="1">
      <alignment horizontal="left" vertical="center" wrapText="1"/>
    </xf>
    <xf numFmtId="9" fontId="50" fillId="0" borderId="30" xfId="25" applyNumberFormat="1" applyFont="1" applyBorder="1" applyAlignment="1">
      <alignment horizontal="left" vertical="center" wrapText="1"/>
    </xf>
    <xf numFmtId="9" fontId="51" fillId="0" borderId="3" xfId="25" applyNumberFormat="1" applyFont="1" applyBorder="1" applyAlignment="1">
      <alignment horizontal="center" vertical="center" wrapText="1"/>
    </xf>
    <xf numFmtId="9" fontId="90" fillId="0" borderId="3" xfId="33" applyFont="1" applyFill="1" applyBorder="1" applyAlignment="1" applyProtection="1">
      <alignment horizontal="center" vertical="center" wrapText="1"/>
    </xf>
    <xf numFmtId="9" fontId="50" fillId="0" borderId="3" xfId="33" applyFont="1" applyFill="1" applyBorder="1" applyAlignment="1" applyProtection="1">
      <alignment horizontal="center" vertical="center" wrapText="1"/>
    </xf>
    <xf numFmtId="9" fontId="50" fillId="0" borderId="11" xfId="33" applyFont="1" applyFill="1" applyBorder="1" applyAlignment="1" applyProtection="1">
      <alignment horizontal="center" vertical="center" wrapText="1"/>
    </xf>
    <xf numFmtId="9" fontId="50" fillId="0" borderId="22" xfId="33" applyFont="1" applyFill="1" applyBorder="1" applyAlignment="1" applyProtection="1">
      <alignment horizontal="center" vertical="center" wrapText="1"/>
    </xf>
    <xf numFmtId="9" fontId="50" fillId="0" borderId="23" xfId="33" applyFont="1" applyFill="1" applyBorder="1" applyAlignment="1" applyProtection="1">
      <alignment horizontal="center" vertical="center" wrapText="1"/>
    </xf>
    <xf numFmtId="9" fontId="86" fillId="0" borderId="38" xfId="33" applyFont="1" applyFill="1" applyBorder="1" applyAlignment="1" applyProtection="1">
      <alignment horizontal="left" vertical="center" wrapText="1"/>
    </xf>
    <xf numFmtId="9" fontId="50" fillId="0" borderId="39" xfId="33" applyFont="1" applyFill="1" applyBorder="1" applyAlignment="1" applyProtection="1">
      <alignment horizontal="left" vertical="center" wrapText="1"/>
    </xf>
    <xf numFmtId="9" fontId="50" fillId="0" borderId="40" xfId="33" applyFont="1" applyFill="1" applyBorder="1" applyAlignment="1" applyProtection="1">
      <alignment horizontal="left" vertical="center" wrapText="1"/>
    </xf>
    <xf numFmtId="9" fontId="50" fillId="0" borderId="78" xfId="33" applyFont="1" applyFill="1" applyBorder="1" applyAlignment="1" applyProtection="1">
      <alignment horizontal="left" vertical="center" wrapText="1"/>
    </xf>
    <xf numFmtId="9" fontId="50" fillId="0" borderId="56" xfId="33" applyFont="1" applyFill="1" applyBorder="1" applyAlignment="1" applyProtection="1">
      <alignment horizontal="left" vertical="center" wrapText="1"/>
    </xf>
    <xf numFmtId="9" fontId="50" fillId="0" borderId="79" xfId="33" applyFont="1" applyFill="1" applyBorder="1" applyAlignment="1" applyProtection="1">
      <alignment horizontal="left" vertical="center" wrapText="1"/>
    </xf>
    <xf numFmtId="9" fontId="90" fillId="0" borderId="3" xfId="33" applyFont="1" applyFill="1" applyBorder="1" applyAlignment="1" applyProtection="1">
      <alignment vertical="top" wrapText="1"/>
    </xf>
    <xf numFmtId="9" fontId="50" fillId="0" borderId="3" xfId="33" applyFont="1" applyFill="1" applyBorder="1" applyAlignment="1" applyProtection="1">
      <alignment vertical="top" wrapText="1"/>
    </xf>
    <xf numFmtId="9" fontId="50" fillId="0" borderId="22" xfId="33" applyFont="1" applyFill="1" applyBorder="1" applyAlignment="1" applyProtection="1">
      <alignment vertical="top" wrapText="1"/>
    </xf>
    <xf numFmtId="9" fontId="63" fillId="0" borderId="82" xfId="6" applyNumberFormat="1" applyFont="1" applyBorder="1" applyAlignment="1">
      <alignment horizontal="left" vertical="center" wrapText="1"/>
    </xf>
    <xf numFmtId="9" fontId="63" fillId="0" borderId="83" xfId="6" applyNumberFormat="1" applyFont="1" applyBorder="1" applyAlignment="1">
      <alignment horizontal="left" vertical="center" wrapText="1"/>
    </xf>
    <xf numFmtId="9" fontId="63" fillId="0" borderId="84" xfId="6" applyNumberFormat="1" applyFont="1" applyBorder="1" applyAlignment="1">
      <alignment horizontal="left" vertical="center" wrapText="1"/>
    </xf>
    <xf numFmtId="9" fontId="44" fillId="0" borderId="41" xfId="6" applyNumberFormat="1" applyFont="1" applyBorder="1" applyAlignment="1">
      <alignment horizontal="left" vertical="center" wrapText="1"/>
    </xf>
    <xf numFmtId="9" fontId="44" fillId="0" borderId="0" xfId="6" applyNumberFormat="1" applyFont="1" applyBorder="1" applyAlignment="1">
      <alignment horizontal="left" vertical="center" wrapText="1"/>
    </xf>
    <xf numFmtId="9" fontId="44" fillId="0" borderId="54" xfId="6" applyNumberFormat="1" applyFont="1" applyBorder="1" applyAlignment="1">
      <alignment horizontal="left" vertical="center" wrapText="1"/>
    </xf>
    <xf numFmtId="9" fontId="44" fillId="0" borderId="28" xfId="6" applyNumberFormat="1" applyFont="1" applyBorder="1" applyAlignment="1">
      <alignment horizontal="left" vertical="center" wrapText="1"/>
    </xf>
    <xf numFmtId="9" fontId="44" fillId="0" borderId="29" xfId="6" applyNumberFormat="1" applyFont="1" applyBorder="1" applyAlignment="1">
      <alignment horizontal="left" vertical="center" wrapText="1"/>
    </xf>
    <xf numFmtId="9" fontId="44" fillId="0" borderId="30" xfId="6" applyNumberFormat="1" applyFont="1" applyBorder="1" applyAlignment="1">
      <alignment horizontal="left" vertical="center" wrapText="1"/>
    </xf>
    <xf numFmtId="9" fontId="51" fillId="0" borderId="35" xfId="25" applyNumberFormat="1" applyFont="1" applyBorder="1" applyAlignment="1">
      <alignment horizontal="center" vertical="center" wrapText="1"/>
    </xf>
    <xf numFmtId="0" fontId="51" fillId="0" borderId="61" xfId="25" applyFont="1" applyBorder="1" applyAlignment="1">
      <alignment horizontal="center" vertical="center" wrapText="1"/>
    </xf>
    <xf numFmtId="0" fontId="51" fillId="0" borderId="3" xfId="25" applyFont="1" applyBorder="1" applyAlignment="1">
      <alignment horizontal="center" vertical="center" wrapText="1"/>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43" xfId="0" applyFont="1" applyBorder="1" applyAlignment="1">
      <alignment horizontal="center" vertical="center"/>
    </xf>
    <xf numFmtId="0" fontId="51" fillId="0" borderId="44" xfId="0" applyFont="1" applyBorder="1" applyAlignment="1">
      <alignment horizontal="justify" vertical="center" wrapText="1"/>
    </xf>
    <xf numFmtId="0" fontId="51" fillId="0" borderId="19" xfId="0" applyFont="1" applyBorder="1" applyAlignment="1">
      <alignment horizontal="justify" vertical="center" wrapText="1"/>
    </xf>
    <xf numFmtId="0" fontId="51" fillId="0" borderId="4" xfId="0" applyFont="1" applyBorder="1" applyAlignment="1">
      <alignment horizontal="center" vertical="center"/>
    </xf>
    <xf numFmtId="0" fontId="51" fillId="0" borderId="31" xfId="0" applyFont="1" applyBorder="1" applyAlignment="1">
      <alignment horizontal="center" vertical="center"/>
    </xf>
    <xf numFmtId="0" fontId="51" fillId="0" borderId="36" xfId="0" applyFont="1" applyBorder="1" applyAlignment="1">
      <alignment horizontal="center" vertical="center"/>
    </xf>
    <xf numFmtId="0" fontId="53" fillId="0" borderId="16" xfId="0" applyFont="1" applyBorder="1" applyAlignment="1">
      <alignment horizontal="justify" vertical="center" wrapText="1"/>
    </xf>
    <xf numFmtId="0" fontId="53" fillId="0" borderId="6" xfId="0" applyFont="1" applyBorder="1" applyAlignment="1">
      <alignment horizontal="justify" vertical="center" wrapText="1"/>
    </xf>
    <xf numFmtId="0" fontId="51" fillId="0" borderId="3" xfId="0" applyFont="1" applyBorder="1" applyAlignment="1">
      <alignment horizontal="justify" vertical="center" wrapText="1"/>
    </xf>
    <xf numFmtId="0" fontId="51" fillId="3" borderId="4" xfId="0" applyFont="1" applyFill="1" applyBorder="1" applyAlignment="1">
      <alignment horizontal="center" vertical="center"/>
    </xf>
    <xf numFmtId="0" fontId="51" fillId="3" borderId="31" xfId="0" applyFont="1" applyFill="1" applyBorder="1" applyAlignment="1">
      <alignment horizontal="center" vertical="center"/>
    </xf>
    <xf numFmtId="0" fontId="51" fillId="3" borderId="36" xfId="0" applyFont="1" applyFill="1" applyBorder="1" applyAlignment="1">
      <alignment horizontal="center" vertical="center"/>
    </xf>
    <xf numFmtId="0" fontId="50" fillId="0" borderId="3" xfId="0" applyFont="1" applyBorder="1" applyAlignment="1">
      <alignment horizontal="left" vertical="center"/>
    </xf>
    <xf numFmtId="0" fontId="51" fillId="3" borderId="3" xfId="0" applyFont="1" applyFill="1" applyBorder="1" applyAlignment="1">
      <alignment horizontal="justify" vertical="center" wrapText="1"/>
    </xf>
    <xf numFmtId="0" fontId="51" fillId="3" borderId="35" xfId="0" applyFont="1" applyFill="1" applyBorder="1" applyAlignment="1">
      <alignment horizontal="justify" vertical="center" wrapText="1"/>
    </xf>
    <xf numFmtId="0" fontId="51" fillId="3" borderId="37" xfId="0" applyFont="1" applyFill="1" applyBorder="1" applyAlignment="1">
      <alignment horizontal="justify" vertical="center" wrapText="1"/>
    </xf>
    <xf numFmtId="0" fontId="51" fillId="3" borderId="27" xfId="0" applyFont="1" applyFill="1" applyBorder="1" applyAlignment="1">
      <alignment horizontal="justify" vertical="center" wrapText="1"/>
    </xf>
    <xf numFmtId="0" fontId="51" fillId="3" borderId="38" xfId="0" applyFont="1" applyFill="1" applyBorder="1" applyAlignment="1">
      <alignment horizontal="center" vertical="center"/>
    </xf>
    <xf numFmtId="0" fontId="51" fillId="3" borderId="39" xfId="0" applyFont="1" applyFill="1" applyBorder="1" applyAlignment="1">
      <alignment horizontal="center" vertical="center"/>
    </xf>
    <xf numFmtId="0" fontId="51" fillId="3" borderId="40" xfId="0" applyFont="1" applyFill="1" applyBorder="1" applyAlignment="1">
      <alignment horizontal="center" vertical="center"/>
    </xf>
    <xf numFmtId="0" fontId="51" fillId="3" borderId="41" xfId="0" applyFont="1" applyFill="1" applyBorder="1" applyAlignment="1">
      <alignment horizontal="center" vertical="center"/>
    </xf>
    <xf numFmtId="0" fontId="51" fillId="3" borderId="0" xfId="0" applyFont="1" applyFill="1" applyAlignment="1">
      <alignment horizontal="center" vertical="center"/>
    </xf>
    <xf numFmtId="0" fontId="51" fillId="3" borderId="42"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29" xfId="0" applyFont="1" applyFill="1" applyBorder="1" applyAlignment="1">
      <alignment horizontal="center" vertical="center"/>
    </xf>
    <xf numFmtId="0" fontId="51" fillId="3" borderId="43" xfId="0" applyFont="1" applyFill="1" applyBorder="1" applyAlignment="1">
      <alignment horizontal="center" vertical="center"/>
    </xf>
    <xf numFmtId="15" fontId="51" fillId="0" borderId="3" xfId="0" applyNumberFormat="1" applyFont="1" applyBorder="1" applyAlignment="1">
      <alignment horizontal="center" vertical="center"/>
    </xf>
    <xf numFmtId="0" fontId="51" fillId="0" borderId="3" xfId="0" applyFont="1" applyBorder="1" applyAlignment="1">
      <alignment horizontal="center" vertical="center"/>
    </xf>
    <xf numFmtId="0" fontId="51" fillId="0" borderId="38" xfId="0" applyFont="1" applyBorder="1" applyAlignment="1">
      <alignment horizontal="center" vertical="center"/>
    </xf>
    <xf numFmtId="0" fontId="51" fillId="0" borderId="39" xfId="0" applyFont="1" applyBorder="1" applyAlignment="1">
      <alignment horizontal="center" vertical="center"/>
    </xf>
    <xf numFmtId="0" fontId="51" fillId="0" borderId="40" xfId="0" applyFont="1" applyBorder="1" applyAlignment="1">
      <alignment horizontal="center" vertical="center"/>
    </xf>
    <xf numFmtId="0" fontId="51" fillId="3" borderId="4" xfId="0" applyFont="1" applyFill="1" applyBorder="1" applyAlignment="1">
      <alignment horizontal="center" vertical="center" wrapText="1"/>
    </xf>
    <xf numFmtId="0" fontId="51" fillId="3" borderId="31" xfId="0" applyFont="1" applyFill="1" applyBorder="1" applyAlignment="1">
      <alignment horizontal="center" vertical="center" wrapText="1"/>
    </xf>
    <xf numFmtId="0" fontId="51" fillId="3" borderId="36" xfId="0" applyFont="1" applyFill="1" applyBorder="1" applyAlignment="1">
      <alignment horizontal="center" vertical="center" wrapText="1"/>
    </xf>
    <xf numFmtId="0" fontId="51" fillId="3" borderId="35" xfId="0" applyFont="1" applyFill="1" applyBorder="1" applyAlignment="1">
      <alignment horizontal="center" vertical="center" wrapText="1"/>
    </xf>
    <xf numFmtId="0" fontId="51" fillId="3" borderId="27" xfId="0" applyFont="1" applyFill="1" applyBorder="1" applyAlignment="1">
      <alignment horizontal="center" vertical="center" wrapText="1"/>
    </xf>
    <xf numFmtId="0" fontId="51" fillId="15" borderId="4" xfId="25" applyFont="1" applyFill="1" applyBorder="1" applyAlignment="1">
      <alignment horizontal="left" vertical="center" wrapText="1"/>
    </xf>
    <xf numFmtId="0" fontId="51" fillId="15" borderId="31" xfId="25" applyFont="1" applyFill="1" applyBorder="1" applyAlignment="1">
      <alignment horizontal="left" vertical="center" wrapText="1"/>
    </xf>
    <xf numFmtId="0" fontId="51" fillId="15" borderId="36" xfId="25" applyFont="1" applyFill="1" applyBorder="1" applyAlignment="1">
      <alignment horizontal="left" vertical="center" wrapText="1"/>
    </xf>
    <xf numFmtId="0" fontId="50" fillId="0" borderId="4" xfId="0" applyFont="1" applyBorder="1" applyAlignment="1">
      <alignment horizontal="left" vertical="center"/>
    </xf>
    <xf numFmtId="0" fontId="50" fillId="0" borderId="31" xfId="0" applyFont="1" applyBorder="1" applyAlignment="1">
      <alignment horizontal="left" vertical="center"/>
    </xf>
    <xf numFmtId="0" fontId="50" fillId="0" borderId="36" xfId="0" applyFont="1" applyBorder="1" applyAlignment="1">
      <alignment horizontal="left" vertical="center"/>
    </xf>
    <xf numFmtId="0" fontId="51" fillId="17" borderId="35" xfId="25" applyFont="1" applyFill="1" applyBorder="1" applyAlignment="1">
      <alignment horizontal="justify" vertical="center" wrapText="1"/>
    </xf>
    <xf numFmtId="0" fontId="51" fillId="17" borderId="37" xfId="25" applyFont="1" applyFill="1" applyBorder="1" applyAlignment="1">
      <alignment horizontal="justify" vertical="center" wrapText="1"/>
    </xf>
    <xf numFmtId="0" fontId="51" fillId="17" borderId="27" xfId="25" applyFont="1" applyFill="1" applyBorder="1" applyAlignment="1">
      <alignment horizontal="justify" vertical="center" wrapText="1"/>
    </xf>
    <xf numFmtId="0" fontId="51" fillId="17" borderId="38" xfId="25" applyFont="1" applyFill="1" applyBorder="1" applyAlignment="1">
      <alignment horizontal="center" vertical="center" wrapText="1"/>
    </xf>
    <xf numFmtId="0" fontId="51" fillId="17" borderId="39" xfId="25" applyFont="1" applyFill="1" applyBorder="1" applyAlignment="1">
      <alignment horizontal="center" vertical="center" wrapText="1"/>
    </xf>
    <xf numFmtId="0" fontId="51" fillId="17" borderId="40" xfId="25" applyFont="1" applyFill="1" applyBorder="1" applyAlignment="1">
      <alignment horizontal="center" vertical="center" wrapText="1"/>
    </xf>
    <xf numFmtId="0" fontId="51" fillId="17" borderId="41" xfId="25" applyFont="1" applyFill="1" applyBorder="1" applyAlignment="1">
      <alignment horizontal="center" vertical="center" wrapText="1"/>
    </xf>
    <xf numFmtId="0" fontId="51" fillId="17" borderId="0" xfId="25" applyFont="1" applyFill="1" applyAlignment="1">
      <alignment horizontal="center" vertical="center" wrapText="1"/>
    </xf>
    <xf numFmtId="0" fontId="51" fillId="17" borderId="42" xfId="25" applyFont="1" applyFill="1" applyBorder="1" applyAlignment="1">
      <alignment horizontal="center" vertical="center" wrapText="1"/>
    </xf>
    <xf numFmtId="0" fontId="51" fillId="17" borderId="28" xfId="25" applyFont="1" applyFill="1" applyBorder="1" applyAlignment="1">
      <alignment horizontal="center" vertical="center" wrapText="1"/>
    </xf>
    <xf numFmtId="0" fontId="51" fillId="17" borderId="29" xfId="25" applyFont="1" applyFill="1" applyBorder="1" applyAlignment="1">
      <alignment horizontal="center" vertical="center" wrapText="1"/>
    </xf>
    <xf numFmtId="0" fontId="51" fillId="17" borderId="43" xfId="25" applyFont="1" applyFill="1" applyBorder="1" applyAlignment="1">
      <alignment horizontal="center" vertical="center" wrapText="1"/>
    </xf>
    <xf numFmtId="0" fontId="51" fillId="0" borderId="4" xfId="25" applyFont="1" applyBorder="1" applyAlignment="1">
      <alignment horizontal="left" vertical="center" wrapText="1"/>
    </xf>
    <xf numFmtId="0" fontId="51" fillId="0" borderId="31" xfId="25" applyFont="1" applyBorder="1" applyAlignment="1">
      <alignment horizontal="left" vertical="center" wrapText="1"/>
    </xf>
    <xf numFmtId="0" fontId="51" fillId="0" borderId="36" xfId="25" applyFont="1" applyBorder="1" applyAlignment="1">
      <alignment horizontal="left" vertical="center" wrapText="1"/>
    </xf>
    <xf numFmtId="0" fontId="51" fillId="0" borderId="3" xfId="0" applyFont="1" applyBorder="1" applyAlignment="1">
      <alignment vertical="center" wrapText="1"/>
    </xf>
    <xf numFmtId="0" fontId="51" fillId="0" borderId="38" xfId="0" applyFont="1" applyBorder="1" applyAlignment="1">
      <alignment vertical="center" wrapText="1"/>
    </xf>
    <xf numFmtId="0" fontId="51" fillId="0" borderId="39" xfId="0" applyFont="1" applyBorder="1" applyAlignment="1">
      <alignment vertical="center" wrapText="1"/>
    </xf>
    <xf numFmtId="0" fontId="51" fillId="0" borderId="40" xfId="0" applyFont="1" applyBorder="1" applyAlignment="1">
      <alignment vertical="center" wrapText="1"/>
    </xf>
    <xf numFmtId="0" fontId="51" fillId="8" borderId="27" xfId="0" applyFont="1" applyFill="1" applyBorder="1" applyAlignment="1">
      <alignment horizontal="center" vertical="center"/>
    </xf>
    <xf numFmtId="0" fontId="51" fillId="8" borderId="3" xfId="0" applyFont="1" applyFill="1" applyBorder="1" applyAlignment="1">
      <alignment horizontal="center" vertical="center"/>
    </xf>
    <xf numFmtId="15" fontId="51" fillId="0" borderId="3" xfId="0" applyNumberFormat="1"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left" vertical="center" wrapText="1"/>
    </xf>
    <xf numFmtId="0" fontId="51" fillId="0" borderId="31" xfId="0" applyFont="1" applyBorder="1" applyAlignment="1">
      <alignment horizontal="left" vertical="center" wrapText="1"/>
    </xf>
    <xf numFmtId="0" fontId="51" fillId="0" borderId="36" xfId="0" applyFont="1" applyBorder="1" applyAlignment="1">
      <alignment horizontal="left" vertical="center" wrapText="1"/>
    </xf>
    <xf numFmtId="0" fontId="44" fillId="0" borderId="32" xfId="0" applyFont="1" applyBorder="1" applyAlignment="1">
      <alignment horizontal="center"/>
    </xf>
    <xf numFmtId="0" fontId="44" fillId="0" borderId="33" xfId="0" applyFont="1" applyBorder="1" applyAlignment="1">
      <alignment horizontal="center"/>
    </xf>
    <xf numFmtId="0" fontId="44" fillId="0" borderId="34" xfId="0" applyFont="1" applyBorder="1" applyAlignment="1">
      <alignment horizontal="center"/>
    </xf>
    <xf numFmtId="0" fontId="45" fillId="0" borderId="18" xfId="25" applyFont="1" applyBorder="1" applyAlignment="1">
      <alignment horizontal="center" vertical="center" wrapText="1"/>
    </xf>
    <xf numFmtId="0" fontId="45" fillId="0" borderId="8" xfId="25" applyFont="1" applyBorder="1" applyAlignment="1">
      <alignment horizontal="center" vertical="center" wrapText="1"/>
    </xf>
    <xf numFmtId="0" fontId="45" fillId="0" borderId="21" xfId="25" applyFont="1" applyBorder="1" applyAlignment="1">
      <alignment horizontal="center" vertical="center" wrapText="1"/>
    </xf>
    <xf numFmtId="0" fontId="46" fillId="0" borderId="3" xfId="25" applyFont="1" applyBorder="1" applyAlignment="1">
      <alignment horizontal="center" vertical="center" wrapText="1"/>
    </xf>
    <xf numFmtId="0" fontId="46" fillId="0" borderId="22" xfId="25" applyFont="1" applyBorder="1" applyAlignment="1">
      <alignment horizontal="center" vertical="center" wrapText="1"/>
    </xf>
    <xf numFmtId="0" fontId="49" fillId="0" borderId="4" xfId="0" applyFont="1" applyBorder="1" applyAlignment="1">
      <alignment horizontal="justify" vertical="center"/>
    </xf>
    <xf numFmtId="0" fontId="49" fillId="0" borderId="31" xfId="0" applyFont="1" applyBorder="1" applyAlignment="1">
      <alignment horizontal="justify" vertical="center"/>
    </xf>
    <xf numFmtId="0" fontId="49" fillId="0" borderId="12" xfId="0" applyFont="1" applyBorder="1" applyAlignment="1">
      <alignment horizontal="justify" vertical="center"/>
    </xf>
    <xf numFmtId="0" fontId="46" fillId="0" borderId="19" xfId="25" applyFont="1" applyBorder="1" applyAlignment="1">
      <alignment horizontal="center" vertical="center"/>
    </xf>
    <xf numFmtId="0" fontId="46" fillId="0" borderId="3" xfId="25" applyFont="1" applyBorder="1" applyAlignment="1">
      <alignment horizontal="center" vertical="center"/>
    </xf>
    <xf numFmtId="0" fontId="46" fillId="8" borderId="24" xfId="25" applyFont="1" applyFill="1" applyBorder="1" applyAlignment="1">
      <alignment horizontal="center" vertical="center" wrapText="1"/>
    </xf>
    <xf numFmtId="0" fontId="46" fillId="8" borderId="25" xfId="25" applyFont="1" applyFill="1" applyBorder="1" applyAlignment="1">
      <alignment horizontal="center" vertical="center" wrapText="1"/>
    </xf>
    <xf numFmtId="0" fontId="46" fillId="8" borderId="26" xfId="25" applyFont="1" applyFill="1" applyBorder="1" applyAlignment="1">
      <alignment horizontal="center" vertical="center" wrapText="1"/>
    </xf>
    <xf numFmtId="0" fontId="46" fillId="8" borderId="22" xfId="25" applyFont="1" applyFill="1" applyBorder="1" applyAlignment="1">
      <alignment horizontal="center" vertical="center" wrapText="1"/>
    </xf>
    <xf numFmtId="0" fontId="46" fillId="8" borderId="23" xfId="25" applyFont="1" applyFill="1" applyBorder="1" applyAlignment="1">
      <alignment horizontal="center" vertical="center" wrapText="1"/>
    </xf>
    <xf numFmtId="0" fontId="49" fillId="0" borderId="28" xfId="0" applyFont="1" applyBorder="1" applyAlignment="1">
      <alignment horizontal="justify" vertical="center" wrapText="1"/>
    </xf>
    <xf numFmtId="0" fontId="49" fillId="0" borderId="29" xfId="0" applyFont="1" applyBorder="1" applyAlignment="1">
      <alignment horizontal="justify" vertical="center"/>
    </xf>
    <xf numFmtId="0" fontId="49" fillId="0" borderId="30" xfId="0" applyFont="1" applyBorder="1" applyAlignment="1">
      <alignment horizontal="justify" vertical="center"/>
    </xf>
    <xf numFmtId="0" fontId="43" fillId="13" borderId="0" xfId="0" applyFont="1" applyFill="1" applyAlignment="1">
      <alignment horizontal="center" vertical="center" wrapText="1"/>
    </xf>
    <xf numFmtId="172" fontId="43" fillId="3" borderId="0" xfId="0" applyNumberFormat="1" applyFont="1" applyFill="1" applyAlignment="1">
      <alignment horizontal="center" vertical="center" wrapText="1"/>
    </xf>
    <xf numFmtId="0" fontId="35" fillId="10" borderId="16" xfId="25" applyFont="1" applyFill="1" applyBorder="1" applyAlignment="1">
      <alignment horizontal="right" vertical="center"/>
    </xf>
    <xf numFmtId="0" fontId="35" fillId="10" borderId="17" xfId="25" applyFont="1" applyFill="1" applyBorder="1" applyAlignment="1">
      <alignment horizontal="right" vertical="center"/>
    </xf>
  </cellXfs>
  <cellStyles count="37">
    <cellStyle name="20% - Énfasis6 2" xfId="7" xr:uid="{00000000-0005-0000-0000-000031000000}"/>
    <cellStyle name="BodyStyle" xfId="8" xr:uid="{00000000-0005-0000-0000-000032000000}"/>
    <cellStyle name="Borde de la tabla derecha" xfId="9" xr:uid="{00000000-0005-0000-0000-000033000000}"/>
    <cellStyle name="Borde de la tabla izquierda" xfId="10" xr:uid="{00000000-0005-0000-0000-000034000000}"/>
    <cellStyle name="Encabezado 1 2" xfId="11" xr:uid="{00000000-0005-0000-0000-000035000000}"/>
    <cellStyle name="Encabezado 2" xfId="12" xr:uid="{00000000-0005-0000-0000-000036000000}"/>
    <cellStyle name="Énfasis6 2" xfId="13" xr:uid="{00000000-0005-0000-0000-000037000000}"/>
    <cellStyle name="Fecha" xfId="14" xr:uid="{00000000-0005-0000-0000-000038000000}"/>
    <cellStyle name="HeaderStyle" xfId="15" xr:uid="{00000000-0005-0000-0000-000039000000}"/>
    <cellStyle name="Hipervínculo" xfId="6" builtinId="8"/>
    <cellStyle name="Millares" xfId="1" builtinId="3"/>
    <cellStyle name="Millares [0]" xfId="4" builtinId="6"/>
    <cellStyle name="Millares [0] 2" xfId="16" xr:uid="{00000000-0005-0000-0000-00003A000000}"/>
    <cellStyle name="Millares 2" xfId="17" xr:uid="{00000000-0005-0000-0000-00003B000000}"/>
    <cellStyle name="Moneda" xfId="2" builtinId="4"/>
    <cellStyle name="Moneda [0]" xfId="5" builtinId="7"/>
    <cellStyle name="Moneda 130" xfId="18" xr:uid="{00000000-0005-0000-0000-00003C000000}"/>
    <cellStyle name="Moneda 2" xfId="19" xr:uid="{00000000-0005-0000-0000-00003D000000}"/>
    <cellStyle name="Moneda 2 2" xfId="20" xr:uid="{00000000-0005-0000-0000-00003E000000}"/>
    <cellStyle name="Moneda 2 3" xfId="21" xr:uid="{00000000-0005-0000-0000-00003F000000}"/>
    <cellStyle name="Moneda 23" xfId="22" xr:uid="{00000000-0005-0000-0000-000040000000}"/>
    <cellStyle name="Moneda 3" xfId="23" xr:uid="{00000000-0005-0000-0000-000041000000}"/>
    <cellStyle name="Neutral 2" xfId="24" xr:uid="{00000000-0005-0000-0000-000042000000}"/>
    <cellStyle name="Normal" xfId="0" builtinId="0"/>
    <cellStyle name="Normal 2" xfId="25" xr:uid="{00000000-0005-0000-0000-000043000000}"/>
    <cellStyle name="Normal 2 2" xfId="26" xr:uid="{00000000-0005-0000-0000-000044000000}"/>
    <cellStyle name="Normal 2 3" xfId="27" xr:uid="{00000000-0005-0000-0000-000045000000}"/>
    <cellStyle name="Normal 3" xfId="28" xr:uid="{00000000-0005-0000-0000-000046000000}"/>
    <cellStyle name="Normal 3 2" xfId="29" xr:uid="{00000000-0005-0000-0000-000047000000}"/>
    <cellStyle name="Normal 6 2" xfId="30" xr:uid="{00000000-0005-0000-0000-000048000000}"/>
    <cellStyle name="Porcentaje" xfId="3" builtinId="5"/>
    <cellStyle name="Porcentaje 2" xfId="31" xr:uid="{00000000-0005-0000-0000-000049000000}"/>
    <cellStyle name="Porcentaje 3" xfId="32" xr:uid="{00000000-0005-0000-0000-00004A000000}"/>
    <cellStyle name="Porcentual 2" xfId="33" xr:uid="{00000000-0005-0000-0000-00004B000000}"/>
    <cellStyle name="Texto de inicio" xfId="34" xr:uid="{00000000-0005-0000-0000-00004C000000}"/>
    <cellStyle name="Texto de la columna A" xfId="35" xr:uid="{00000000-0005-0000-0000-00004D000000}"/>
    <cellStyle name="Título 4" xfId="36" xr:uid="{00000000-0005-0000-0000-00004E000000}"/>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31" sel="0" val="0"/>
</file>

<file path=xl/ctrlProps/ctrlProp2.xml><?xml version="1.0" encoding="utf-8"?>
<formControlPr xmlns="http://schemas.microsoft.com/office/spreadsheetml/2009/9/main" objectType="Drop" dropStyle="combo" dx="3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47</xdr:col>
          <xdr:colOff>0</xdr:colOff>
          <xdr:row>12</xdr:row>
          <xdr:rowOff>0</xdr:rowOff>
        </xdr:from>
        <xdr:to>
          <xdr:col>48</xdr:col>
          <xdr:colOff>0</xdr:colOff>
          <xdr:row>12</xdr:row>
          <xdr:rowOff>0</xdr:rowOff>
        </xdr:to>
        <xdr:sp macro="" textlink="">
          <xdr:nvSpPr>
            <xdr:cNvPr id="75811" name="Drop Down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41</xdr:col>
          <xdr:colOff>0</xdr:colOff>
          <xdr:row>2</xdr:row>
          <xdr:rowOff>0</xdr:rowOff>
        </xdr:from>
        <xdr:to>
          <xdr:col>48</xdr:col>
          <xdr:colOff>0</xdr:colOff>
          <xdr:row>3</xdr:row>
          <xdr:rowOff>0</xdr:rowOff>
        </xdr:to>
        <xdr:sp macro="" textlink="">
          <xdr:nvSpPr>
            <xdr:cNvPr id="75812" name="Drop Down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00000000-0008-0000-0700-00001F4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4506668294322"/>
    <pageSetUpPr fitToPage="1"/>
  </sheetPr>
  <dimension ref="A1:B74"/>
  <sheetViews>
    <sheetView zoomScale="90" zoomScaleNormal="90" workbookViewId="0">
      <selection activeCell="A65" sqref="A65"/>
    </sheetView>
  </sheetViews>
  <sheetFormatPr defaultColWidth="10.875" defaultRowHeight="13.9"/>
  <cols>
    <col min="1" max="1" width="72" style="359" customWidth="1"/>
    <col min="2" max="2" width="78.625" style="359" customWidth="1"/>
    <col min="3" max="3" width="10.875" style="359"/>
    <col min="4" max="4" width="31.125" style="359" customWidth="1"/>
    <col min="5" max="5" width="70.125" style="359" customWidth="1"/>
    <col min="6" max="6" width="17.375" style="359" customWidth="1"/>
    <col min="7" max="8" width="21.875" style="359" customWidth="1"/>
    <col min="9" max="9" width="19.375" style="359" customWidth="1"/>
    <col min="10" max="10" width="42" style="359" customWidth="1"/>
    <col min="11" max="256" width="10.875" style="359"/>
    <col min="257" max="257" width="72" style="359" customWidth="1"/>
    <col min="258" max="258" width="78.625" style="359" customWidth="1"/>
    <col min="259" max="259" width="10.875" style="359"/>
    <col min="260" max="260" width="31.125" style="359" customWidth="1"/>
    <col min="261" max="261" width="70.125" style="359" customWidth="1"/>
    <col min="262" max="262" width="17.375" style="359" customWidth="1"/>
    <col min="263" max="264" width="21.875" style="359" customWidth="1"/>
    <col min="265" max="265" width="19.375" style="359" customWidth="1"/>
    <col min="266" max="266" width="42" style="359" customWidth="1"/>
    <col min="267" max="512" width="10.875" style="359"/>
    <col min="513" max="513" width="72" style="359" customWidth="1"/>
    <col min="514" max="514" width="78.625" style="359" customWidth="1"/>
    <col min="515" max="515" width="10.875" style="359"/>
    <col min="516" max="516" width="31.125" style="359" customWidth="1"/>
    <col min="517" max="517" width="70.125" style="359" customWidth="1"/>
    <col min="518" max="518" width="17.375" style="359" customWidth="1"/>
    <col min="519" max="520" width="21.875" style="359" customWidth="1"/>
    <col min="521" max="521" width="19.375" style="359" customWidth="1"/>
    <col min="522" max="522" width="42" style="359" customWidth="1"/>
    <col min="523" max="768" width="10.875" style="359"/>
    <col min="769" max="769" width="72" style="359" customWidth="1"/>
    <col min="770" max="770" width="78.625" style="359" customWidth="1"/>
    <col min="771" max="771" width="10.875" style="359"/>
    <col min="772" max="772" width="31.125" style="359" customWidth="1"/>
    <col min="773" max="773" width="70.125" style="359" customWidth="1"/>
    <col min="774" max="774" width="17.375" style="359" customWidth="1"/>
    <col min="775" max="776" width="21.875" style="359" customWidth="1"/>
    <col min="777" max="777" width="19.375" style="359" customWidth="1"/>
    <col min="778" max="778" width="42" style="359" customWidth="1"/>
    <col min="779" max="1024" width="10.875" style="359"/>
    <col min="1025" max="1025" width="72" style="359" customWidth="1"/>
    <col min="1026" max="1026" width="78.625" style="359" customWidth="1"/>
    <col min="1027" max="1027" width="10.875" style="359"/>
    <col min="1028" max="1028" width="31.125" style="359" customWidth="1"/>
    <col min="1029" max="1029" width="70.125" style="359" customWidth="1"/>
    <col min="1030" max="1030" width="17.375" style="359" customWidth="1"/>
    <col min="1031" max="1032" width="21.875" style="359" customWidth="1"/>
    <col min="1033" max="1033" width="19.375" style="359" customWidth="1"/>
    <col min="1034" max="1034" width="42" style="359" customWidth="1"/>
    <col min="1035" max="1280" width="10.875" style="359"/>
    <col min="1281" max="1281" width="72" style="359" customWidth="1"/>
    <col min="1282" max="1282" width="78.625" style="359" customWidth="1"/>
    <col min="1283" max="1283" width="10.875" style="359"/>
    <col min="1284" max="1284" width="31.125" style="359" customWidth="1"/>
    <col min="1285" max="1285" width="70.125" style="359" customWidth="1"/>
    <col min="1286" max="1286" width="17.375" style="359" customWidth="1"/>
    <col min="1287" max="1288" width="21.875" style="359" customWidth="1"/>
    <col min="1289" max="1289" width="19.375" style="359" customWidth="1"/>
    <col min="1290" max="1290" width="42" style="359" customWidth="1"/>
    <col min="1291" max="1536" width="10.875" style="359"/>
    <col min="1537" max="1537" width="72" style="359" customWidth="1"/>
    <col min="1538" max="1538" width="78.625" style="359" customWidth="1"/>
    <col min="1539" max="1539" width="10.875" style="359"/>
    <col min="1540" max="1540" width="31.125" style="359" customWidth="1"/>
    <col min="1541" max="1541" width="70.125" style="359" customWidth="1"/>
    <col min="1542" max="1542" width="17.375" style="359" customWidth="1"/>
    <col min="1543" max="1544" width="21.875" style="359" customWidth="1"/>
    <col min="1545" max="1545" width="19.375" style="359" customWidth="1"/>
    <col min="1546" max="1546" width="42" style="359" customWidth="1"/>
    <col min="1547" max="1792" width="10.875" style="359"/>
    <col min="1793" max="1793" width="72" style="359" customWidth="1"/>
    <col min="1794" max="1794" width="78.625" style="359" customWidth="1"/>
    <col min="1795" max="1795" width="10.875" style="359"/>
    <col min="1796" max="1796" width="31.125" style="359" customWidth="1"/>
    <col min="1797" max="1797" width="70.125" style="359" customWidth="1"/>
    <col min="1798" max="1798" width="17.375" style="359" customWidth="1"/>
    <col min="1799" max="1800" width="21.875" style="359" customWidth="1"/>
    <col min="1801" max="1801" width="19.375" style="359" customWidth="1"/>
    <col min="1802" max="1802" width="42" style="359" customWidth="1"/>
    <col min="1803" max="2048" width="10.875" style="359"/>
    <col min="2049" max="2049" width="72" style="359" customWidth="1"/>
    <col min="2050" max="2050" width="78.625" style="359" customWidth="1"/>
    <col min="2051" max="2051" width="10.875" style="359"/>
    <col min="2052" max="2052" width="31.125" style="359" customWidth="1"/>
    <col min="2053" max="2053" width="70.125" style="359" customWidth="1"/>
    <col min="2054" max="2054" width="17.375" style="359" customWidth="1"/>
    <col min="2055" max="2056" width="21.875" style="359" customWidth="1"/>
    <col min="2057" max="2057" width="19.375" style="359" customWidth="1"/>
    <col min="2058" max="2058" width="42" style="359" customWidth="1"/>
    <col min="2059" max="2304" width="10.875" style="359"/>
    <col min="2305" max="2305" width="72" style="359" customWidth="1"/>
    <col min="2306" max="2306" width="78.625" style="359" customWidth="1"/>
    <col min="2307" max="2307" width="10.875" style="359"/>
    <col min="2308" max="2308" width="31.125" style="359" customWidth="1"/>
    <col min="2309" max="2309" width="70.125" style="359" customWidth="1"/>
    <col min="2310" max="2310" width="17.375" style="359" customWidth="1"/>
    <col min="2311" max="2312" width="21.875" style="359" customWidth="1"/>
    <col min="2313" max="2313" width="19.375" style="359" customWidth="1"/>
    <col min="2314" max="2314" width="42" style="359" customWidth="1"/>
    <col min="2315" max="2560" width="10.875" style="359"/>
    <col min="2561" max="2561" width="72" style="359" customWidth="1"/>
    <col min="2562" max="2562" width="78.625" style="359" customWidth="1"/>
    <col min="2563" max="2563" width="10.875" style="359"/>
    <col min="2564" max="2564" width="31.125" style="359" customWidth="1"/>
    <col min="2565" max="2565" width="70.125" style="359" customWidth="1"/>
    <col min="2566" max="2566" width="17.375" style="359" customWidth="1"/>
    <col min="2567" max="2568" width="21.875" style="359" customWidth="1"/>
    <col min="2569" max="2569" width="19.375" style="359" customWidth="1"/>
    <col min="2570" max="2570" width="42" style="359" customWidth="1"/>
    <col min="2571" max="2816" width="10.875" style="359"/>
    <col min="2817" max="2817" width="72" style="359" customWidth="1"/>
    <col min="2818" max="2818" width="78.625" style="359" customWidth="1"/>
    <col min="2819" max="2819" width="10.875" style="359"/>
    <col min="2820" max="2820" width="31.125" style="359" customWidth="1"/>
    <col min="2821" max="2821" width="70.125" style="359" customWidth="1"/>
    <col min="2822" max="2822" width="17.375" style="359" customWidth="1"/>
    <col min="2823" max="2824" width="21.875" style="359" customWidth="1"/>
    <col min="2825" max="2825" width="19.375" style="359" customWidth="1"/>
    <col min="2826" max="2826" width="42" style="359" customWidth="1"/>
    <col min="2827" max="3072" width="10.875" style="359"/>
    <col min="3073" max="3073" width="72" style="359" customWidth="1"/>
    <col min="3074" max="3074" width="78.625" style="359" customWidth="1"/>
    <col min="3075" max="3075" width="10.875" style="359"/>
    <col min="3076" max="3076" width="31.125" style="359" customWidth="1"/>
    <col min="3077" max="3077" width="70.125" style="359" customWidth="1"/>
    <col min="3078" max="3078" width="17.375" style="359" customWidth="1"/>
    <col min="3079" max="3080" width="21.875" style="359" customWidth="1"/>
    <col min="3081" max="3081" width="19.375" style="359" customWidth="1"/>
    <col min="3082" max="3082" width="42" style="359" customWidth="1"/>
    <col min="3083" max="3328" width="10.875" style="359"/>
    <col min="3329" max="3329" width="72" style="359" customWidth="1"/>
    <col min="3330" max="3330" width="78.625" style="359" customWidth="1"/>
    <col min="3331" max="3331" width="10.875" style="359"/>
    <col min="3332" max="3332" width="31.125" style="359" customWidth="1"/>
    <col min="3333" max="3333" width="70.125" style="359" customWidth="1"/>
    <col min="3334" max="3334" width="17.375" style="359" customWidth="1"/>
    <col min="3335" max="3336" width="21.875" style="359" customWidth="1"/>
    <col min="3337" max="3337" width="19.375" style="359" customWidth="1"/>
    <col min="3338" max="3338" width="42" style="359" customWidth="1"/>
    <col min="3339" max="3584" width="10.875" style="359"/>
    <col min="3585" max="3585" width="72" style="359" customWidth="1"/>
    <col min="3586" max="3586" width="78.625" style="359" customWidth="1"/>
    <col min="3587" max="3587" width="10.875" style="359"/>
    <col min="3588" max="3588" width="31.125" style="359" customWidth="1"/>
    <col min="3589" max="3589" width="70.125" style="359" customWidth="1"/>
    <col min="3590" max="3590" width="17.375" style="359" customWidth="1"/>
    <col min="3591" max="3592" width="21.875" style="359" customWidth="1"/>
    <col min="3593" max="3593" width="19.375" style="359" customWidth="1"/>
    <col min="3594" max="3594" width="42" style="359" customWidth="1"/>
    <col min="3595" max="3840" width="10.875" style="359"/>
    <col min="3841" max="3841" width="72" style="359" customWidth="1"/>
    <col min="3842" max="3842" width="78.625" style="359" customWidth="1"/>
    <col min="3843" max="3843" width="10.875" style="359"/>
    <col min="3844" max="3844" width="31.125" style="359" customWidth="1"/>
    <col min="3845" max="3845" width="70.125" style="359" customWidth="1"/>
    <col min="3846" max="3846" width="17.375" style="359" customWidth="1"/>
    <col min="3847" max="3848" width="21.875" style="359" customWidth="1"/>
    <col min="3849" max="3849" width="19.375" style="359" customWidth="1"/>
    <col min="3850" max="3850" width="42" style="359" customWidth="1"/>
    <col min="3851" max="4096" width="10.875" style="359"/>
    <col min="4097" max="4097" width="72" style="359" customWidth="1"/>
    <col min="4098" max="4098" width="78.625" style="359" customWidth="1"/>
    <col min="4099" max="4099" width="10.875" style="359"/>
    <col min="4100" max="4100" width="31.125" style="359" customWidth="1"/>
    <col min="4101" max="4101" width="70.125" style="359" customWidth="1"/>
    <col min="4102" max="4102" width="17.375" style="359" customWidth="1"/>
    <col min="4103" max="4104" width="21.875" style="359" customWidth="1"/>
    <col min="4105" max="4105" width="19.375" style="359" customWidth="1"/>
    <col min="4106" max="4106" width="42" style="359" customWidth="1"/>
    <col min="4107" max="4352" width="10.875" style="359"/>
    <col min="4353" max="4353" width="72" style="359" customWidth="1"/>
    <col min="4354" max="4354" width="78.625" style="359" customWidth="1"/>
    <col min="4355" max="4355" width="10.875" style="359"/>
    <col min="4356" max="4356" width="31.125" style="359" customWidth="1"/>
    <col min="4357" max="4357" width="70.125" style="359" customWidth="1"/>
    <col min="4358" max="4358" width="17.375" style="359" customWidth="1"/>
    <col min="4359" max="4360" width="21.875" style="359" customWidth="1"/>
    <col min="4361" max="4361" width="19.375" style="359" customWidth="1"/>
    <col min="4362" max="4362" width="42" style="359" customWidth="1"/>
    <col min="4363" max="4608" width="10.875" style="359"/>
    <col min="4609" max="4609" width="72" style="359" customWidth="1"/>
    <col min="4610" max="4610" width="78.625" style="359" customWidth="1"/>
    <col min="4611" max="4611" width="10.875" style="359"/>
    <col min="4612" max="4612" width="31.125" style="359" customWidth="1"/>
    <col min="4613" max="4613" width="70.125" style="359" customWidth="1"/>
    <col min="4614" max="4614" width="17.375" style="359" customWidth="1"/>
    <col min="4615" max="4616" width="21.875" style="359" customWidth="1"/>
    <col min="4617" max="4617" width="19.375" style="359" customWidth="1"/>
    <col min="4618" max="4618" width="42" style="359" customWidth="1"/>
    <col min="4619" max="4864" width="10.875" style="359"/>
    <col min="4865" max="4865" width="72" style="359" customWidth="1"/>
    <col min="4866" max="4866" width="78.625" style="359" customWidth="1"/>
    <col min="4867" max="4867" width="10.875" style="359"/>
    <col min="4868" max="4868" width="31.125" style="359" customWidth="1"/>
    <col min="4869" max="4869" width="70.125" style="359" customWidth="1"/>
    <col min="4870" max="4870" width="17.375" style="359" customWidth="1"/>
    <col min="4871" max="4872" width="21.875" style="359" customWidth="1"/>
    <col min="4873" max="4873" width="19.375" style="359" customWidth="1"/>
    <col min="4874" max="4874" width="42" style="359" customWidth="1"/>
    <col min="4875" max="5120" width="10.875" style="359"/>
    <col min="5121" max="5121" width="72" style="359" customWidth="1"/>
    <col min="5122" max="5122" width="78.625" style="359" customWidth="1"/>
    <col min="5123" max="5123" width="10.875" style="359"/>
    <col min="5124" max="5124" width="31.125" style="359" customWidth="1"/>
    <col min="5125" max="5125" width="70.125" style="359" customWidth="1"/>
    <col min="5126" max="5126" width="17.375" style="359" customWidth="1"/>
    <col min="5127" max="5128" width="21.875" style="359" customWidth="1"/>
    <col min="5129" max="5129" width="19.375" style="359" customWidth="1"/>
    <col min="5130" max="5130" width="42" style="359" customWidth="1"/>
    <col min="5131" max="5376" width="10.875" style="359"/>
    <col min="5377" max="5377" width="72" style="359" customWidth="1"/>
    <col min="5378" max="5378" width="78.625" style="359" customWidth="1"/>
    <col min="5379" max="5379" width="10.875" style="359"/>
    <col min="5380" max="5380" width="31.125" style="359" customWidth="1"/>
    <col min="5381" max="5381" width="70.125" style="359" customWidth="1"/>
    <col min="5382" max="5382" width="17.375" style="359" customWidth="1"/>
    <col min="5383" max="5384" width="21.875" style="359" customWidth="1"/>
    <col min="5385" max="5385" width="19.375" style="359" customWidth="1"/>
    <col min="5386" max="5386" width="42" style="359" customWidth="1"/>
    <col min="5387" max="5632" width="10.875" style="359"/>
    <col min="5633" max="5633" width="72" style="359" customWidth="1"/>
    <col min="5634" max="5634" width="78.625" style="359" customWidth="1"/>
    <col min="5635" max="5635" width="10.875" style="359"/>
    <col min="5636" max="5636" width="31.125" style="359" customWidth="1"/>
    <col min="5637" max="5637" width="70.125" style="359" customWidth="1"/>
    <col min="5638" max="5638" width="17.375" style="359" customWidth="1"/>
    <col min="5639" max="5640" width="21.875" style="359" customWidth="1"/>
    <col min="5641" max="5641" width="19.375" style="359" customWidth="1"/>
    <col min="5642" max="5642" width="42" style="359" customWidth="1"/>
    <col min="5643" max="5888" width="10.875" style="359"/>
    <col min="5889" max="5889" width="72" style="359" customWidth="1"/>
    <col min="5890" max="5890" width="78.625" style="359" customWidth="1"/>
    <col min="5891" max="5891" width="10.875" style="359"/>
    <col min="5892" max="5892" width="31.125" style="359" customWidth="1"/>
    <col min="5893" max="5893" width="70.125" style="359" customWidth="1"/>
    <col min="5894" max="5894" width="17.375" style="359" customWidth="1"/>
    <col min="5895" max="5896" width="21.875" style="359" customWidth="1"/>
    <col min="5897" max="5897" width="19.375" style="359" customWidth="1"/>
    <col min="5898" max="5898" width="42" style="359" customWidth="1"/>
    <col min="5899" max="6144" width="10.875" style="359"/>
    <col min="6145" max="6145" width="72" style="359" customWidth="1"/>
    <col min="6146" max="6146" width="78.625" style="359" customWidth="1"/>
    <col min="6147" max="6147" width="10.875" style="359"/>
    <col min="6148" max="6148" width="31.125" style="359" customWidth="1"/>
    <col min="6149" max="6149" width="70.125" style="359" customWidth="1"/>
    <col min="6150" max="6150" width="17.375" style="359" customWidth="1"/>
    <col min="6151" max="6152" width="21.875" style="359" customWidth="1"/>
    <col min="6153" max="6153" width="19.375" style="359" customWidth="1"/>
    <col min="6154" max="6154" width="42" style="359" customWidth="1"/>
    <col min="6155" max="6400" width="10.875" style="359"/>
    <col min="6401" max="6401" width="72" style="359" customWidth="1"/>
    <col min="6402" max="6402" width="78.625" style="359" customWidth="1"/>
    <col min="6403" max="6403" width="10.875" style="359"/>
    <col min="6404" max="6404" width="31.125" style="359" customWidth="1"/>
    <col min="6405" max="6405" width="70.125" style="359" customWidth="1"/>
    <col min="6406" max="6406" width="17.375" style="359" customWidth="1"/>
    <col min="6407" max="6408" width="21.875" style="359" customWidth="1"/>
    <col min="6409" max="6409" width="19.375" style="359" customWidth="1"/>
    <col min="6410" max="6410" width="42" style="359" customWidth="1"/>
    <col min="6411" max="6656" width="10.875" style="359"/>
    <col min="6657" max="6657" width="72" style="359" customWidth="1"/>
    <col min="6658" max="6658" width="78.625" style="359" customWidth="1"/>
    <col min="6659" max="6659" width="10.875" style="359"/>
    <col min="6660" max="6660" width="31.125" style="359" customWidth="1"/>
    <col min="6661" max="6661" width="70.125" style="359" customWidth="1"/>
    <col min="6662" max="6662" width="17.375" style="359" customWidth="1"/>
    <col min="6663" max="6664" width="21.875" style="359" customWidth="1"/>
    <col min="6665" max="6665" width="19.375" style="359" customWidth="1"/>
    <col min="6666" max="6666" width="42" style="359" customWidth="1"/>
    <col min="6667" max="6912" width="10.875" style="359"/>
    <col min="6913" max="6913" width="72" style="359" customWidth="1"/>
    <col min="6914" max="6914" width="78.625" style="359" customWidth="1"/>
    <col min="6915" max="6915" width="10.875" style="359"/>
    <col min="6916" max="6916" width="31.125" style="359" customWidth="1"/>
    <col min="6917" max="6917" width="70.125" style="359" customWidth="1"/>
    <col min="6918" max="6918" width="17.375" style="359" customWidth="1"/>
    <col min="6919" max="6920" width="21.875" style="359" customWidth="1"/>
    <col min="6921" max="6921" width="19.375" style="359" customWidth="1"/>
    <col min="6922" max="6922" width="42" style="359" customWidth="1"/>
    <col min="6923" max="7168" width="10.875" style="359"/>
    <col min="7169" max="7169" width="72" style="359" customWidth="1"/>
    <col min="7170" max="7170" width="78.625" style="359" customWidth="1"/>
    <col min="7171" max="7171" width="10.875" style="359"/>
    <col min="7172" max="7172" width="31.125" style="359" customWidth="1"/>
    <col min="7173" max="7173" width="70.125" style="359" customWidth="1"/>
    <col min="7174" max="7174" width="17.375" style="359" customWidth="1"/>
    <col min="7175" max="7176" width="21.875" style="359" customWidth="1"/>
    <col min="7177" max="7177" width="19.375" style="359" customWidth="1"/>
    <col min="7178" max="7178" width="42" style="359" customWidth="1"/>
    <col min="7179" max="7424" width="10.875" style="359"/>
    <col min="7425" max="7425" width="72" style="359" customWidth="1"/>
    <col min="7426" max="7426" width="78.625" style="359" customWidth="1"/>
    <col min="7427" max="7427" width="10.875" style="359"/>
    <col min="7428" max="7428" width="31.125" style="359" customWidth="1"/>
    <col min="7429" max="7429" width="70.125" style="359" customWidth="1"/>
    <col min="7430" max="7430" width="17.375" style="359" customWidth="1"/>
    <col min="7431" max="7432" width="21.875" style="359" customWidth="1"/>
    <col min="7433" max="7433" width="19.375" style="359" customWidth="1"/>
    <col min="7434" max="7434" width="42" style="359" customWidth="1"/>
    <col min="7435" max="7680" width="10.875" style="359"/>
    <col min="7681" max="7681" width="72" style="359" customWidth="1"/>
    <col min="7682" max="7682" width="78.625" style="359" customWidth="1"/>
    <col min="7683" max="7683" width="10.875" style="359"/>
    <col min="7684" max="7684" width="31.125" style="359" customWidth="1"/>
    <col min="7685" max="7685" width="70.125" style="359" customWidth="1"/>
    <col min="7686" max="7686" width="17.375" style="359" customWidth="1"/>
    <col min="7687" max="7688" width="21.875" style="359" customWidth="1"/>
    <col min="7689" max="7689" width="19.375" style="359" customWidth="1"/>
    <col min="7690" max="7690" width="42" style="359" customWidth="1"/>
    <col min="7691" max="7936" width="10.875" style="359"/>
    <col min="7937" max="7937" width="72" style="359" customWidth="1"/>
    <col min="7938" max="7938" width="78.625" style="359" customWidth="1"/>
    <col min="7939" max="7939" width="10.875" style="359"/>
    <col min="7940" max="7940" width="31.125" style="359" customWidth="1"/>
    <col min="7941" max="7941" width="70.125" style="359" customWidth="1"/>
    <col min="7942" max="7942" width="17.375" style="359" customWidth="1"/>
    <col min="7943" max="7944" width="21.875" style="359" customWidth="1"/>
    <col min="7945" max="7945" width="19.375" style="359" customWidth="1"/>
    <col min="7946" max="7946" width="42" style="359" customWidth="1"/>
    <col min="7947" max="8192" width="10.875" style="359"/>
    <col min="8193" max="8193" width="72" style="359" customWidth="1"/>
    <col min="8194" max="8194" width="78.625" style="359" customWidth="1"/>
    <col min="8195" max="8195" width="10.875" style="359"/>
    <col min="8196" max="8196" width="31.125" style="359" customWidth="1"/>
    <col min="8197" max="8197" width="70.125" style="359" customWidth="1"/>
    <col min="8198" max="8198" width="17.375" style="359" customWidth="1"/>
    <col min="8199" max="8200" width="21.875" style="359" customWidth="1"/>
    <col min="8201" max="8201" width="19.375" style="359" customWidth="1"/>
    <col min="8202" max="8202" width="42" style="359" customWidth="1"/>
    <col min="8203" max="8448" width="10.875" style="359"/>
    <col min="8449" max="8449" width="72" style="359" customWidth="1"/>
    <col min="8450" max="8450" width="78.625" style="359" customWidth="1"/>
    <col min="8451" max="8451" width="10.875" style="359"/>
    <col min="8452" max="8452" width="31.125" style="359" customWidth="1"/>
    <col min="8453" max="8453" width="70.125" style="359" customWidth="1"/>
    <col min="8454" max="8454" width="17.375" style="359" customWidth="1"/>
    <col min="8455" max="8456" width="21.875" style="359" customWidth="1"/>
    <col min="8457" max="8457" width="19.375" style="359" customWidth="1"/>
    <col min="8458" max="8458" width="42" style="359" customWidth="1"/>
    <col min="8459" max="8704" width="10.875" style="359"/>
    <col min="8705" max="8705" width="72" style="359" customWidth="1"/>
    <col min="8706" max="8706" width="78.625" style="359" customWidth="1"/>
    <col min="8707" max="8707" width="10.875" style="359"/>
    <col min="8708" max="8708" width="31.125" style="359" customWidth="1"/>
    <col min="8709" max="8709" width="70.125" style="359" customWidth="1"/>
    <col min="8710" max="8710" width="17.375" style="359" customWidth="1"/>
    <col min="8711" max="8712" width="21.875" style="359" customWidth="1"/>
    <col min="8713" max="8713" width="19.375" style="359" customWidth="1"/>
    <col min="8714" max="8714" width="42" style="359" customWidth="1"/>
    <col min="8715" max="8960" width="10.875" style="359"/>
    <col min="8961" max="8961" width="72" style="359" customWidth="1"/>
    <col min="8962" max="8962" width="78.625" style="359" customWidth="1"/>
    <col min="8963" max="8963" width="10.875" style="359"/>
    <col min="8964" max="8964" width="31.125" style="359" customWidth="1"/>
    <col min="8965" max="8965" width="70.125" style="359" customWidth="1"/>
    <col min="8966" max="8966" width="17.375" style="359" customWidth="1"/>
    <col min="8967" max="8968" width="21.875" style="359" customWidth="1"/>
    <col min="8969" max="8969" width="19.375" style="359" customWidth="1"/>
    <col min="8970" max="8970" width="42" style="359" customWidth="1"/>
    <col min="8971" max="9216" width="10.875" style="359"/>
    <col min="9217" max="9217" width="72" style="359" customWidth="1"/>
    <col min="9218" max="9218" width="78.625" style="359" customWidth="1"/>
    <col min="9219" max="9219" width="10.875" style="359"/>
    <col min="9220" max="9220" width="31.125" style="359" customWidth="1"/>
    <col min="9221" max="9221" width="70.125" style="359" customWidth="1"/>
    <col min="9222" max="9222" width="17.375" style="359" customWidth="1"/>
    <col min="9223" max="9224" width="21.875" style="359" customWidth="1"/>
    <col min="9225" max="9225" width="19.375" style="359" customWidth="1"/>
    <col min="9226" max="9226" width="42" style="359" customWidth="1"/>
    <col min="9227" max="9472" width="10.875" style="359"/>
    <col min="9473" max="9473" width="72" style="359" customWidth="1"/>
    <col min="9474" max="9474" width="78.625" style="359" customWidth="1"/>
    <col min="9475" max="9475" width="10.875" style="359"/>
    <col min="9476" max="9476" width="31.125" style="359" customWidth="1"/>
    <col min="9477" max="9477" width="70.125" style="359" customWidth="1"/>
    <col min="9478" max="9478" width="17.375" style="359" customWidth="1"/>
    <col min="9479" max="9480" width="21.875" style="359" customWidth="1"/>
    <col min="9481" max="9481" width="19.375" style="359" customWidth="1"/>
    <col min="9482" max="9482" width="42" style="359" customWidth="1"/>
    <col min="9483" max="9728" width="10.875" style="359"/>
    <col min="9729" max="9729" width="72" style="359" customWidth="1"/>
    <col min="9730" max="9730" width="78.625" style="359" customWidth="1"/>
    <col min="9731" max="9731" width="10.875" style="359"/>
    <col min="9732" max="9732" width="31.125" style="359" customWidth="1"/>
    <col min="9733" max="9733" width="70.125" style="359" customWidth="1"/>
    <col min="9734" max="9734" width="17.375" style="359" customWidth="1"/>
    <col min="9735" max="9736" width="21.875" style="359" customWidth="1"/>
    <col min="9737" max="9737" width="19.375" style="359" customWidth="1"/>
    <col min="9738" max="9738" width="42" style="359" customWidth="1"/>
    <col min="9739" max="9984" width="10.875" style="359"/>
    <col min="9985" max="9985" width="72" style="359" customWidth="1"/>
    <col min="9986" max="9986" width="78.625" style="359" customWidth="1"/>
    <col min="9987" max="9987" width="10.875" style="359"/>
    <col min="9988" max="9988" width="31.125" style="359" customWidth="1"/>
    <col min="9989" max="9989" width="70.125" style="359" customWidth="1"/>
    <col min="9990" max="9990" width="17.375" style="359" customWidth="1"/>
    <col min="9991" max="9992" width="21.875" style="359" customWidth="1"/>
    <col min="9993" max="9993" width="19.375" style="359" customWidth="1"/>
    <col min="9994" max="9994" width="42" style="359" customWidth="1"/>
    <col min="9995" max="10240" width="10.875" style="359"/>
    <col min="10241" max="10241" width="72" style="359" customWidth="1"/>
    <col min="10242" max="10242" width="78.625" style="359" customWidth="1"/>
    <col min="10243" max="10243" width="10.875" style="359"/>
    <col min="10244" max="10244" width="31.125" style="359" customWidth="1"/>
    <col min="10245" max="10245" width="70.125" style="359" customWidth="1"/>
    <col min="10246" max="10246" width="17.375" style="359" customWidth="1"/>
    <col min="10247" max="10248" width="21.875" style="359" customWidth="1"/>
    <col min="10249" max="10249" width="19.375" style="359" customWidth="1"/>
    <col min="10250" max="10250" width="42" style="359" customWidth="1"/>
    <col min="10251" max="10496" width="10.875" style="359"/>
    <col min="10497" max="10497" width="72" style="359" customWidth="1"/>
    <col min="10498" max="10498" width="78.625" style="359" customWidth="1"/>
    <col min="10499" max="10499" width="10.875" style="359"/>
    <col min="10500" max="10500" width="31.125" style="359" customWidth="1"/>
    <col min="10501" max="10501" width="70.125" style="359" customWidth="1"/>
    <col min="10502" max="10502" width="17.375" style="359" customWidth="1"/>
    <col min="10503" max="10504" width="21.875" style="359" customWidth="1"/>
    <col min="10505" max="10505" width="19.375" style="359" customWidth="1"/>
    <col min="10506" max="10506" width="42" style="359" customWidth="1"/>
    <col min="10507" max="10752" width="10.875" style="359"/>
    <col min="10753" max="10753" width="72" style="359" customWidth="1"/>
    <col min="10754" max="10754" width="78.625" style="359" customWidth="1"/>
    <col min="10755" max="10755" width="10.875" style="359"/>
    <col min="10756" max="10756" width="31.125" style="359" customWidth="1"/>
    <col min="10757" max="10757" width="70.125" style="359" customWidth="1"/>
    <col min="10758" max="10758" width="17.375" style="359" customWidth="1"/>
    <col min="10759" max="10760" width="21.875" style="359" customWidth="1"/>
    <col min="10761" max="10761" width="19.375" style="359" customWidth="1"/>
    <col min="10762" max="10762" width="42" style="359" customWidth="1"/>
    <col min="10763" max="11008" width="10.875" style="359"/>
    <col min="11009" max="11009" width="72" style="359" customWidth="1"/>
    <col min="11010" max="11010" width="78.625" style="359" customWidth="1"/>
    <col min="11011" max="11011" width="10.875" style="359"/>
    <col min="11012" max="11012" width="31.125" style="359" customWidth="1"/>
    <col min="11013" max="11013" width="70.125" style="359" customWidth="1"/>
    <col min="11014" max="11014" width="17.375" style="359" customWidth="1"/>
    <col min="11015" max="11016" width="21.875" style="359" customWidth="1"/>
    <col min="11017" max="11017" width="19.375" style="359" customWidth="1"/>
    <col min="11018" max="11018" width="42" style="359" customWidth="1"/>
    <col min="11019" max="11264" width="10.875" style="359"/>
    <col min="11265" max="11265" width="72" style="359" customWidth="1"/>
    <col min="11266" max="11266" width="78.625" style="359" customWidth="1"/>
    <col min="11267" max="11267" width="10.875" style="359"/>
    <col min="11268" max="11268" width="31.125" style="359" customWidth="1"/>
    <col min="11269" max="11269" width="70.125" style="359" customWidth="1"/>
    <col min="11270" max="11270" width="17.375" style="359" customWidth="1"/>
    <col min="11271" max="11272" width="21.875" style="359" customWidth="1"/>
    <col min="11273" max="11273" width="19.375" style="359" customWidth="1"/>
    <col min="11274" max="11274" width="42" style="359" customWidth="1"/>
    <col min="11275" max="11520" width="10.875" style="359"/>
    <col min="11521" max="11521" width="72" style="359" customWidth="1"/>
    <col min="11522" max="11522" width="78.625" style="359" customWidth="1"/>
    <col min="11523" max="11523" width="10.875" style="359"/>
    <col min="11524" max="11524" width="31.125" style="359" customWidth="1"/>
    <col min="11525" max="11525" width="70.125" style="359" customWidth="1"/>
    <col min="11526" max="11526" width="17.375" style="359" customWidth="1"/>
    <col min="11527" max="11528" width="21.875" style="359" customWidth="1"/>
    <col min="11529" max="11529" width="19.375" style="359" customWidth="1"/>
    <col min="11530" max="11530" width="42" style="359" customWidth="1"/>
    <col min="11531" max="11776" width="10.875" style="359"/>
    <col min="11777" max="11777" width="72" style="359" customWidth="1"/>
    <col min="11778" max="11778" width="78.625" style="359" customWidth="1"/>
    <col min="11779" max="11779" width="10.875" style="359"/>
    <col min="11780" max="11780" width="31.125" style="359" customWidth="1"/>
    <col min="11781" max="11781" width="70.125" style="359" customWidth="1"/>
    <col min="11782" max="11782" width="17.375" style="359" customWidth="1"/>
    <col min="11783" max="11784" width="21.875" style="359" customWidth="1"/>
    <col min="11785" max="11785" width="19.375" style="359" customWidth="1"/>
    <col min="11786" max="11786" width="42" style="359" customWidth="1"/>
    <col min="11787" max="12032" width="10.875" style="359"/>
    <col min="12033" max="12033" width="72" style="359" customWidth="1"/>
    <col min="12034" max="12034" width="78.625" style="359" customWidth="1"/>
    <col min="12035" max="12035" width="10.875" style="359"/>
    <col min="12036" max="12036" width="31.125" style="359" customWidth="1"/>
    <col min="12037" max="12037" width="70.125" style="359" customWidth="1"/>
    <col min="12038" max="12038" width="17.375" style="359" customWidth="1"/>
    <col min="12039" max="12040" width="21.875" style="359" customWidth="1"/>
    <col min="12041" max="12041" width="19.375" style="359" customWidth="1"/>
    <col min="12042" max="12042" width="42" style="359" customWidth="1"/>
    <col min="12043" max="12288" width="10.875" style="359"/>
    <col min="12289" max="12289" width="72" style="359" customWidth="1"/>
    <col min="12290" max="12290" width="78.625" style="359" customWidth="1"/>
    <col min="12291" max="12291" width="10.875" style="359"/>
    <col min="12292" max="12292" width="31.125" style="359" customWidth="1"/>
    <col min="12293" max="12293" width="70.125" style="359" customWidth="1"/>
    <col min="12294" max="12294" width="17.375" style="359" customWidth="1"/>
    <col min="12295" max="12296" width="21.875" style="359" customWidth="1"/>
    <col min="12297" max="12297" width="19.375" style="359" customWidth="1"/>
    <col min="12298" max="12298" width="42" style="359" customWidth="1"/>
    <col min="12299" max="12544" width="10.875" style="359"/>
    <col min="12545" max="12545" width="72" style="359" customWidth="1"/>
    <col min="12546" max="12546" width="78.625" style="359" customWidth="1"/>
    <col min="12547" max="12547" width="10.875" style="359"/>
    <col min="12548" max="12548" width="31.125" style="359" customWidth="1"/>
    <col min="12549" max="12549" width="70.125" style="359" customWidth="1"/>
    <col min="12550" max="12550" width="17.375" style="359" customWidth="1"/>
    <col min="12551" max="12552" width="21.875" style="359" customWidth="1"/>
    <col min="12553" max="12553" width="19.375" style="359" customWidth="1"/>
    <col min="12554" max="12554" width="42" style="359" customWidth="1"/>
    <col min="12555" max="12800" width="10.875" style="359"/>
    <col min="12801" max="12801" width="72" style="359" customWidth="1"/>
    <col min="12802" max="12802" width="78.625" style="359" customWidth="1"/>
    <col min="12803" max="12803" width="10.875" style="359"/>
    <col min="12804" max="12804" width="31.125" style="359" customWidth="1"/>
    <col min="12805" max="12805" width="70.125" style="359" customWidth="1"/>
    <col min="12806" max="12806" width="17.375" style="359" customWidth="1"/>
    <col min="12807" max="12808" width="21.875" style="359" customWidth="1"/>
    <col min="12809" max="12809" width="19.375" style="359" customWidth="1"/>
    <col min="12810" max="12810" width="42" style="359" customWidth="1"/>
    <col min="12811" max="13056" width="10.875" style="359"/>
    <col min="13057" max="13057" width="72" style="359" customWidth="1"/>
    <col min="13058" max="13058" width="78.625" style="359" customWidth="1"/>
    <col min="13059" max="13059" width="10.875" style="359"/>
    <col min="13060" max="13060" width="31.125" style="359" customWidth="1"/>
    <col min="13061" max="13061" width="70.125" style="359" customWidth="1"/>
    <col min="13062" max="13062" width="17.375" style="359" customWidth="1"/>
    <col min="13063" max="13064" width="21.875" style="359" customWidth="1"/>
    <col min="13065" max="13065" width="19.375" style="359" customWidth="1"/>
    <col min="13066" max="13066" width="42" style="359" customWidth="1"/>
    <col min="13067" max="13312" width="10.875" style="359"/>
    <col min="13313" max="13313" width="72" style="359" customWidth="1"/>
    <col min="13314" max="13314" width="78.625" style="359" customWidth="1"/>
    <col min="13315" max="13315" width="10.875" style="359"/>
    <col min="13316" max="13316" width="31.125" style="359" customWidth="1"/>
    <col min="13317" max="13317" width="70.125" style="359" customWidth="1"/>
    <col min="13318" max="13318" width="17.375" style="359" customWidth="1"/>
    <col min="13319" max="13320" width="21.875" style="359" customWidth="1"/>
    <col min="13321" max="13321" width="19.375" style="359" customWidth="1"/>
    <col min="13322" max="13322" width="42" style="359" customWidth="1"/>
    <col min="13323" max="13568" width="10.875" style="359"/>
    <col min="13569" max="13569" width="72" style="359" customWidth="1"/>
    <col min="13570" max="13570" width="78.625" style="359" customWidth="1"/>
    <col min="13571" max="13571" width="10.875" style="359"/>
    <col min="13572" max="13572" width="31.125" style="359" customWidth="1"/>
    <col min="13573" max="13573" width="70.125" style="359" customWidth="1"/>
    <col min="13574" max="13574" width="17.375" style="359" customWidth="1"/>
    <col min="13575" max="13576" width="21.875" style="359" customWidth="1"/>
    <col min="13577" max="13577" width="19.375" style="359" customWidth="1"/>
    <col min="13578" max="13578" width="42" style="359" customWidth="1"/>
    <col min="13579" max="13824" width="10.875" style="359"/>
    <col min="13825" max="13825" width="72" style="359" customWidth="1"/>
    <col min="13826" max="13826" width="78.625" style="359" customWidth="1"/>
    <col min="13827" max="13827" width="10.875" style="359"/>
    <col min="13828" max="13828" width="31.125" style="359" customWidth="1"/>
    <col min="13829" max="13829" width="70.125" style="359" customWidth="1"/>
    <col min="13830" max="13830" width="17.375" style="359" customWidth="1"/>
    <col min="13831" max="13832" width="21.875" style="359" customWidth="1"/>
    <col min="13833" max="13833" width="19.375" style="359" customWidth="1"/>
    <col min="13834" max="13834" width="42" style="359" customWidth="1"/>
    <col min="13835" max="14080" width="10.875" style="359"/>
    <col min="14081" max="14081" width="72" style="359" customWidth="1"/>
    <col min="14082" max="14082" width="78.625" style="359" customWidth="1"/>
    <col min="14083" max="14083" width="10.875" style="359"/>
    <col min="14084" max="14084" width="31.125" style="359" customWidth="1"/>
    <col min="14085" max="14085" width="70.125" style="359" customWidth="1"/>
    <col min="14086" max="14086" width="17.375" style="359" customWidth="1"/>
    <col min="14087" max="14088" width="21.875" style="359" customWidth="1"/>
    <col min="14089" max="14089" width="19.375" style="359" customWidth="1"/>
    <col min="14090" max="14090" width="42" style="359" customWidth="1"/>
    <col min="14091" max="14336" width="10.875" style="359"/>
    <col min="14337" max="14337" width="72" style="359" customWidth="1"/>
    <col min="14338" max="14338" width="78.625" style="359" customWidth="1"/>
    <col min="14339" max="14339" width="10.875" style="359"/>
    <col min="14340" max="14340" width="31.125" style="359" customWidth="1"/>
    <col min="14341" max="14341" width="70.125" style="359" customWidth="1"/>
    <col min="14342" max="14342" width="17.375" style="359" customWidth="1"/>
    <col min="14343" max="14344" width="21.875" style="359" customWidth="1"/>
    <col min="14345" max="14345" width="19.375" style="359" customWidth="1"/>
    <col min="14346" max="14346" width="42" style="359" customWidth="1"/>
    <col min="14347" max="14592" width="10.875" style="359"/>
    <col min="14593" max="14593" width="72" style="359" customWidth="1"/>
    <col min="14594" max="14594" width="78.625" style="359" customWidth="1"/>
    <col min="14595" max="14595" width="10.875" style="359"/>
    <col min="14596" max="14596" width="31.125" style="359" customWidth="1"/>
    <col min="14597" max="14597" width="70.125" style="359" customWidth="1"/>
    <col min="14598" max="14598" width="17.375" style="359" customWidth="1"/>
    <col min="14599" max="14600" width="21.875" style="359" customWidth="1"/>
    <col min="14601" max="14601" width="19.375" style="359" customWidth="1"/>
    <col min="14602" max="14602" width="42" style="359" customWidth="1"/>
    <col min="14603" max="14848" width="10.875" style="359"/>
    <col min="14849" max="14849" width="72" style="359" customWidth="1"/>
    <col min="14850" max="14850" width="78.625" style="359" customWidth="1"/>
    <col min="14851" max="14851" width="10.875" style="359"/>
    <col min="14852" max="14852" width="31.125" style="359" customWidth="1"/>
    <col min="14853" max="14853" width="70.125" style="359" customWidth="1"/>
    <col min="14854" max="14854" width="17.375" style="359" customWidth="1"/>
    <col min="14855" max="14856" width="21.875" style="359" customWidth="1"/>
    <col min="14857" max="14857" width="19.375" style="359" customWidth="1"/>
    <col min="14858" max="14858" width="42" style="359" customWidth="1"/>
    <col min="14859" max="15104" width="10.875" style="359"/>
    <col min="15105" max="15105" width="72" style="359" customWidth="1"/>
    <col min="15106" max="15106" width="78.625" style="359" customWidth="1"/>
    <col min="15107" max="15107" width="10.875" style="359"/>
    <col min="15108" max="15108" width="31.125" style="359" customWidth="1"/>
    <col min="15109" max="15109" width="70.125" style="359" customWidth="1"/>
    <col min="15110" max="15110" width="17.375" style="359" customWidth="1"/>
    <col min="15111" max="15112" width="21.875" style="359" customWidth="1"/>
    <col min="15113" max="15113" width="19.375" style="359" customWidth="1"/>
    <col min="15114" max="15114" width="42" style="359" customWidth="1"/>
    <col min="15115" max="15360" width="10.875" style="359"/>
    <col min="15361" max="15361" width="72" style="359" customWidth="1"/>
    <col min="15362" max="15362" width="78.625" style="359" customWidth="1"/>
    <col min="15363" max="15363" width="10.875" style="359"/>
    <col min="15364" max="15364" width="31.125" style="359" customWidth="1"/>
    <col min="15365" max="15365" width="70.125" style="359" customWidth="1"/>
    <col min="15366" max="15366" width="17.375" style="359" customWidth="1"/>
    <col min="15367" max="15368" width="21.875" style="359" customWidth="1"/>
    <col min="15369" max="15369" width="19.375" style="359" customWidth="1"/>
    <col min="15370" max="15370" width="42" style="359" customWidth="1"/>
    <col min="15371" max="15616" width="10.875" style="359"/>
    <col min="15617" max="15617" width="72" style="359" customWidth="1"/>
    <col min="15618" max="15618" width="78.625" style="359" customWidth="1"/>
    <col min="15619" max="15619" width="10.875" style="359"/>
    <col min="15620" max="15620" width="31.125" style="359" customWidth="1"/>
    <col min="15621" max="15621" width="70.125" style="359" customWidth="1"/>
    <col min="15622" max="15622" width="17.375" style="359" customWidth="1"/>
    <col min="15623" max="15624" width="21.875" style="359" customWidth="1"/>
    <col min="15625" max="15625" width="19.375" style="359" customWidth="1"/>
    <col min="15626" max="15626" width="42" style="359" customWidth="1"/>
    <col min="15627" max="15872" width="10.875" style="359"/>
    <col min="15873" max="15873" width="72" style="359" customWidth="1"/>
    <col min="15874" max="15874" width="78.625" style="359" customWidth="1"/>
    <col min="15875" max="15875" width="10.875" style="359"/>
    <col min="15876" max="15876" width="31.125" style="359" customWidth="1"/>
    <col min="15877" max="15877" width="70.125" style="359" customWidth="1"/>
    <col min="15878" max="15878" width="17.375" style="359" customWidth="1"/>
    <col min="15879" max="15880" width="21.875" style="359" customWidth="1"/>
    <col min="15881" max="15881" width="19.375" style="359" customWidth="1"/>
    <col min="15882" max="15882" width="42" style="359" customWidth="1"/>
    <col min="15883" max="16128" width="10.875" style="359"/>
    <col min="16129" max="16129" width="72" style="359" customWidth="1"/>
    <col min="16130" max="16130" width="78.625" style="359" customWidth="1"/>
    <col min="16131" max="16131" width="10.875" style="359"/>
    <col min="16132" max="16132" width="31.125" style="359" customWidth="1"/>
    <col min="16133" max="16133" width="70.125" style="359" customWidth="1"/>
    <col min="16134" max="16134" width="17.375" style="359" customWidth="1"/>
    <col min="16135" max="16136" width="21.875" style="359" customWidth="1"/>
    <col min="16137" max="16137" width="19.375" style="359" customWidth="1"/>
    <col min="16138" max="16138" width="42" style="359" customWidth="1"/>
    <col min="16139" max="16384" width="10.875" style="359"/>
  </cols>
  <sheetData>
    <row r="1" spans="1:2" ht="25.5" customHeight="1">
      <c r="A1" s="447" t="s">
        <v>0</v>
      </c>
      <c r="B1" s="448"/>
    </row>
    <row r="2" spans="1:2" ht="25.5" customHeight="1">
      <c r="A2" s="449" t="s">
        <v>1</v>
      </c>
      <c r="B2" s="450"/>
    </row>
    <row r="3" spans="1:2">
      <c r="A3" s="360" t="s">
        <v>2</v>
      </c>
      <c r="B3" s="361" t="s">
        <v>3</v>
      </c>
    </row>
    <row r="4" spans="1:2">
      <c r="A4" s="362" t="s">
        <v>4</v>
      </c>
      <c r="B4" s="363" t="s">
        <v>5</v>
      </c>
    </row>
    <row r="5" spans="1:2">
      <c r="A5" s="362" t="s">
        <v>6</v>
      </c>
      <c r="B5" s="363" t="s">
        <v>7</v>
      </c>
    </row>
    <row r="6" spans="1:2" ht="96.6">
      <c r="A6" s="362" t="s">
        <v>8</v>
      </c>
      <c r="B6" s="364" t="s">
        <v>9</v>
      </c>
    </row>
    <row r="7" spans="1:2" ht="40.5" customHeight="1">
      <c r="A7" s="362" t="s">
        <v>10</v>
      </c>
      <c r="B7" s="365" t="s">
        <v>11</v>
      </c>
    </row>
    <row r="8" spans="1:2" ht="29.25" customHeight="1">
      <c r="A8" s="362" t="s">
        <v>12</v>
      </c>
      <c r="B8" s="365" t="s">
        <v>13</v>
      </c>
    </row>
    <row r="9" spans="1:2" ht="38.25" customHeight="1">
      <c r="A9" s="362" t="s">
        <v>14</v>
      </c>
      <c r="B9" s="365" t="s">
        <v>13</v>
      </c>
    </row>
    <row r="10" spans="1:2" ht="27.6">
      <c r="A10" s="362" t="s">
        <v>15</v>
      </c>
      <c r="B10" s="366" t="s">
        <v>16</v>
      </c>
    </row>
    <row r="11" spans="1:2">
      <c r="A11" s="362" t="s">
        <v>17</v>
      </c>
      <c r="B11" s="366" t="s">
        <v>18</v>
      </c>
    </row>
    <row r="12" spans="1:2" ht="8.25" customHeight="1">
      <c r="A12" s="367"/>
      <c r="B12" s="368"/>
    </row>
    <row r="13" spans="1:2">
      <c r="A13" s="362" t="s">
        <v>19</v>
      </c>
      <c r="B13" s="369" t="s">
        <v>20</v>
      </c>
    </row>
    <row r="14" spans="1:2">
      <c r="A14" s="362" t="s">
        <v>21</v>
      </c>
      <c r="B14" s="369" t="s">
        <v>22</v>
      </c>
    </row>
    <row r="15" spans="1:2" ht="27.6">
      <c r="A15" s="362" t="s">
        <v>23</v>
      </c>
      <c r="B15" s="369" t="s">
        <v>24</v>
      </c>
    </row>
    <row r="16" spans="1:2">
      <c r="A16" s="362" t="s">
        <v>25</v>
      </c>
      <c r="B16" s="369" t="s">
        <v>26</v>
      </c>
    </row>
    <row r="17" spans="1:2" ht="8.25" customHeight="1">
      <c r="A17" s="367"/>
      <c r="B17" s="370"/>
    </row>
    <row r="18" spans="1:2" ht="41.45">
      <c r="A18" s="362" t="s">
        <v>27</v>
      </c>
      <c r="B18" s="369" t="s">
        <v>28</v>
      </c>
    </row>
    <row r="19" spans="1:2" ht="27.6">
      <c r="A19" s="362" t="s">
        <v>29</v>
      </c>
      <c r="B19" s="369" t="s">
        <v>30</v>
      </c>
    </row>
    <row r="20" spans="1:2" ht="27.6">
      <c r="A20" s="362" t="s">
        <v>31</v>
      </c>
      <c r="B20" s="369" t="s">
        <v>32</v>
      </c>
    </row>
    <row r="21" spans="1:2" ht="27.6">
      <c r="A21" s="362" t="s">
        <v>25</v>
      </c>
      <c r="B21" s="369" t="s">
        <v>33</v>
      </c>
    </row>
    <row r="22" spans="1:2" ht="8.25" customHeight="1">
      <c r="A22" s="367"/>
      <c r="B22" s="370"/>
    </row>
    <row r="23" spans="1:2" ht="31.5" customHeight="1">
      <c r="A23" s="362" t="s">
        <v>34</v>
      </c>
      <c r="B23" s="369" t="s">
        <v>35</v>
      </c>
    </row>
    <row r="24" spans="1:2">
      <c r="A24" s="362" t="s">
        <v>36</v>
      </c>
      <c r="B24" s="369" t="s">
        <v>37</v>
      </c>
    </row>
    <row r="25" spans="1:2" ht="20.100000000000001" customHeight="1">
      <c r="A25" s="362" t="s">
        <v>38</v>
      </c>
      <c r="B25" s="369" t="s">
        <v>39</v>
      </c>
    </row>
    <row r="26" spans="1:2" ht="29.1" customHeight="1">
      <c r="A26" s="362" t="s">
        <v>40</v>
      </c>
      <c r="B26" s="369" t="s">
        <v>41</v>
      </c>
    </row>
    <row r="27" spans="1:2" ht="20.45" customHeight="1">
      <c r="A27" s="362" t="s">
        <v>42</v>
      </c>
      <c r="B27" s="369" t="s">
        <v>43</v>
      </c>
    </row>
    <row r="28" spans="1:2" ht="8.25" customHeight="1">
      <c r="A28" s="367"/>
      <c r="B28" s="370"/>
    </row>
    <row r="29" spans="1:2" ht="27.6">
      <c r="A29" s="362" t="s">
        <v>44</v>
      </c>
      <c r="B29" s="369" t="s">
        <v>45</v>
      </c>
    </row>
    <row r="30" spans="1:2" ht="41.45">
      <c r="A30" s="362" t="s">
        <v>46</v>
      </c>
      <c r="B30" s="369" t="s">
        <v>47</v>
      </c>
    </row>
    <row r="31" spans="1:2" ht="41.45">
      <c r="A31" s="362" t="s">
        <v>48</v>
      </c>
      <c r="B31" s="369" t="s">
        <v>49</v>
      </c>
    </row>
    <row r="32" spans="1:2" ht="27.6">
      <c r="A32" s="362" t="s">
        <v>50</v>
      </c>
      <c r="B32" s="369" t="s">
        <v>51</v>
      </c>
    </row>
    <row r="33" spans="1:2" ht="55.15">
      <c r="A33" s="362" t="s">
        <v>52</v>
      </c>
      <c r="B33" s="369" t="s">
        <v>53</v>
      </c>
    </row>
    <row r="34" spans="1:2" ht="85.35" customHeight="1">
      <c r="A34" s="371" t="s">
        <v>54</v>
      </c>
      <c r="B34" s="369" t="s">
        <v>55</v>
      </c>
    </row>
    <row r="35" spans="1:2" ht="81.599999999999994" customHeight="1">
      <c r="A35" s="371" t="s">
        <v>56</v>
      </c>
      <c r="B35" s="369" t="s">
        <v>57</v>
      </c>
    </row>
    <row r="36" spans="1:2" ht="54" customHeight="1">
      <c r="A36" s="371" t="s">
        <v>58</v>
      </c>
      <c r="B36" s="369" t="s">
        <v>59</v>
      </c>
    </row>
    <row r="37" spans="1:2" ht="8.25" customHeight="1">
      <c r="A37" s="372"/>
      <c r="B37" s="370"/>
    </row>
    <row r="38" spans="1:2" ht="69">
      <c r="A38" s="371" t="s">
        <v>60</v>
      </c>
      <c r="B38" s="369" t="s">
        <v>61</v>
      </c>
    </row>
    <row r="39" spans="1:2" ht="41.45">
      <c r="A39" s="371" t="s">
        <v>62</v>
      </c>
      <c r="B39" s="369" t="s">
        <v>63</v>
      </c>
    </row>
    <row r="40" spans="1:2" ht="27.6">
      <c r="A40" s="371" t="s">
        <v>64</v>
      </c>
      <c r="B40" s="369" t="s">
        <v>65</v>
      </c>
    </row>
    <row r="41" spans="1:2" ht="69">
      <c r="A41" s="371" t="s">
        <v>66</v>
      </c>
      <c r="B41" s="369" t="s">
        <v>67</v>
      </c>
    </row>
    <row r="42" spans="1:2" ht="27.6">
      <c r="A42" s="362" t="s">
        <v>68</v>
      </c>
      <c r="B42" s="369" t="s">
        <v>69</v>
      </c>
    </row>
    <row r="43" spans="1:2">
      <c r="A43" s="371"/>
      <c r="B43" s="373"/>
    </row>
    <row r="44" spans="1:2" ht="25.5" customHeight="1">
      <c r="A44" s="449" t="s">
        <v>70</v>
      </c>
      <c r="B44" s="450"/>
    </row>
    <row r="45" spans="1:2">
      <c r="A45" s="360" t="s">
        <v>2</v>
      </c>
      <c r="B45" s="361" t="s">
        <v>3</v>
      </c>
    </row>
    <row r="46" spans="1:2">
      <c r="A46" s="362" t="s">
        <v>6</v>
      </c>
      <c r="B46" s="363" t="s">
        <v>7</v>
      </c>
    </row>
    <row r="47" spans="1:2" ht="96.6">
      <c r="A47" s="362" t="s">
        <v>8</v>
      </c>
      <c r="B47" s="364" t="s">
        <v>9</v>
      </c>
    </row>
    <row r="48" spans="1:2">
      <c r="A48" s="362" t="s">
        <v>71</v>
      </c>
      <c r="B48" s="374" t="s">
        <v>72</v>
      </c>
    </row>
    <row r="49" spans="1:2" ht="37.5" customHeight="1">
      <c r="A49" s="362" t="s">
        <v>73</v>
      </c>
      <c r="B49" s="374" t="s">
        <v>13</v>
      </c>
    </row>
    <row r="50" spans="1:2" ht="27.6">
      <c r="A50" s="362" t="s">
        <v>74</v>
      </c>
      <c r="B50" s="374" t="s">
        <v>75</v>
      </c>
    </row>
    <row r="51" spans="1:2" ht="41.45">
      <c r="A51" s="362" t="s">
        <v>76</v>
      </c>
      <c r="B51" s="375" t="s">
        <v>77</v>
      </c>
    </row>
    <row r="52" spans="1:2" ht="41.45">
      <c r="A52" s="362" t="s">
        <v>78</v>
      </c>
      <c r="B52" s="375" t="s">
        <v>79</v>
      </c>
    </row>
    <row r="53" spans="1:2">
      <c r="A53" s="362" t="s">
        <v>80</v>
      </c>
      <c r="B53" s="375" t="s">
        <v>81</v>
      </c>
    </row>
    <row r="54" spans="1:2" ht="69">
      <c r="A54" s="362" t="s">
        <v>82</v>
      </c>
      <c r="B54" s="375" t="s">
        <v>83</v>
      </c>
    </row>
    <row r="55" spans="1:2" ht="55.15">
      <c r="A55" s="371" t="s">
        <v>84</v>
      </c>
      <c r="B55" s="375" t="s">
        <v>85</v>
      </c>
    </row>
    <row r="56" spans="1:2" ht="27.6">
      <c r="A56" s="362" t="s">
        <v>86</v>
      </c>
      <c r="B56" s="375" t="s">
        <v>87</v>
      </c>
    </row>
    <row r="57" spans="1:2" ht="96.6">
      <c r="A57" s="362" t="s">
        <v>88</v>
      </c>
      <c r="B57" s="375" t="s">
        <v>89</v>
      </c>
    </row>
    <row r="58" spans="1:2">
      <c r="A58" s="362" t="s">
        <v>90</v>
      </c>
      <c r="B58" s="375" t="s">
        <v>91</v>
      </c>
    </row>
    <row r="59" spans="1:2" ht="27.6">
      <c r="A59" s="362" t="s">
        <v>92</v>
      </c>
      <c r="B59" s="375" t="s">
        <v>93</v>
      </c>
    </row>
    <row r="60" spans="1:2" ht="27.6">
      <c r="A60" s="362" t="s">
        <v>94</v>
      </c>
      <c r="B60" s="375" t="s">
        <v>95</v>
      </c>
    </row>
    <row r="61" spans="1:2" ht="27.6">
      <c r="A61" s="362" t="s">
        <v>96</v>
      </c>
      <c r="B61" s="375" t="s">
        <v>97</v>
      </c>
    </row>
    <row r="62" spans="1:2" ht="27.6">
      <c r="A62" s="362" t="s">
        <v>98</v>
      </c>
      <c r="B62" s="375" t="s">
        <v>99</v>
      </c>
    </row>
    <row r="63" spans="1:2" ht="41.45">
      <c r="A63" s="362" t="s">
        <v>100</v>
      </c>
      <c r="B63" s="375" t="s">
        <v>101</v>
      </c>
    </row>
    <row r="64" spans="1:2" ht="79.5" customHeight="1">
      <c r="A64" s="362" t="s">
        <v>102</v>
      </c>
      <c r="B64" s="375" t="s">
        <v>103</v>
      </c>
    </row>
    <row r="65" spans="1:2" ht="110.45">
      <c r="A65" s="362" t="s">
        <v>104</v>
      </c>
      <c r="B65" s="375" t="s">
        <v>105</v>
      </c>
    </row>
    <row r="66" spans="1:2" ht="27.6">
      <c r="A66" s="362" t="s">
        <v>106</v>
      </c>
      <c r="B66" s="375" t="s">
        <v>107</v>
      </c>
    </row>
    <row r="67" spans="1:2" ht="151.9">
      <c r="A67" s="362" t="s">
        <v>108</v>
      </c>
      <c r="B67" s="375" t="s">
        <v>109</v>
      </c>
    </row>
    <row r="68" spans="1:2" ht="27.6">
      <c r="A68" s="362" t="s">
        <v>110</v>
      </c>
      <c r="B68" s="375" t="s">
        <v>111</v>
      </c>
    </row>
    <row r="69" spans="1:2" ht="27.6">
      <c r="A69" s="371" t="s">
        <v>112</v>
      </c>
      <c r="B69" s="375" t="s">
        <v>113</v>
      </c>
    </row>
    <row r="70" spans="1:2" ht="25.5" customHeight="1">
      <c r="A70" s="449" t="s">
        <v>114</v>
      </c>
      <c r="B70" s="450"/>
    </row>
    <row r="71" spans="1:2">
      <c r="A71" s="451" t="s">
        <v>115</v>
      </c>
      <c r="B71" s="452"/>
    </row>
    <row r="72" spans="1:2" ht="72" customHeight="1">
      <c r="A72" s="445" t="s">
        <v>116</v>
      </c>
      <c r="B72" s="446"/>
    </row>
    <row r="73" spans="1:2" ht="27.6">
      <c r="A73" s="362" t="s">
        <v>117</v>
      </c>
      <c r="B73" s="375" t="s">
        <v>118</v>
      </c>
    </row>
    <row r="74" spans="1:2" ht="41.45">
      <c r="A74" s="371" t="s">
        <v>119</v>
      </c>
      <c r="B74" s="375" t="s">
        <v>120</v>
      </c>
    </row>
  </sheetData>
  <mergeCells count="6">
    <mergeCell ref="A72:B72"/>
    <mergeCell ref="A1:B1"/>
    <mergeCell ref="A2:B2"/>
    <mergeCell ref="A44:B44"/>
    <mergeCell ref="A70:B70"/>
    <mergeCell ref="A71:B71"/>
  </mergeCells>
  <pageMargins left="0.25" right="0.25" top="0.75" bottom="0.75" header="0.3" footer="0.3"/>
  <pageSetup scale="1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CC110"/>
  <sheetViews>
    <sheetView showGridLines="0" zoomScale="70" zoomScaleNormal="70" zoomScaleSheetLayoutView="80" workbookViewId="0">
      <pane ySplit="1" topLeftCell="A2" activePane="bottomLeft" state="frozen"/>
      <selection pane="bottomLeft" activeCell="R32" sqref="R32"/>
    </sheetView>
  </sheetViews>
  <sheetFormatPr defaultColWidth="8.875" defaultRowHeight="13.15"/>
  <cols>
    <col min="1" max="32" width="8.875" style="23"/>
    <col min="33" max="38" width="13.875" style="23" customWidth="1"/>
    <col min="39" max="43" width="9.375" style="23" customWidth="1"/>
    <col min="44" max="44" width="8.875" style="23" customWidth="1"/>
    <col min="45" max="45" width="10.625" style="23" customWidth="1"/>
    <col min="46" max="46" width="11.125" style="23" customWidth="1"/>
    <col min="47" max="47" width="10.375" style="23" customWidth="1"/>
    <col min="48" max="48" width="8.875" style="23" customWidth="1"/>
    <col min="49" max="49" width="12.625" style="23" customWidth="1"/>
    <col min="50" max="50" width="12.625" style="16" customWidth="1"/>
    <col min="51" max="53" width="16.875" style="23" customWidth="1"/>
    <col min="54" max="54" width="10.875" style="23" customWidth="1"/>
    <col min="55" max="55" width="16.875" style="23" customWidth="1"/>
    <col min="56" max="56" width="11.375" style="23" customWidth="1"/>
    <col min="57" max="57" width="16.125" style="23" customWidth="1"/>
    <col min="58" max="58" width="11.625" style="23" customWidth="1"/>
    <col min="59" max="59" width="16.625" style="23" customWidth="1"/>
    <col min="60" max="60" width="10.375" style="23" customWidth="1"/>
    <col min="61" max="61" width="8.875" style="24"/>
    <col min="62" max="62" width="11.125" style="23" customWidth="1"/>
    <col min="63" max="64" width="10.625" style="23" customWidth="1"/>
    <col min="65" max="66" width="8.875" style="23"/>
    <col min="67" max="67" width="40.875" style="23" customWidth="1"/>
    <col min="68" max="68" width="12.625" style="23" customWidth="1"/>
    <col min="69" max="69" width="10.125" style="23" customWidth="1"/>
    <col min="70" max="71" width="11.375" style="25" customWidth="1"/>
    <col min="72" max="72" width="14.125" style="25" customWidth="1"/>
    <col min="73" max="73" width="12.625" style="25" customWidth="1"/>
    <col min="74" max="74" width="10.375" style="25" customWidth="1"/>
    <col min="75" max="75" width="13.375" style="23" customWidth="1"/>
    <col min="76" max="76" width="14" style="23" customWidth="1"/>
    <col min="77" max="77" width="13.875" style="23" customWidth="1"/>
    <col min="78" max="78" width="14.375" style="23" customWidth="1"/>
    <col min="79" max="16384" width="8.875" style="23"/>
  </cols>
  <sheetData>
    <row r="1" spans="1:80" s="15" customFormat="1" ht="48">
      <c r="A1" s="26" t="s">
        <v>382</v>
      </c>
      <c r="B1" s="26" t="s">
        <v>383</v>
      </c>
      <c r="C1" s="26" t="s">
        <v>384</v>
      </c>
      <c r="D1" s="26" t="s">
        <v>385</v>
      </c>
      <c r="E1" s="26" t="s">
        <v>386</v>
      </c>
      <c r="F1" s="26" t="s">
        <v>387</v>
      </c>
      <c r="G1" s="27" t="s">
        <v>388</v>
      </c>
      <c r="H1" s="26" t="s">
        <v>389</v>
      </c>
      <c r="I1" s="26" t="s">
        <v>390</v>
      </c>
      <c r="J1" s="26" t="s">
        <v>384</v>
      </c>
      <c r="K1" s="26" t="s">
        <v>385</v>
      </c>
      <c r="L1" s="26" t="s">
        <v>391</v>
      </c>
      <c r="M1" s="26" t="s">
        <v>392</v>
      </c>
      <c r="N1" s="26" t="s">
        <v>393</v>
      </c>
      <c r="O1" s="26" t="s">
        <v>394</v>
      </c>
      <c r="P1" s="26" t="s">
        <v>395</v>
      </c>
      <c r="Q1" s="26" t="s">
        <v>396</v>
      </c>
      <c r="R1" s="32" t="s">
        <v>397</v>
      </c>
      <c r="S1" s="26" t="s">
        <v>398</v>
      </c>
      <c r="T1" s="26" t="s">
        <v>399</v>
      </c>
      <c r="U1" s="26" t="s">
        <v>400</v>
      </c>
      <c r="V1" s="26" t="s">
        <v>401</v>
      </c>
      <c r="W1" s="26" t="s">
        <v>402</v>
      </c>
      <c r="X1" s="32" t="s">
        <v>403</v>
      </c>
      <c r="Y1" s="26" t="s">
        <v>404</v>
      </c>
      <c r="Z1" s="26" t="s">
        <v>405</v>
      </c>
      <c r="AA1" s="27" t="s">
        <v>406</v>
      </c>
      <c r="AB1" s="26" t="s">
        <v>407</v>
      </c>
      <c r="AC1" s="26" t="s">
        <v>408</v>
      </c>
      <c r="AD1" s="27" t="s">
        <v>409</v>
      </c>
      <c r="AE1" s="27" t="s">
        <v>410</v>
      </c>
      <c r="AF1" s="26" t="s">
        <v>411</v>
      </c>
      <c r="AG1" s="26" t="s">
        <v>412</v>
      </c>
      <c r="AH1" s="26" t="s">
        <v>413</v>
      </c>
      <c r="AI1" s="26" t="s">
        <v>414</v>
      </c>
      <c r="AJ1" s="26" t="s">
        <v>415</v>
      </c>
      <c r="AK1" s="26" t="s">
        <v>416</v>
      </c>
      <c r="AL1" s="32" t="s">
        <v>417</v>
      </c>
      <c r="AM1" s="26" t="s">
        <v>418</v>
      </c>
      <c r="AN1" s="27" t="s">
        <v>419</v>
      </c>
      <c r="AO1" s="26" t="s">
        <v>420</v>
      </c>
      <c r="AP1" s="27" t="s">
        <v>421</v>
      </c>
      <c r="AQ1" s="38" t="s">
        <v>422</v>
      </c>
      <c r="AR1" s="39" t="s">
        <v>423</v>
      </c>
      <c r="AS1" s="40" t="s">
        <v>424</v>
      </c>
      <c r="AT1" s="41" t="s">
        <v>425</v>
      </c>
      <c r="AU1" s="41" t="s">
        <v>426</v>
      </c>
      <c r="AV1" s="42" t="s">
        <v>427</v>
      </c>
      <c r="AW1" s="43" t="s">
        <v>428</v>
      </c>
      <c r="AX1" s="44" t="s">
        <v>429</v>
      </c>
      <c r="AY1" s="43" t="s">
        <v>430</v>
      </c>
      <c r="AZ1" s="44" t="s">
        <v>431</v>
      </c>
      <c r="BA1" s="43" t="s">
        <v>432</v>
      </c>
      <c r="BB1" s="44" t="s">
        <v>433</v>
      </c>
      <c r="BC1" s="43" t="s">
        <v>434</v>
      </c>
      <c r="BD1" s="44" t="s">
        <v>435</v>
      </c>
      <c r="BE1" s="56" t="s">
        <v>436</v>
      </c>
      <c r="BF1" s="44" t="s">
        <v>437</v>
      </c>
      <c r="BG1" s="57" t="s">
        <v>438</v>
      </c>
      <c r="BH1" s="58" t="s">
        <v>439</v>
      </c>
      <c r="BI1" s="59"/>
      <c r="BJ1" s="15" t="s">
        <v>440</v>
      </c>
      <c r="BK1" s="15" t="s">
        <v>441</v>
      </c>
      <c r="BL1" s="15" t="s">
        <v>442</v>
      </c>
      <c r="BR1" s="69" t="s">
        <v>440</v>
      </c>
      <c r="BS1" s="69" t="s">
        <v>441</v>
      </c>
      <c r="BT1" s="69" t="s">
        <v>442</v>
      </c>
      <c r="BU1" s="69"/>
      <c r="BV1" s="69"/>
      <c r="BW1" s="69" t="s">
        <v>440</v>
      </c>
      <c r="BX1" s="69" t="s">
        <v>441</v>
      </c>
      <c r="BY1" s="69" t="s">
        <v>442</v>
      </c>
      <c r="CA1" s="69"/>
      <c r="CB1" s="69"/>
    </row>
    <row r="2" spans="1:80" s="16" customFormat="1" ht="14.45">
      <c r="A2" s="377">
        <v>2024</v>
      </c>
      <c r="B2" s="16">
        <v>8</v>
      </c>
      <c r="C2" s="28">
        <v>45292</v>
      </c>
      <c r="D2" s="28">
        <v>45535</v>
      </c>
      <c r="E2" s="16" t="s">
        <v>443</v>
      </c>
      <c r="F2" s="28">
        <v>45506</v>
      </c>
      <c r="G2" s="16" t="s">
        <v>444</v>
      </c>
      <c r="H2" s="16" t="s">
        <v>445</v>
      </c>
      <c r="I2" s="377" t="s">
        <v>446</v>
      </c>
      <c r="J2" s="28">
        <v>45506</v>
      </c>
      <c r="K2" s="28">
        <v>45657</v>
      </c>
      <c r="L2" s="16" t="s">
        <v>447</v>
      </c>
      <c r="M2" s="16" t="s">
        <v>448</v>
      </c>
      <c r="N2" s="16" t="s">
        <v>449</v>
      </c>
      <c r="O2" s="16">
        <v>1426</v>
      </c>
      <c r="P2" s="16">
        <v>1384</v>
      </c>
      <c r="Q2" s="377" t="s">
        <v>450</v>
      </c>
      <c r="R2" s="377" t="s">
        <v>451</v>
      </c>
      <c r="S2" s="377" t="s">
        <v>377</v>
      </c>
      <c r="T2" s="16" t="s">
        <v>452</v>
      </c>
      <c r="U2" s="16" t="s">
        <v>453</v>
      </c>
      <c r="V2" s="16" t="s">
        <v>454</v>
      </c>
      <c r="W2" s="16" t="s">
        <v>455</v>
      </c>
      <c r="X2" s="377" t="s">
        <v>456</v>
      </c>
      <c r="Y2" s="16" t="s">
        <v>457</v>
      </c>
      <c r="Z2" s="16" t="s">
        <v>377</v>
      </c>
      <c r="AA2" s="16" t="s">
        <v>458</v>
      </c>
      <c r="AB2" s="16" t="s">
        <v>459</v>
      </c>
      <c r="AC2" s="16" t="s">
        <v>460</v>
      </c>
      <c r="AD2" s="16" t="s">
        <v>461</v>
      </c>
      <c r="AE2" s="16" t="s">
        <v>462</v>
      </c>
      <c r="AF2" s="377" t="s">
        <v>463</v>
      </c>
      <c r="AG2" s="378">
        <v>13530000</v>
      </c>
      <c r="AH2" s="33">
        <v>360800</v>
      </c>
      <c r="AI2" s="378">
        <v>0</v>
      </c>
      <c r="AJ2" s="378">
        <f>AG2-AH2+AI2</f>
        <v>13169200</v>
      </c>
      <c r="AK2" s="34">
        <v>7757200</v>
      </c>
      <c r="AL2" s="378">
        <f>AJ2-AK2</f>
        <v>5412000</v>
      </c>
      <c r="AM2" s="16">
        <v>5000718990</v>
      </c>
      <c r="AN2" s="16">
        <v>1</v>
      </c>
      <c r="AO2" s="16">
        <v>590297</v>
      </c>
      <c r="AP2" s="16">
        <v>1</v>
      </c>
      <c r="AQ2" s="28">
        <v>45506</v>
      </c>
      <c r="AR2" s="379">
        <v>8232</v>
      </c>
      <c r="AS2" s="380">
        <v>2706000</v>
      </c>
      <c r="AT2" s="381">
        <v>45509</v>
      </c>
      <c r="AU2" s="381">
        <v>45657</v>
      </c>
      <c r="AV2" s="382" t="s">
        <v>255</v>
      </c>
      <c r="AW2" s="383">
        <v>2345200</v>
      </c>
      <c r="AX2" s="45">
        <v>2345200</v>
      </c>
      <c r="AY2" s="383">
        <v>2706000</v>
      </c>
      <c r="AZ2" s="383">
        <v>2706000</v>
      </c>
      <c r="BA2" s="383">
        <v>2706000</v>
      </c>
      <c r="BB2" s="383"/>
      <c r="BC2" s="383">
        <v>2706000</v>
      </c>
      <c r="BD2" s="383"/>
      <c r="BE2" s="383">
        <v>2706000</v>
      </c>
      <c r="BF2" s="384"/>
      <c r="BG2" s="60">
        <f t="shared" ref="BG2:BG21" si="0">AH2</f>
        <v>360800</v>
      </c>
      <c r="BH2" s="385">
        <f t="shared" ref="BH2:BH23" si="1">AG2-AW2-AY2-BA2-BC2-BE2-BG2</f>
        <v>0</v>
      </c>
      <c r="BI2" s="386">
        <v>360800</v>
      </c>
      <c r="BJ2" s="387">
        <v>13530000</v>
      </c>
      <c r="BK2" s="387">
        <v>13530000</v>
      </c>
      <c r="BL2" s="387">
        <v>13940000</v>
      </c>
      <c r="BM2" s="377"/>
      <c r="BN2" s="377"/>
      <c r="BR2" s="70">
        <f>+AX2</f>
        <v>2345200</v>
      </c>
      <c r="BS2" s="70">
        <v>0</v>
      </c>
      <c r="BT2" s="70">
        <v>0</v>
      </c>
      <c r="BU2" s="70"/>
      <c r="BV2" s="70"/>
      <c r="BW2" s="70">
        <f>AK2-BR2</f>
        <v>5412000</v>
      </c>
      <c r="BX2" s="70">
        <v>0</v>
      </c>
      <c r="BY2" s="70">
        <v>0</v>
      </c>
      <c r="CA2" s="70"/>
      <c r="CB2" s="70"/>
    </row>
    <row r="3" spans="1:80" s="16" customFormat="1" ht="14.45">
      <c r="A3" s="377">
        <v>2024</v>
      </c>
      <c r="B3" s="16">
        <v>8</v>
      </c>
      <c r="C3" s="28">
        <v>45292</v>
      </c>
      <c r="D3" s="28">
        <v>45535</v>
      </c>
      <c r="E3" s="16" t="s">
        <v>443</v>
      </c>
      <c r="F3" s="28">
        <v>45506</v>
      </c>
      <c r="G3" s="16" t="s">
        <v>444</v>
      </c>
      <c r="H3" s="16" t="s">
        <v>445</v>
      </c>
      <c r="I3" s="377" t="s">
        <v>446</v>
      </c>
      <c r="J3" s="28">
        <v>45506</v>
      </c>
      <c r="K3" s="28">
        <v>45657</v>
      </c>
      <c r="L3" s="16" t="s">
        <v>447</v>
      </c>
      <c r="M3" s="16" t="s">
        <v>448</v>
      </c>
      <c r="N3" s="16" t="s">
        <v>449</v>
      </c>
      <c r="O3" s="16">
        <v>1426</v>
      </c>
      <c r="P3" s="16">
        <v>1384</v>
      </c>
      <c r="Q3" s="377" t="s">
        <v>450</v>
      </c>
      <c r="R3" s="377" t="s">
        <v>451</v>
      </c>
      <c r="S3" s="377" t="s">
        <v>377</v>
      </c>
      <c r="T3" s="16" t="s">
        <v>452</v>
      </c>
      <c r="U3" s="16" t="s">
        <v>453</v>
      </c>
      <c r="V3" s="16" t="s">
        <v>454</v>
      </c>
      <c r="W3" s="16" t="s">
        <v>455</v>
      </c>
      <c r="X3" s="377" t="s">
        <v>456</v>
      </c>
      <c r="Y3" s="16" t="s">
        <v>457</v>
      </c>
      <c r="Z3" s="16" t="s">
        <v>377</v>
      </c>
      <c r="AA3" s="16" t="s">
        <v>458</v>
      </c>
      <c r="AB3" s="16" t="s">
        <v>459</v>
      </c>
      <c r="AC3" s="16" t="s">
        <v>460</v>
      </c>
      <c r="AD3" s="16" t="s">
        <v>461</v>
      </c>
      <c r="AE3" s="16" t="s">
        <v>462</v>
      </c>
      <c r="AF3" s="377" t="s">
        <v>463</v>
      </c>
      <c r="AG3" s="378">
        <v>13530000</v>
      </c>
      <c r="AH3" s="33">
        <v>360800</v>
      </c>
      <c r="AI3" s="378">
        <v>0</v>
      </c>
      <c r="AJ3" s="378">
        <f t="shared" ref="AJ3:AJ37" si="2">AG3-AH3+AI3</f>
        <v>13169200</v>
      </c>
      <c r="AK3" s="34">
        <v>7757200</v>
      </c>
      <c r="AL3" s="378">
        <f t="shared" ref="AL3:AL38" si="3">AJ3-AK3</f>
        <v>5412000</v>
      </c>
      <c r="AM3" s="16">
        <v>5000718990</v>
      </c>
      <c r="AN3" s="16">
        <v>2</v>
      </c>
      <c r="AO3" s="16">
        <v>590297</v>
      </c>
      <c r="AP3" s="16">
        <v>2</v>
      </c>
      <c r="AQ3" s="28">
        <v>45506</v>
      </c>
      <c r="AR3" s="379">
        <v>8232</v>
      </c>
      <c r="AS3" s="380">
        <v>2706000</v>
      </c>
      <c r="AT3" s="381">
        <v>45509</v>
      </c>
      <c r="AU3" s="381">
        <v>45657</v>
      </c>
      <c r="AV3" s="382" t="s">
        <v>255</v>
      </c>
      <c r="AW3" s="383">
        <v>2345200</v>
      </c>
      <c r="AX3" s="45">
        <v>2345200</v>
      </c>
      <c r="AY3" s="383">
        <v>2706000</v>
      </c>
      <c r="AZ3" s="383">
        <v>2706000</v>
      </c>
      <c r="BA3" s="383">
        <v>2706000</v>
      </c>
      <c r="BB3" s="383"/>
      <c r="BC3" s="383">
        <v>2706000</v>
      </c>
      <c r="BD3" s="383"/>
      <c r="BE3" s="383">
        <v>2706000</v>
      </c>
      <c r="BF3" s="384"/>
      <c r="BG3" s="60">
        <f t="shared" si="0"/>
        <v>360800</v>
      </c>
      <c r="BH3" s="385">
        <f t="shared" si="1"/>
        <v>0</v>
      </c>
      <c r="BI3" s="386">
        <v>360800</v>
      </c>
      <c r="BJ3" s="377">
        <v>0</v>
      </c>
      <c r="BK3" s="377">
        <v>0</v>
      </c>
      <c r="BL3" s="377">
        <v>0</v>
      </c>
      <c r="BM3" s="377"/>
      <c r="BN3" s="377"/>
      <c r="BR3" s="70">
        <v>0</v>
      </c>
      <c r="BS3" s="70">
        <f>+AX3</f>
        <v>2345200</v>
      </c>
      <c r="BT3" s="70">
        <v>0</v>
      </c>
      <c r="BU3" s="70"/>
      <c r="BV3" s="70"/>
      <c r="BW3" s="70">
        <v>0</v>
      </c>
      <c r="BX3" s="70">
        <f>AK3-BS3</f>
        <v>5412000</v>
      </c>
      <c r="BY3" s="70">
        <v>0</v>
      </c>
      <c r="CA3" s="70"/>
      <c r="CB3" s="70"/>
    </row>
    <row r="4" spans="1:80" s="16" customFormat="1" ht="14.45">
      <c r="A4" s="377">
        <v>2024</v>
      </c>
      <c r="B4" s="16">
        <v>8</v>
      </c>
      <c r="C4" s="28">
        <v>45292</v>
      </c>
      <c r="D4" s="28">
        <v>45535</v>
      </c>
      <c r="E4" s="16" t="s">
        <v>443</v>
      </c>
      <c r="F4" s="28">
        <v>45506</v>
      </c>
      <c r="G4" s="16" t="s">
        <v>444</v>
      </c>
      <c r="H4" s="16" t="s">
        <v>445</v>
      </c>
      <c r="I4" s="377" t="s">
        <v>446</v>
      </c>
      <c r="J4" s="28">
        <v>45506</v>
      </c>
      <c r="K4" s="28">
        <v>45657</v>
      </c>
      <c r="L4" s="16" t="s">
        <v>447</v>
      </c>
      <c r="M4" s="16" t="s">
        <v>448</v>
      </c>
      <c r="N4" s="16" t="s">
        <v>449</v>
      </c>
      <c r="O4" s="16">
        <v>1426</v>
      </c>
      <c r="P4" s="16">
        <v>1384</v>
      </c>
      <c r="Q4" s="377" t="s">
        <v>450</v>
      </c>
      <c r="R4" s="377" t="s">
        <v>451</v>
      </c>
      <c r="S4" s="377" t="s">
        <v>377</v>
      </c>
      <c r="T4" s="16" t="s">
        <v>452</v>
      </c>
      <c r="U4" s="16" t="s">
        <v>453</v>
      </c>
      <c r="V4" s="16" t="s">
        <v>454</v>
      </c>
      <c r="W4" s="16" t="s">
        <v>455</v>
      </c>
      <c r="X4" s="377" t="s">
        <v>456</v>
      </c>
      <c r="Y4" s="16" t="s">
        <v>457</v>
      </c>
      <c r="Z4" s="16" t="s">
        <v>377</v>
      </c>
      <c r="AA4" s="16" t="s">
        <v>458</v>
      </c>
      <c r="AB4" s="16" t="s">
        <v>459</v>
      </c>
      <c r="AC4" s="16" t="s">
        <v>460</v>
      </c>
      <c r="AD4" s="16" t="s">
        <v>461</v>
      </c>
      <c r="AE4" s="16" t="s">
        <v>462</v>
      </c>
      <c r="AF4" s="377" t="s">
        <v>463</v>
      </c>
      <c r="AG4" s="378">
        <v>13940000</v>
      </c>
      <c r="AH4" s="33">
        <v>371733</v>
      </c>
      <c r="AI4" s="378">
        <v>0</v>
      </c>
      <c r="AJ4" s="378">
        <f t="shared" si="2"/>
        <v>13568267</v>
      </c>
      <c r="AK4" s="34">
        <v>7992267</v>
      </c>
      <c r="AL4" s="378">
        <f t="shared" si="3"/>
        <v>5576000</v>
      </c>
      <c r="AM4" s="16">
        <v>5000718990</v>
      </c>
      <c r="AN4" s="16">
        <v>3</v>
      </c>
      <c r="AO4" s="16">
        <v>590297</v>
      </c>
      <c r="AP4" s="16">
        <v>3</v>
      </c>
      <c r="AQ4" s="28">
        <v>45506</v>
      </c>
      <c r="AR4" s="379">
        <v>8232</v>
      </c>
      <c r="AS4" s="380">
        <v>2788000</v>
      </c>
      <c r="AT4" s="381">
        <v>45509</v>
      </c>
      <c r="AU4" s="381">
        <v>45657</v>
      </c>
      <c r="AV4" s="382" t="s">
        <v>255</v>
      </c>
      <c r="AW4" s="383">
        <v>2416266.6666666698</v>
      </c>
      <c r="AX4" s="45">
        <v>2416267</v>
      </c>
      <c r="AY4" s="383">
        <v>2788000</v>
      </c>
      <c r="AZ4" s="383">
        <v>2788000</v>
      </c>
      <c r="BA4" s="383">
        <v>2788000</v>
      </c>
      <c r="BB4" s="383"/>
      <c r="BC4" s="383">
        <v>2788000</v>
      </c>
      <c r="BD4" s="383"/>
      <c r="BE4" s="383">
        <v>2788000</v>
      </c>
      <c r="BF4" s="384"/>
      <c r="BG4" s="60">
        <f t="shared" si="0"/>
        <v>371733</v>
      </c>
      <c r="BH4" s="385">
        <f t="shared" si="1"/>
        <v>0.33333333395421499</v>
      </c>
      <c r="BI4" s="386">
        <v>371733.33333333302</v>
      </c>
      <c r="BJ4" s="377">
        <v>0</v>
      </c>
      <c r="BK4" s="377">
        <v>0</v>
      </c>
      <c r="BL4" s="377">
        <v>0</v>
      </c>
      <c r="BM4" s="377"/>
      <c r="BN4" s="377"/>
      <c r="BR4" s="70">
        <v>0</v>
      </c>
      <c r="BS4" s="70">
        <v>0</v>
      </c>
      <c r="BT4" s="70">
        <f>+AX4</f>
        <v>2416267</v>
      </c>
      <c r="BU4" s="70"/>
      <c r="BV4" s="70"/>
      <c r="BW4" s="70">
        <v>0</v>
      </c>
      <c r="BX4" s="70">
        <v>0</v>
      </c>
      <c r="BY4" s="70">
        <f>AK4-BT4</f>
        <v>5576000</v>
      </c>
      <c r="BZ4" s="70">
        <f>+BW2+BX3+BY4</f>
        <v>16400000</v>
      </c>
      <c r="CA4" s="70"/>
      <c r="CB4" s="70"/>
    </row>
    <row r="5" spans="1:80" s="17" customFormat="1" ht="14.45">
      <c r="A5" s="388">
        <v>2024</v>
      </c>
      <c r="B5" s="17">
        <v>8</v>
      </c>
      <c r="C5" s="29">
        <v>45292</v>
      </c>
      <c r="D5" s="29">
        <v>45535</v>
      </c>
      <c r="E5" s="17" t="s">
        <v>443</v>
      </c>
      <c r="F5" s="29">
        <v>45509</v>
      </c>
      <c r="G5" s="17" t="s">
        <v>444</v>
      </c>
      <c r="H5" s="17" t="s">
        <v>445</v>
      </c>
      <c r="I5" s="388" t="s">
        <v>464</v>
      </c>
      <c r="J5" s="29">
        <v>45509</v>
      </c>
      <c r="K5" s="29">
        <v>45657</v>
      </c>
      <c r="L5" s="17" t="s">
        <v>465</v>
      </c>
      <c r="M5" s="17" t="s">
        <v>448</v>
      </c>
      <c r="N5" s="17" t="s">
        <v>449</v>
      </c>
      <c r="O5" s="17">
        <v>1423</v>
      </c>
      <c r="P5" s="17">
        <v>1525</v>
      </c>
      <c r="Q5" s="388" t="s">
        <v>466</v>
      </c>
      <c r="R5" s="388" t="s">
        <v>451</v>
      </c>
      <c r="S5" s="388" t="s">
        <v>377</v>
      </c>
      <c r="T5" s="17" t="s">
        <v>452</v>
      </c>
      <c r="U5" s="17" t="s">
        <v>453</v>
      </c>
      <c r="V5" s="17" t="s">
        <v>467</v>
      </c>
      <c r="W5" s="17" t="s">
        <v>455</v>
      </c>
      <c r="X5" s="388" t="s">
        <v>456</v>
      </c>
      <c r="Y5" s="17" t="s">
        <v>457</v>
      </c>
      <c r="Z5" s="17" t="s">
        <v>377</v>
      </c>
      <c r="AA5" s="17" t="s">
        <v>458</v>
      </c>
      <c r="AB5" s="17" t="s">
        <v>459</v>
      </c>
      <c r="AC5" s="17" t="s">
        <v>468</v>
      </c>
      <c r="AD5" s="17" t="s">
        <v>461</v>
      </c>
      <c r="AE5" s="17" t="s">
        <v>469</v>
      </c>
      <c r="AF5" s="388" t="s">
        <v>470</v>
      </c>
      <c r="AG5" s="389">
        <v>22680000</v>
      </c>
      <c r="AH5" s="33">
        <v>0</v>
      </c>
      <c r="AI5" s="389">
        <v>0</v>
      </c>
      <c r="AJ5" s="378">
        <f t="shared" si="2"/>
        <v>22680000</v>
      </c>
      <c r="AK5" s="35">
        <v>15498000</v>
      </c>
      <c r="AL5" s="378">
        <f t="shared" si="3"/>
        <v>7182000</v>
      </c>
      <c r="AM5" s="17">
        <v>5000720491</v>
      </c>
      <c r="AN5" s="17">
        <v>1</v>
      </c>
      <c r="AO5" s="17">
        <v>590292</v>
      </c>
      <c r="AP5" s="17">
        <v>1</v>
      </c>
      <c r="AQ5" s="29">
        <v>45509</v>
      </c>
      <c r="AR5" s="390">
        <v>8232</v>
      </c>
      <c r="AS5" s="391">
        <v>5670000</v>
      </c>
      <c r="AT5" s="392">
        <v>45513</v>
      </c>
      <c r="AU5" s="392">
        <v>45634</v>
      </c>
      <c r="AV5" s="393" t="s">
        <v>255</v>
      </c>
      <c r="AW5" s="394">
        <v>4158000</v>
      </c>
      <c r="AX5" s="46">
        <v>4158000</v>
      </c>
      <c r="AY5" s="394">
        <v>5670000</v>
      </c>
      <c r="AZ5" s="394">
        <v>5670000</v>
      </c>
      <c r="BA5" s="394">
        <v>5670000</v>
      </c>
      <c r="BB5" s="394"/>
      <c r="BC5" s="394">
        <v>5670000</v>
      </c>
      <c r="BD5" s="394"/>
      <c r="BE5" s="394">
        <v>1512000</v>
      </c>
      <c r="BF5" s="395"/>
      <c r="BG5" s="60">
        <f t="shared" si="0"/>
        <v>0</v>
      </c>
      <c r="BH5" s="385">
        <f t="shared" si="1"/>
        <v>0</v>
      </c>
      <c r="BI5" s="396">
        <v>0</v>
      </c>
      <c r="BJ5" s="388">
        <v>0</v>
      </c>
      <c r="BK5" s="388">
        <v>0</v>
      </c>
      <c r="BL5" s="397">
        <v>22680000</v>
      </c>
      <c r="BM5" s="388"/>
      <c r="BN5" s="388"/>
      <c r="BR5" s="71">
        <v>0</v>
      </c>
      <c r="BS5" s="71">
        <v>0</v>
      </c>
      <c r="BT5" s="71">
        <f>+AX5</f>
        <v>4158000</v>
      </c>
      <c r="BU5" s="71"/>
      <c r="BV5" s="71"/>
      <c r="BW5" s="71">
        <v>0</v>
      </c>
      <c r="BX5" s="71">
        <v>0</v>
      </c>
      <c r="BY5" s="70">
        <f>AK5-BT5</f>
        <v>11340000</v>
      </c>
      <c r="CA5" s="71"/>
      <c r="CB5" s="71"/>
    </row>
    <row r="6" spans="1:80" s="18" customFormat="1" ht="14.45">
      <c r="A6" s="398">
        <v>2024</v>
      </c>
      <c r="B6" s="18">
        <v>8</v>
      </c>
      <c r="C6" s="30">
        <v>45292</v>
      </c>
      <c r="D6" s="30">
        <v>45535</v>
      </c>
      <c r="E6" s="18" t="s">
        <v>443</v>
      </c>
      <c r="F6" s="30">
        <v>45509</v>
      </c>
      <c r="G6" s="18" t="s">
        <v>444</v>
      </c>
      <c r="H6" s="18" t="s">
        <v>445</v>
      </c>
      <c r="I6" s="398" t="s">
        <v>471</v>
      </c>
      <c r="J6" s="30">
        <v>45509</v>
      </c>
      <c r="K6" s="30">
        <v>45657</v>
      </c>
      <c r="L6" s="18" t="s">
        <v>465</v>
      </c>
      <c r="M6" s="18" t="s">
        <v>448</v>
      </c>
      <c r="N6" s="18" t="s">
        <v>449</v>
      </c>
      <c r="O6" s="18">
        <v>1428</v>
      </c>
      <c r="P6" s="18">
        <v>1528</v>
      </c>
      <c r="Q6" s="398" t="s">
        <v>472</v>
      </c>
      <c r="R6" s="398" t="s">
        <v>451</v>
      </c>
      <c r="S6" s="398" t="s">
        <v>377</v>
      </c>
      <c r="T6" s="18" t="s">
        <v>452</v>
      </c>
      <c r="U6" s="18" t="s">
        <v>453</v>
      </c>
      <c r="V6" s="18" t="s">
        <v>454</v>
      </c>
      <c r="W6" s="18" t="s">
        <v>455</v>
      </c>
      <c r="X6" s="398" t="s">
        <v>456</v>
      </c>
      <c r="Y6" s="18" t="s">
        <v>457</v>
      </c>
      <c r="Z6" s="18" t="s">
        <v>377</v>
      </c>
      <c r="AA6" s="18" t="s">
        <v>458</v>
      </c>
      <c r="AB6" s="18" t="s">
        <v>459</v>
      </c>
      <c r="AC6" s="18" t="s">
        <v>473</v>
      </c>
      <c r="AD6" s="18" t="s">
        <v>461</v>
      </c>
      <c r="AE6" s="18" t="s">
        <v>474</v>
      </c>
      <c r="AF6" s="398" t="s">
        <v>475</v>
      </c>
      <c r="AG6" s="399">
        <v>13365000</v>
      </c>
      <c r="AH6" s="33">
        <v>0</v>
      </c>
      <c r="AI6" s="399">
        <v>0</v>
      </c>
      <c r="AJ6" s="378">
        <f t="shared" si="2"/>
        <v>13365000</v>
      </c>
      <c r="AK6" s="34">
        <v>8217000</v>
      </c>
      <c r="AL6" s="378">
        <f t="shared" si="3"/>
        <v>5148000</v>
      </c>
      <c r="AM6" s="18">
        <v>5000720525</v>
      </c>
      <c r="AN6" s="18">
        <v>1</v>
      </c>
      <c r="AO6" s="18">
        <v>590299</v>
      </c>
      <c r="AP6" s="18">
        <v>1</v>
      </c>
      <c r="AQ6" s="30">
        <v>45509</v>
      </c>
      <c r="AR6" s="400">
        <v>8232</v>
      </c>
      <c r="AS6" s="401">
        <v>2970000</v>
      </c>
      <c r="AT6" s="402">
        <v>45512</v>
      </c>
      <c r="AU6" s="402">
        <v>45648</v>
      </c>
      <c r="AV6" s="403" t="s">
        <v>255</v>
      </c>
      <c r="AW6" s="404">
        <f>(9000000*33%)/30*23</f>
        <v>2277000</v>
      </c>
      <c r="AX6" s="45">
        <v>2277000</v>
      </c>
      <c r="AY6" s="404">
        <v>2970000</v>
      </c>
      <c r="AZ6" s="404">
        <v>2970000</v>
      </c>
      <c r="BA6" s="404">
        <v>2970000</v>
      </c>
      <c r="BB6" s="404"/>
      <c r="BC6" s="404">
        <v>2970000</v>
      </c>
      <c r="BD6" s="404"/>
      <c r="BE6" s="404">
        <f>(9000000*33%)/30*22</f>
        <v>2178000</v>
      </c>
      <c r="BF6" s="405"/>
      <c r="BG6" s="60">
        <f t="shared" si="0"/>
        <v>0</v>
      </c>
      <c r="BH6" s="385">
        <f t="shared" si="1"/>
        <v>0</v>
      </c>
      <c r="BI6" s="406">
        <v>0</v>
      </c>
      <c r="BJ6" s="407">
        <v>13365000</v>
      </c>
      <c r="BK6" s="407">
        <v>13365000</v>
      </c>
      <c r="BL6" s="407">
        <v>13770000</v>
      </c>
      <c r="BM6" s="398"/>
      <c r="BN6" s="398"/>
      <c r="BR6" s="70">
        <f>+AX6</f>
        <v>2277000</v>
      </c>
      <c r="BS6" s="70">
        <v>0</v>
      </c>
      <c r="BT6" s="70">
        <v>0</v>
      </c>
      <c r="BU6" s="70"/>
      <c r="BV6" s="70"/>
      <c r="BW6" s="70">
        <f>AK6-BR6</f>
        <v>5940000</v>
      </c>
      <c r="BX6" s="70">
        <v>0</v>
      </c>
      <c r="BY6" s="70">
        <v>0</v>
      </c>
      <c r="CA6" s="70"/>
      <c r="CB6" s="70"/>
    </row>
    <row r="7" spans="1:80" s="18" customFormat="1" ht="14.45">
      <c r="A7" s="398">
        <v>2024</v>
      </c>
      <c r="B7" s="18">
        <v>8</v>
      </c>
      <c r="C7" s="30">
        <v>45292</v>
      </c>
      <c r="D7" s="30">
        <v>45535</v>
      </c>
      <c r="E7" s="18" t="s">
        <v>443</v>
      </c>
      <c r="F7" s="30">
        <v>45509</v>
      </c>
      <c r="G7" s="18" t="s">
        <v>444</v>
      </c>
      <c r="H7" s="18" t="s">
        <v>445</v>
      </c>
      <c r="I7" s="398" t="s">
        <v>471</v>
      </c>
      <c r="J7" s="30">
        <v>45509</v>
      </c>
      <c r="K7" s="30">
        <v>45657</v>
      </c>
      <c r="L7" s="18" t="s">
        <v>465</v>
      </c>
      <c r="M7" s="18" t="s">
        <v>448</v>
      </c>
      <c r="N7" s="18" t="s">
        <v>449</v>
      </c>
      <c r="O7" s="18">
        <v>1428</v>
      </c>
      <c r="P7" s="18">
        <v>1528</v>
      </c>
      <c r="Q7" s="398" t="s">
        <v>472</v>
      </c>
      <c r="R7" s="398" t="s">
        <v>451</v>
      </c>
      <c r="S7" s="398" t="s">
        <v>377</v>
      </c>
      <c r="T7" s="18" t="s">
        <v>452</v>
      </c>
      <c r="U7" s="18" t="s">
        <v>453</v>
      </c>
      <c r="V7" s="18" t="s">
        <v>454</v>
      </c>
      <c r="W7" s="18" t="s">
        <v>455</v>
      </c>
      <c r="X7" s="398" t="s">
        <v>456</v>
      </c>
      <c r="Y7" s="18" t="s">
        <v>457</v>
      </c>
      <c r="Z7" s="18" t="s">
        <v>377</v>
      </c>
      <c r="AA7" s="18" t="s">
        <v>458</v>
      </c>
      <c r="AB7" s="18" t="s">
        <v>459</v>
      </c>
      <c r="AC7" s="18" t="s">
        <v>473</v>
      </c>
      <c r="AD7" s="18" t="s">
        <v>461</v>
      </c>
      <c r="AE7" s="18" t="s">
        <v>474</v>
      </c>
      <c r="AF7" s="398" t="s">
        <v>475</v>
      </c>
      <c r="AG7" s="399">
        <v>13365000</v>
      </c>
      <c r="AH7" s="33">
        <v>0</v>
      </c>
      <c r="AI7" s="399">
        <v>0</v>
      </c>
      <c r="AJ7" s="378">
        <f t="shared" si="2"/>
        <v>13365000</v>
      </c>
      <c r="AK7" s="34">
        <v>8217000</v>
      </c>
      <c r="AL7" s="378">
        <f t="shared" si="3"/>
        <v>5148000</v>
      </c>
      <c r="AM7" s="18">
        <v>5000720525</v>
      </c>
      <c r="AN7" s="18">
        <v>2</v>
      </c>
      <c r="AO7" s="18">
        <v>590299</v>
      </c>
      <c r="AP7" s="18">
        <v>2</v>
      </c>
      <c r="AQ7" s="30">
        <v>45509</v>
      </c>
      <c r="AR7" s="400">
        <v>8232</v>
      </c>
      <c r="AS7" s="401">
        <v>2970000</v>
      </c>
      <c r="AT7" s="402">
        <v>45512</v>
      </c>
      <c r="AU7" s="402">
        <v>45648</v>
      </c>
      <c r="AV7" s="403" t="s">
        <v>255</v>
      </c>
      <c r="AW7" s="404">
        <f>(9000000*33%)/30*23</f>
        <v>2277000</v>
      </c>
      <c r="AX7" s="45">
        <v>2277000</v>
      </c>
      <c r="AY7" s="404">
        <v>2970000</v>
      </c>
      <c r="AZ7" s="404">
        <v>2970000</v>
      </c>
      <c r="BA7" s="404">
        <v>2970000</v>
      </c>
      <c r="BB7" s="404"/>
      <c r="BC7" s="404">
        <v>2970000</v>
      </c>
      <c r="BD7" s="404"/>
      <c r="BE7" s="404">
        <f>(9000000*33%)/30*22</f>
        <v>2178000</v>
      </c>
      <c r="BF7" s="405"/>
      <c r="BG7" s="60">
        <f t="shared" si="0"/>
        <v>0</v>
      </c>
      <c r="BH7" s="385">
        <f t="shared" si="1"/>
        <v>0</v>
      </c>
      <c r="BI7" s="406">
        <v>0</v>
      </c>
      <c r="BJ7" s="398">
        <v>0</v>
      </c>
      <c r="BK7" s="398">
        <v>0</v>
      </c>
      <c r="BL7" s="398">
        <v>0</v>
      </c>
      <c r="BM7" s="398"/>
      <c r="BN7" s="398"/>
      <c r="BR7" s="70">
        <v>0</v>
      </c>
      <c r="BS7" s="70">
        <f>+AX7</f>
        <v>2277000</v>
      </c>
      <c r="BT7" s="70">
        <v>0</v>
      </c>
      <c r="BU7" s="70"/>
      <c r="BV7" s="70"/>
      <c r="BW7" s="70">
        <v>0</v>
      </c>
      <c r="BX7" s="70">
        <f>AK7-BS7</f>
        <v>5940000</v>
      </c>
      <c r="BY7" s="70">
        <v>0</v>
      </c>
      <c r="CA7" s="70"/>
      <c r="CB7" s="70"/>
    </row>
    <row r="8" spans="1:80" s="18" customFormat="1" ht="14.45">
      <c r="A8" s="398">
        <v>2024</v>
      </c>
      <c r="B8" s="18">
        <v>8</v>
      </c>
      <c r="C8" s="30">
        <v>45292</v>
      </c>
      <c r="D8" s="30">
        <v>45535</v>
      </c>
      <c r="E8" s="18" t="s">
        <v>443</v>
      </c>
      <c r="F8" s="30">
        <v>45509</v>
      </c>
      <c r="G8" s="18" t="s">
        <v>444</v>
      </c>
      <c r="H8" s="18" t="s">
        <v>445</v>
      </c>
      <c r="I8" s="398" t="s">
        <v>471</v>
      </c>
      <c r="J8" s="30">
        <v>45509</v>
      </c>
      <c r="K8" s="30">
        <v>45657</v>
      </c>
      <c r="L8" s="18" t="s">
        <v>465</v>
      </c>
      <c r="M8" s="18" t="s">
        <v>448</v>
      </c>
      <c r="N8" s="18" t="s">
        <v>449</v>
      </c>
      <c r="O8" s="18">
        <v>1428</v>
      </c>
      <c r="P8" s="18">
        <v>1528</v>
      </c>
      <c r="Q8" s="398" t="s">
        <v>472</v>
      </c>
      <c r="R8" s="398" t="s">
        <v>451</v>
      </c>
      <c r="S8" s="398" t="s">
        <v>377</v>
      </c>
      <c r="T8" s="18" t="s">
        <v>452</v>
      </c>
      <c r="U8" s="18" t="s">
        <v>453</v>
      </c>
      <c r="V8" s="18" t="s">
        <v>454</v>
      </c>
      <c r="W8" s="18" t="s">
        <v>455</v>
      </c>
      <c r="X8" s="398" t="s">
        <v>456</v>
      </c>
      <c r="Y8" s="18" t="s">
        <v>457</v>
      </c>
      <c r="Z8" s="18" t="s">
        <v>377</v>
      </c>
      <c r="AA8" s="18" t="s">
        <v>458</v>
      </c>
      <c r="AB8" s="18" t="s">
        <v>459</v>
      </c>
      <c r="AC8" s="18" t="s">
        <v>473</v>
      </c>
      <c r="AD8" s="18" t="s">
        <v>461</v>
      </c>
      <c r="AE8" s="18" t="s">
        <v>474</v>
      </c>
      <c r="AF8" s="398" t="s">
        <v>475</v>
      </c>
      <c r="AG8" s="399">
        <v>13770000</v>
      </c>
      <c r="AH8" s="33">
        <v>0</v>
      </c>
      <c r="AI8" s="399">
        <v>0</v>
      </c>
      <c r="AJ8" s="378">
        <f t="shared" si="2"/>
        <v>13770000</v>
      </c>
      <c r="AK8" s="34">
        <v>8466000</v>
      </c>
      <c r="AL8" s="378">
        <f t="shared" si="3"/>
        <v>5304000</v>
      </c>
      <c r="AM8" s="18">
        <v>5000720525</v>
      </c>
      <c r="AN8" s="18">
        <v>3</v>
      </c>
      <c r="AO8" s="18">
        <v>590299</v>
      </c>
      <c r="AP8" s="18">
        <v>3</v>
      </c>
      <c r="AQ8" s="30">
        <v>45509</v>
      </c>
      <c r="AR8" s="400">
        <v>8232</v>
      </c>
      <c r="AS8" s="401">
        <v>3060000</v>
      </c>
      <c r="AT8" s="402">
        <v>45512</v>
      </c>
      <c r="AU8" s="402">
        <v>45648</v>
      </c>
      <c r="AV8" s="403" t="s">
        <v>255</v>
      </c>
      <c r="AW8" s="404">
        <f>(9000000*34%)/30*23</f>
        <v>2346000</v>
      </c>
      <c r="AX8" s="45">
        <v>2346000</v>
      </c>
      <c r="AY8" s="404">
        <v>3060000</v>
      </c>
      <c r="AZ8" s="404">
        <v>3060000</v>
      </c>
      <c r="BA8" s="404">
        <v>3060000</v>
      </c>
      <c r="BB8" s="404"/>
      <c r="BC8" s="404">
        <v>3060000</v>
      </c>
      <c r="BD8" s="404"/>
      <c r="BE8" s="404">
        <f>(9000000*34%)/30*22</f>
        <v>2244000</v>
      </c>
      <c r="BF8" s="405"/>
      <c r="BG8" s="60">
        <f t="shared" si="0"/>
        <v>0</v>
      </c>
      <c r="BH8" s="385">
        <f t="shared" si="1"/>
        <v>0</v>
      </c>
      <c r="BI8" s="406">
        <v>0</v>
      </c>
      <c r="BJ8" s="398">
        <v>0</v>
      </c>
      <c r="BK8" s="398">
        <v>0</v>
      </c>
      <c r="BL8" s="398">
        <v>0</v>
      </c>
      <c r="BM8" s="398"/>
      <c r="BN8" s="398"/>
      <c r="BR8" s="70">
        <v>0</v>
      </c>
      <c r="BS8" s="70">
        <v>0</v>
      </c>
      <c r="BT8" s="70">
        <f>+AX8</f>
        <v>2346000</v>
      </c>
      <c r="BU8" s="70"/>
      <c r="BV8" s="70"/>
      <c r="BW8" s="70">
        <v>0</v>
      </c>
      <c r="BX8" s="70">
        <v>0</v>
      </c>
      <c r="BY8" s="70">
        <f>AK8-BT8</f>
        <v>6120000</v>
      </c>
      <c r="BZ8" s="70">
        <f>+BW6+BX7+BY8</f>
        <v>18000000</v>
      </c>
      <c r="CA8" s="70"/>
      <c r="CB8" s="70"/>
    </row>
    <row r="9" spans="1:80" s="17" customFormat="1" ht="14.45">
      <c r="A9" s="388">
        <v>2024</v>
      </c>
      <c r="B9" s="17">
        <v>8</v>
      </c>
      <c r="C9" s="29">
        <v>45292</v>
      </c>
      <c r="D9" s="29">
        <v>45535</v>
      </c>
      <c r="E9" s="17" t="s">
        <v>443</v>
      </c>
      <c r="F9" s="29">
        <v>45512</v>
      </c>
      <c r="G9" s="17" t="s">
        <v>444</v>
      </c>
      <c r="H9" s="17" t="s">
        <v>445</v>
      </c>
      <c r="I9" s="388" t="s">
        <v>476</v>
      </c>
      <c r="J9" s="29">
        <v>45512</v>
      </c>
      <c r="K9" s="29">
        <v>45657</v>
      </c>
      <c r="L9" s="17" t="s">
        <v>444</v>
      </c>
      <c r="M9" s="17" t="s">
        <v>448</v>
      </c>
      <c r="N9" s="17" t="s">
        <v>449</v>
      </c>
      <c r="O9" s="17">
        <v>1431</v>
      </c>
      <c r="P9" s="17">
        <v>1565</v>
      </c>
      <c r="Q9" s="388" t="s">
        <v>477</v>
      </c>
      <c r="R9" s="388" t="s">
        <v>451</v>
      </c>
      <c r="S9" s="388" t="s">
        <v>377</v>
      </c>
      <c r="T9" s="17" t="s">
        <v>452</v>
      </c>
      <c r="U9" s="17" t="s">
        <v>453</v>
      </c>
      <c r="V9" s="17" t="s">
        <v>454</v>
      </c>
      <c r="W9" s="17" t="s">
        <v>455</v>
      </c>
      <c r="X9" s="388" t="s">
        <v>456</v>
      </c>
      <c r="Y9" s="17" t="s">
        <v>457</v>
      </c>
      <c r="Z9" s="17" t="s">
        <v>377</v>
      </c>
      <c r="AA9" s="17" t="s">
        <v>458</v>
      </c>
      <c r="AB9" s="17" t="s">
        <v>459</v>
      </c>
      <c r="AC9" s="17" t="s">
        <v>478</v>
      </c>
      <c r="AD9" s="17" t="s">
        <v>461</v>
      </c>
      <c r="AE9" s="17" t="s">
        <v>479</v>
      </c>
      <c r="AF9" s="388" t="s">
        <v>480</v>
      </c>
      <c r="AG9" s="389">
        <v>7484400</v>
      </c>
      <c r="AH9" s="33">
        <v>0</v>
      </c>
      <c r="AI9" s="389">
        <v>0</v>
      </c>
      <c r="AJ9" s="378">
        <f t="shared" si="2"/>
        <v>7484400</v>
      </c>
      <c r="AK9" s="35">
        <v>5114340</v>
      </c>
      <c r="AL9" s="378">
        <f t="shared" si="3"/>
        <v>2370060</v>
      </c>
      <c r="AM9" s="17">
        <v>5000721163</v>
      </c>
      <c r="AN9" s="17">
        <v>1</v>
      </c>
      <c r="AO9" s="17">
        <v>590303</v>
      </c>
      <c r="AP9" s="17">
        <v>1</v>
      </c>
      <c r="AQ9" s="29">
        <v>45512</v>
      </c>
      <c r="AR9" s="390">
        <v>8232</v>
      </c>
      <c r="AS9" s="391">
        <v>1871100</v>
      </c>
      <c r="AT9" s="392">
        <v>45513</v>
      </c>
      <c r="AU9" s="392">
        <v>45634</v>
      </c>
      <c r="AV9" s="393" t="s">
        <v>255</v>
      </c>
      <c r="AW9" s="394">
        <v>1372140</v>
      </c>
      <c r="AX9" s="46">
        <v>1372140</v>
      </c>
      <c r="AY9" s="394">
        <v>1871100</v>
      </c>
      <c r="AZ9" s="394">
        <v>1871100</v>
      </c>
      <c r="BA9" s="394">
        <v>1871100</v>
      </c>
      <c r="BB9" s="394"/>
      <c r="BC9" s="394">
        <v>1871100</v>
      </c>
      <c r="BD9" s="394"/>
      <c r="BE9" s="394">
        <v>498960</v>
      </c>
      <c r="BF9" s="395"/>
      <c r="BG9" s="60">
        <f t="shared" si="0"/>
        <v>0</v>
      </c>
      <c r="BH9" s="385">
        <f t="shared" si="1"/>
        <v>0</v>
      </c>
      <c r="BI9" s="396">
        <v>0</v>
      </c>
      <c r="BJ9" s="397">
        <v>7484400</v>
      </c>
      <c r="BK9" s="397">
        <v>7484400</v>
      </c>
      <c r="BL9" s="397">
        <v>7711200</v>
      </c>
      <c r="BM9" s="388"/>
      <c r="BN9" s="388"/>
      <c r="BR9" s="71">
        <f>+AX9</f>
        <v>1372140</v>
      </c>
      <c r="BS9" s="71">
        <v>0</v>
      </c>
      <c r="BT9" s="71">
        <v>0</v>
      </c>
      <c r="BU9" s="71"/>
      <c r="BV9" s="71"/>
      <c r="BW9" s="70">
        <f>AK9-BR9</f>
        <v>3742200</v>
      </c>
      <c r="BX9" s="70">
        <v>0</v>
      </c>
      <c r="BY9" s="70">
        <v>0</v>
      </c>
      <c r="BZ9" s="18"/>
      <c r="CA9" s="71"/>
      <c r="CB9" s="71"/>
    </row>
    <row r="10" spans="1:80" s="17" customFormat="1" ht="14.45">
      <c r="A10" s="388">
        <v>2024</v>
      </c>
      <c r="B10" s="17">
        <v>8</v>
      </c>
      <c r="C10" s="29">
        <v>45292</v>
      </c>
      <c r="D10" s="29">
        <v>45535</v>
      </c>
      <c r="E10" s="17" t="s">
        <v>443</v>
      </c>
      <c r="F10" s="29">
        <v>45512</v>
      </c>
      <c r="G10" s="17" t="s">
        <v>444</v>
      </c>
      <c r="H10" s="17" t="s">
        <v>445</v>
      </c>
      <c r="I10" s="388" t="s">
        <v>476</v>
      </c>
      <c r="J10" s="29">
        <v>45512</v>
      </c>
      <c r="K10" s="29">
        <v>45657</v>
      </c>
      <c r="L10" s="17" t="s">
        <v>444</v>
      </c>
      <c r="M10" s="17" t="s">
        <v>448</v>
      </c>
      <c r="N10" s="17" t="s">
        <v>449</v>
      </c>
      <c r="O10" s="17">
        <v>1431</v>
      </c>
      <c r="P10" s="17">
        <v>1565</v>
      </c>
      <c r="Q10" s="388" t="s">
        <v>477</v>
      </c>
      <c r="R10" s="388" t="s">
        <v>451</v>
      </c>
      <c r="S10" s="388" t="s">
        <v>377</v>
      </c>
      <c r="T10" s="17" t="s">
        <v>452</v>
      </c>
      <c r="U10" s="17" t="s">
        <v>453</v>
      </c>
      <c r="V10" s="17" t="s">
        <v>454</v>
      </c>
      <c r="W10" s="17" t="s">
        <v>455</v>
      </c>
      <c r="X10" s="388" t="s">
        <v>456</v>
      </c>
      <c r="Y10" s="17" t="s">
        <v>457</v>
      </c>
      <c r="Z10" s="17" t="s">
        <v>377</v>
      </c>
      <c r="AA10" s="17" t="s">
        <v>458</v>
      </c>
      <c r="AB10" s="17" t="s">
        <v>459</v>
      </c>
      <c r="AC10" s="17" t="s">
        <v>478</v>
      </c>
      <c r="AD10" s="17" t="s">
        <v>461</v>
      </c>
      <c r="AE10" s="17" t="s">
        <v>479</v>
      </c>
      <c r="AF10" s="388" t="s">
        <v>480</v>
      </c>
      <c r="AG10" s="389">
        <v>7484400</v>
      </c>
      <c r="AH10" s="33">
        <v>0</v>
      </c>
      <c r="AI10" s="389">
        <v>0</v>
      </c>
      <c r="AJ10" s="378">
        <f t="shared" si="2"/>
        <v>7484400</v>
      </c>
      <c r="AK10" s="35">
        <v>5114340</v>
      </c>
      <c r="AL10" s="378">
        <f t="shared" si="3"/>
        <v>2370060</v>
      </c>
      <c r="AM10" s="17">
        <v>5000721163</v>
      </c>
      <c r="AN10" s="17">
        <v>2</v>
      </c>
      <c r="AO10" s="17">
        <v>590303</v>
      </c>
      <c r="AP10" s="17">
        <v>2</v>
      </c>
      <c r="AQ10" s="29">
        <v>45512</v>
      </c>
      <c r="AR10" s="390">
        <v>8232</v>
      </c>
      <c r="AS10" s="391">
        <v>1871100</v>
      </c>
      <c r="AT10" s="392">
        <v>45513</v>
      </c>
      <c r="AU10" s="392">
        <v>45634</v>
      </c>
      <c r="AV10" s="393" t="s">
        <v>255</v>
      </c>
      <c r="AW10" s="394">
        <v>1372140</v>
      </c>
      <c r="AX10" s="46">
        <v>1372140</v>
      </c>
      <c r="AY10" s="394">
        <v>1871100</v>
      </c>
      <c r="AZ10" s="394">
        <v>1871100</v>
      </c>
      <c r="BA10" s="394">
        <v>1871100</v>
      </c>
      <c r="BB10" s="394"/>
      <c r="BC10" s="394">
        <v>1871100</v>
      </c>
      <c r="BD10" s="394"/>
      <c r="BE10" s="394">
        <v>498960</v>
      </c>
      <c r="BF10" s="395"/>
      <c r="BG10" s="60">
        <f t="shared" si="0"/>
        <v>0</v>
      </c>
      <c r="BH10" s="385">
        <f t="shared" si="1"/>
        <v>0</v>
      </c>
      <c r="BI10" s="396">
        <v>0</v>
      </c>
      <c r="BJ10" s="388">
        <v>0</v>
      </c>
      <c r="BK10" s="388">
        <v>0</v>
      </c>
      <c r="BL10" s="388">
        <v>0</v>
      </c>
      <c r="BM10" s="388"/>
      <c r="BN10" s="388"/>
      <c r="BR10" s="71">
        <v>0</v>
      </c>
      <c r="BS10" s="71">
        <f>+AX10</f>
        <v>1372140</v>
      </c>
      <c r="BT10" s="71">
        <v>0</v>
      </c>
      <c r="BU10" s="71"/>
      <c r="BV10" s="71"/>
      <c r="BW10" s="70">
        <v>0</v>
      </c>
      <c r="BX10" s="70">
        <f>AK10-BS10</f>
        <v>3742200</v>
      </c>
      <c r="BY10" s="70">
        <v>0</v>
      </c>
      <c r="BZ10" s="18"/>
      <c r="CA10" s="71"/>
      <c r="CB10" s="71"/>
    </row>
    <row r="11" spans="1:80" s="17" customFormat="1" ht="14.45">
      <c r="A11" s="388">
        <v>2024</v>
      </c>
      <c r="B11" s="17">
        <v>8</v>
      </c>
      <c r="C11" s="29">
        <v>45292</v>
      </c>
      <c r="D11" s="29">
        <v>45535</v>
      </c>
      <c r="E11" s="17" t="s">
        <v>443</v>
      </c>
      <c r="F11" s="29">
        <v>45512</v>
      </c>
      <c r="G11" s="17" t="s">
        <v>444</v>
      </c>
      <c r="H11" s="17" t="s">
        <v>445</v>
      </c>
      <c r="I11" s="388" t="s">
        <v>476</v>
      </c>
      <c r="J11" s="29">
        <v>45512</v>
      </c>
      <c r="K11" s="29">
        <v>45657</v>
      </c>
      <c r="L11" s="17" t="s">
        <v>444</v>
      </c>
      <c r="M11" s="17" t="s">
        <v>448</v>
      </c>
      <c r="N11" s="17" t="s">
        <v>449</v>
      </c>
      <c r="O11" s="17">
        <v>1431</v>
      </c>
      <c r="P11" s="17">
        <v>1565</v>
      </c>
      <c r="Q11" s="388" t="s">
        <v>477</v>
      </c>
      <c r="R11" s="388" t="s">
        <v>451</v>
      </c>
      <c r="S11" s="388" t="s">
        <v>377</v>
      </c>
      <c r="T11" s="17" t="s">
        <v>452</v>
      </c>
      <c r="U11" s="17" t="s">
        <v>453</v>
      </c>
      <c r="V11" s="17" t="s">
        <v>454</v>
      </c>
      <c r="W11" s="17" t="s">
        <v>455</v>
      </c>
      <c r="X11" s="388" t="s">
        <v>456</v>
      </c>
      <c r="Y11" s="17" t="s">
        <v>457</v>
      </c>
      <c r="Z11" s="17" t="s">
        <v>377</v>
      </c>
      <c r="AA11" s="17" t="s">
        <v>458</v>
      </c>
      <c r="AB11" s="17" t="s">
        <v>459</v>
      </c>
      <c r="AC11" s="17" t="s">
        <v>478</v>
      </c>
      <c r="AD11" s="17" t="s">
        <v>461</v>
      </c>
      <c r="AE11" s="17" t="s">
        <v>479</v>
      </c>
      <c r="AF11" s="388" t="s">
        <v>480</v>
      </c>
      <c r="AG11" s="389">
        <v>7711200</v>
      </c>
      <c r="AH11" s="33">
        <v>0</v>
      </c>
      <c r="AI11" s="389">
        <v>0</v>
      </c>
      <c r="AJ11" s="378">
        <f t="shared" si="2"/>
        <v>7711200</v>
      </c>
      <c r="AK11" s="35">
        <v>5269320</v>
      </c>
      <c r="AL11" s="378">
        <f t="shared" si="3"/>
        <v>2441880</v>
      </c>
      <c r="AM11" s="17">
        <v>5000721163</v>
      </c>
      <c r="AN11" s="17">
        <v>3</v>
      </c>
      <c r="AO11" s="17">
        <v>590303</v>
      </c>
      <c r="AP11" s="17">
        <v>3</v>
      </c>
      <c r="AQ11" s="29">
        <v>45512</v>
      </c>
      <c r="AR11" s="390">
        <v>8232</v>
      </c>
      <c r="AS11" s="391">
        <v>1927800</v>
      </c>
      <c r="AT11" s="392">
        <v>45513</v>
      </c>
      <c r="AU11" s="392">
        <v>45634</v>
      </c>
      <c r="AV11" s="393" t="s">
        <v>255</v>
      </c>
      <c r="AW11" s="394">
        <v>1413720</v>
      </c>
      <c r="AX11" s="46">
        <v>1413720</v>
      </c>
      <c r="AY11" s="394">
        <v>1927800</v>
      </c>
      <c r="AZ11" s="394">
        <v>1927800</v>
      </c>
      <c r="BA11" s="394">
        <v>1927800</v>
      </c>
      <c r="BB11" s="394"/>
      <c r="BC11" s="394">
        <v>1927800</v>
      </c>
      <c r="BD11" s="394"/>
      <c r="BE11" s="394">
        <v>514080</v>
      </c>
      <c r="BF11" s="395"/>
      <c r="BG11" s="60">
        <f t="shared" si="0"/>
        <v>0</v>
      </c>
      <c r="BH11" s="385">
        <f t="shared" si="1"/>
        <v>-2.9103830456733698E-10</v>
      </c>
      <c r="BI11" s="396">
        <v>0</v>
      </c>
      <c r="BJ11" s="388">
        <v>0</v>
      </c>
      <c r="BK11" s="388">
        <v>0</v>
      </c>
      <c r="BL11" s="388">
        <v>0</v>
      </c>
      <c r="BM11" s="388"/>
      <c r="BN11" s="388"/>
      <c r="BR11" s="71">
        <v>0</v>
      </c>
      <c r="BS11" s="71">
        <v>0</v>
      </c>
      <c r="BT11" s="71">
        <f>+AX11</f>
        <v>1413720</v>
      </c>
      <c r="BU11" s="71"/>
      <c r="BV11" s="71"/>
      <c r="BW11" s="70">
        <v>0</v>
      </c>
      <c r="BX11" s="70">
        <v>0</v>
      </c>
      <c r="BY11" s="70">
        <f>AK11-BT11</f>
        <v>3855600</v>
      </c>
      <c r="BZ11" s="70">
        <f>+BW9+BX10+BY11</f>
        <v>11340000</v>
      </c>
      <c r="CA11" s="71"/>
      <c r="CB11" s="71"/>
    </row>
    <row r="12" spans="1:80" s="19" customFormat="1" ht="14.45">
      <c r="A12" s="408">
        <v>2024</v>
      </c>
      <c r="B12" s="16">
        <v>8</v>
      </c>
      <c r="C12" s="28">
        <v>45292</v>
      </c>
      <c r="D12" s="28">
        <v>45535</v>
      </c>
      <c r="E12" s="16" t="s">
        <v>443</v>
      </c>
      <c r="F12" s="28">
        <v>45513</v>
      </c>
      <c r="G12" s="16" t="s">
        <v>444</v>
      </c>
      <c r="H12" s="16" t="s">
        <v>445</v>
      </c>
      <c r="I12" s="408" t="s">
        <v>481</v>
      </c>
      <c r="J12" s="28">
        <v>45513</v>
      </c>
      <c r="K12" s="28">
        <v>45657</v>
      </c>
      <c r="L12" s="16" t="s">
        <v>482</v>
      </c>
      <c r="M12" s="16" t="s">
        <v>448</v>
      </c>
      <c r="N12" s="16" t="s">
        <v>449</v>
      </c>
      <c r="O12" s="16">
        <v>1420</v>
      </c>
      <c r="P12" s="16">
        <v>1625</v>
      </c>
      <c r="Q12" s="408" t="s">
        <v>483</v>
      </c>
      <c r="R12" s="408" t="s">
        <v>451</v>
      </c>
      <c r="S12" s="408" t="s">
        <v>377</v>
      </c>
      <c r="T12" s="16" t="s">
        <v>452</v>
      </c>
      <c r="U12" s="16" t="s">
        <v>453</v>
      </c>
      <c r="V12" s="16" t="s">
        <v>454</v>
      </c>
      <c r="W12" s="16" t="s">
        <v>455</v>
      </c>
      <c r="X12" s="408" t="s">
        <v>456</v>
      </c>
      <c r="Y12" s="16" t="s">
        <v>457</v>
      </c>
      <c r="Z12" s="16" t="s">
        <v>377</v>
      </c>
      <c r="AA12" s="16" t="s">
        <v>458</v>
      </c>
      <c r="AB12" s="16" t="s">
        <v>459</v>
      </c>
      <c r="AC12" s="16" t="s">
        <v>484</v>
      </c>
      <c r="AD12" s="16" t="s">
        <v>461</v>
      </c>
      <c r="AE12" s="16" t="s">
        <v>485</v>
      </c>
      <c r="AF12" s="408" t="s">
        <v>486</v>
      </c>
      <c r="AG12" s="409">
        <v>40500000</v>
      </c>
      <c r="AH12" s="33">
        <v>0</v>
      </c>
      <c r="AI12" s="409">
        <v>0</v>
      </c>
      <c r="AJ12" s="378">
        <f t="shared" si="2"/>
        <v>40500000</v>
      </c>
      <c r="AK12" s="34">
        <v>23700000</v>
      </c>
      <c r="AL12" s="378">
        <f t="shared" si="3"/>
        <v>16800000</v>
      </c>
      <c r="AM12" s="16">
        <v>5000721703</v>
      </c>
      <c r="AN12" s="16">
        <v>1</v>
      </c>
      <c r="AO12" s="16">
        <v>590288</v>
      </c>
      <c r="AP12" s="16">
        <v>1</v>
      </c>
      <c r="AQ12" s="28">
        <v>45513</v>
      </c>
      <c r="AR12" s="410">
        <v>8232</v>
      </c>
      <c r="AS12" s="411">
        <v>9000000</v>
      </c>
      <c r="AT12" s="412">
        <v>45516</v>
      </c>
      <c r="AU12" s="412">
        <v>45652</v>
      </c>
      <c r="AV12" s="413" t="s">
        <v>255</v>
      </c>
      <c r="AW12" s="414">
        <v>5700000</v>
      </c>
      <c r="AX12" s="45">
        <v>5700000</v>
      </c>
      <c r="AY12" s="414">
        <v>9000000</v>
      </c>
      <c r="AZ12" s="414">
        <v>9000000</v>
      </c>
      <c r="BA12" s="414">
        <v>9000000</v>
      </c>
      <c r="BB12" s="414"/>
      <c r="BC12" s="414">
        <v>9000000</v>
      </c>
      <c r="BD12" s="414"/>
      <c r="BE12" s="414">
        <v>7800000</v>
      </c>
      <c r="BF12" s="415"/>
      <c r="BG12" s="60">
        <f t="shared" si="0"/>
        <v>0</v>
      </c>
      <c r="BH12" s="385">
        <f t="shared" si="1"/>
        <v>0</v>
      </c>
      <c r="BI12" s="416">
        <v>0</v>
      </c>
      <c r="BJ12" s="408">
        <v>0</v>
      </c>
      <c r="BK12" s="408">
        <v>0</v>
      </c>
      <c r="BL12" s="387">
        <v>40500000</v>
      </c>
      <c r="BM12" s="408"/>
      <c r="BN12" s="408"/>
      <c r="BR12" s="70">
        <v>0</v>
      </c>
      <c r="BS12" s="70">
        <v>0</v>
      </c>
      <c r="BT12" s="70">
        <f>+AX12</f>
        <v>5700000</v>
      </c>
      <c r="BU12" s="70"/>
      <c r="BV12" s="70"/>
      <c r="BW12" s="70">
        <v>0</v>
      </c>
      <c r="BX12" s="70">
        <v>0</v>
      </c>
      <c r="BY12" s="70">
        <f>AK12-BT12</f>
        <v>18000000</v>
      </c>
      <c r="CA12" s="70"/>
      <c r="CB12" s="70"/>
    </row>
    <row r="13" spans="1:80" s="20" customFormat="1" ht="14.45">
      <c r="A13" s="417">
        <v>2024</v>
      </c>
      <c r="B13" s="20">
        <v>8</v>
      </c>
      <c r="C13" s="31">
        <v>45292</v>
      </c>
      <c r="D13" s="31">
        <v>45535</v>
      </c>
      <c r="E13" s="20" t="s">
        <v>443</v>
      </c>
      <c r="F13" s="31">
        <v>45516</v>
      </c>
      <c r="G13" s="20" t="s">
        <v>444</v>
      </c>
      <c r="H13" s="20" t="s">
        <v>445</v>
      </c>
      <c r="I13" s="417" t="s">
        <v>487</v>
      </c>
      <c r="J13" s="31">
        <v>45517</v>
      </c>
      <c r="K13" s="31">
        <v>45652</v>
      </c>
      <c r="L13" s="20" t="s">
        <v>488</v>
      </c>
      <c r="M13" s="20" t="s">
        <v>448</v>
      </c>
      <c r="N13" s="20" t="s">
        <v>449</v>
      </c>
      <c r="O13" s="20">
        <v>1434</v>
      </c>
      <c r="P13" s="20">
        <v>1700</v>
      </c>
      <c r="Q13" s="417" t="s">
        <v>489</v>
      </c>
      <c r="R13" s="417" t="s">
        <v>451</v>
      </c>
      <c r="S13" s="417" t="s">
        <v>377</v>
      </c>
      <c r="T13" s="20" t="s">
        <v>452</v>
      </c>
      <c r="U13" s="20" t="s">
        <v>453</v>
      </c>
      <c r="V13" s="20" t="s">
        <v>454</v>
      </c>
      <c r="W13" s="20" t="s">
        <v>455</v>
      </c>
      <c r="X13" s="417" t="s">
        <v>456</v>
      </c>
      <c r="Y13" s="20" t="s">
        <v>457</v>
      </c>
      <c r="Z13" s="20" t="s">
        <v>377</v>
      </c>
      <c r="AA13" s="20" t="s">
        <v>458</v>
      </c>
      <c r="AB13" s="20" t="s">
        <v>459</v>
      </c>
      <c r="AC13" s="20" t="s">
        <v>490</v>
      </c>
      <c r="AD13" s="20" t="s">
        <v>461</v>
      </c>
      <c r="AE13" s="20" t="s">
        <v>491</v>
      </c>
      <c r="AF13" s="417" t="s">
        <v>492</v>
      </c>
      <c r="AG13" s="418">
        <v>17325000</v>
      </c>
      <c r="AH13" s="33">
        <v>0</v>
      </c>
      <c r="AI13" s="418">
        <v>0</v>
      </c>
      <c r="AJ13" s="378">
        <f t="shared" si="2"/>
        <v>17325000</v>
      </c>
      <c r="AK13" s="36">
        <v>9881666</v>
      </c>
      <c r="AL13" s="378">
        <f t="shared" si="3"/>
        <v>7443334</v>
      </c>
      <c r="AM13" s="20">
        <v>5000722954</v>
      </c>
      <c r="AN13" s="20">
        <v>1</v>
      </c>
      <c r="AO13" s="20">
        <v>590307</v>
      </c>
      <c r="AP13" s="20">
        <v>1</v>
      </c>
      <c r="AQ13" s="31">
        <v>45516</v>
      </c>
      <c r="AR13" s="419">
        <v>8232</v>
      </c>
      <c r="AS13" s="420">
        <v>3850000</v>
      </c>
      <c r="AT13" s="421">
        <v>45518</v>
      </c>
      <c r="AU13" s="421">
        <v>45654</v>
      </c>
      <c r="AV13" s="422" t="s">
        <v>255</v>
      </c>
      <c r="AW13" s="423">
        <v>2181666.6666666698</v>
      </c>
      <c r="AX13" s="47">
        <v>2181666</v>
      </c>
      <c r="AY13" s="423">
        <v>3850000</v>
      </c>
      <c r="AZ13" s="423">
        <v>3850000</v>
      </c>
      <c r="BA13" s="423">
        <v>3850000</v>
      </c>
      <c r="BB13" s="423"/>
      <c r="BC13" s="423">
        <v>3850000</v>
      </c>
      <c r="BD13" s="423"/>
      <c r="BE13" s="423">
        <v>3593333.3333333302</v>
      </c>
      <c r="BF13" s="424"/>
      <c r="BG13" s="60">
        <f t="shared" si="0"/>
        <v>0</v>
      </c>
      <c r="BH13" s="385">
        <f t="shared" si="1"/>
        <v>0</v>
      </c>
      <c r="BI13" s="425">
        <v>0</v>
      </c>
      <c r="BJ13" s="426">
        <v>17325000</v>
      </c>
      <c r="BK13" s="426">
        <v>17325000</v>
      </c>
      <c r="BL13" s="417">
        <v>0</v>
      </c>
      <c r="BM13" s="417"/>
      <c r="BN13" s="417"/>
      <c r="BR13" s="72">
        <f>+AX13</f>
        <v>2181666</v>
      </c>
      <c r="BS13" s="72">
        <v>0</v>
      </c>
      <c r="BT13" s="72">
        <v>0</v>
      </c>
      <c r="BU13" s="72"/>
      <c r="BV13" s="72"/>
      <c r="BW13" s="70">
        <f>AK13-BR13</f>
        <v>7700000</v>
      </c>
      <c r="BX13" s="70">
        <v>0</v>
      </c>
      <c r="BY13" s="72">
        <v>0</v>
      </c>
      <c r="CA13" s="72"/>
      <c r="CB13" s="72"/>
    </row>
    <row r="14" spans="1:80" s="20" customFormat="1" ht="14.45">
      <c r="A14" s="417">
        <v>2024</v>
      </c>
      <c r="B14" s="20">
        <v>8</v>
      </c>
      <c r="C14" s="31">
        <v>45292</v>
      </c>
      <c r="D14" s="31">
        <v>45535</v>
      </c>
      <c r="E14" s="20" t="s">
        <v>443</v>
      </c>
      <c r="F14" s="31">
        <v>45516</v>
      </c>
      <c r="G14" s="20" t="s">
        <v>444</v>
      </c>
      <c r="H14" s="20" t="s">
        <v>445</v>
      </c>
      <c r="I14" s="417" t="s">
        <v>487</v>
      </c>
      <c r="J14" s="31">
        <v>45517</v>
      </c>
      <c r="K14" s="31">
        <v>45652</v>
      </c>
      <c r="L14" s="20" t="s">
        <v>488</v>
      </c>
      <c r="M14" s="20" t="s">
        <v>448</v>
      </c>
      <c r="N14" s="20" t="s">
        <v>449</v>
      </c>
      <c r="O14" s="20">
        <v>1434</v>
      </c>
      <c r="P14" s="20">
        <v>1700</v>
      </c>
      <c r="Q14" s="417" t="s">
        <v>489</v>
      </c>
      <c r="R14" s="417" t="s">
        <v>451</v>
      </c>
      <c r="S14" s="417" t="s">
        <v>377</v>
      </c>
      <c r="T14" s="20" t="s">
        <v>452</v>
      </c>
      <c r="U14" s="20" t="s">
        <v>453</v>
      </c>
      <c r="V14" s="20" t="s">
        <v>454</v>
      </c>
      <c r="W14" s="20" t="s">
        <v>455</v>
      </c>
      <c r="X14" s="417" t="s">
        <v>456</v>
      </c>
      <c r="Y14" s="20" t="s">
        <v>457</v>
      </c>
      <c r="Z14" s="20" t="s">
        <v>377</v>
      </c>
      <c r="AA14" s="20" t="s">
        <v>458</v>
      </c>
      <c r="AB14" s="20" t="s">
        <v>459</v>
      </c>
      <c r="AC14" s="20" t="s">
        <v>490</v>
      </c>
      <c r="AD14" s="20" t="s">
        <v>461</v>
      </c>
      <c r="AE14" s="20" t="s">
        <v>491</v>
      </c>
      <c r="AF14" s="417" t="s">
        <v>492</v>
      </c>
      <c r="AG14" s="418">
        <v>17325000</v>
      </c>
      <c r="AH14" s="33">
        <v>0</v>
      </c>
      <c r="AI14" s="418">
        <v>0</v>
      </c>
      <c r="AJ14" s="378">
        <f t="shared" si="2"/>
        <v>17325000</v>
      </c>
      <c r="AK14" s="36">
        <v>9881667</v>
      </c>
      <c r="AL14" s="378">
        <f t="shared" si="3"/>
        <v>7443333</v>
      </c>
      <c r="AM14" s="20">
        <v>5000722954</v>
      </c>
      <c r="AN14" s="20">
        <v>2</v>
      </c>
      <c r="AO14" s="20">
        <v>590307</v>
      </c>
      <c r="AP14" s="20">
        <v>2</v>
      </c>
      <c r="AQ14" s="31">
        <v>45516</v>
      </c>
      <c r="AR14" s="419">
        <v>8232</v>
      </c>
      <c r="AS14" s="420">
        <v>3850000</v>
      </c>
      <c r="AT14" s="421">
        <v>45518</v>
      </c>
      <c r="AU14" s="421">
        <v>45654</v>
      </c>
      <c r="AV14" s="422" t="s">
        <v>255</v>
      </c>
      <c r="AW14" s="423">
        <v>2181666.6666666698</v>
      </c>
      <c r="AX14" s="47">
        <v>2181667</v>
      </c>
      <c r="AY14" s="423">
        <v>3850000</v>
      </c>
      <c r="AZ14" s="423">
        <v>3850000</v>
      </c>
      <c r="BA14" s="423">
        <v>3850000</v>
      </c>
      <c r="BB14" s="423"/>
      <c r="BC14" s="423">
        <v>3850000</v>
      </c>
      <c r="BD14" s="423"/>
      <c r="BE14" s="423">
        <v>3593333.3333333302</v>
      </c>
      <c r="BF14" s="424"/>
      <c r="BG14" s="60">
        <f t="shared" si="0"/>
        <v>0</v>
      </c>
      <c r="BH14" s="385">
        <f t="shared" si="1"/>
        <v>0</v>
      </c>
      <c r="BI14" s="425">
        <v>0</v>
      </c>
      <c r="BJ14" s="417">
        <v>0</v>
      </c>
      <c r="BK14" s="417">
        <v>0</v>
      </c>
      <c r="BL14" s="417">
        <v>0</v>
      </c>
      <c r="BM14" s="417"/>
      <c r="BN14" s="417"/>
      <c r="BR14" s="72">
        <v>0</v>
      </c>
      <c r="BS14" s="72">
        <f>+AX14</f>
        <v>2181667</v>
      </c>
      <c r="BT14" s="72">
        <v>0</v>
      </c>
      <c r="BU14" s="72"/>
      <c r="BV14" s="72"/>
      <c r="BW14" s="70">
        <v>0</v>
      </c>
      <c r="BX14" s="70">
        <f>AK14-BS14</f>
        <v>7700000</v>
      </c>
      <c r="BY14" s="72">
        <v>0</v>
      </c>
      <c r="CA14" s="72"/>
      <c r="CB14" s="72"/>
    </row>
    <row r="15" spans="1:80" s="16" customFormat="1" ht="14.45">
      <c r="A15" s="377">
        <v>2024</v>
      </c>
      <c r="B15" s="16">
        <v>8</v>
      </c>
      <c r="C15" s="28">
        <v>45292</v>
      </c>
      <c r="D15" s="28">
        <v>45535</v>
      </c>
      <c r="E15" s="16" t="s">
        <v>443</v>
      </c>
      <c r="F15" s="28">
        <v>45520</v>
      </c>
      <c r="G15" s="16" t="s">
        <v>444</v>
      </c>
      <c r="H15" s="16" t="s">
        <v>445</v>
      </c>
      <c r="I15" s="377" t="s">
        <v>493</v>
      </c>
      <c r="J15" s="28">
        <v>45520</v>
      </c>
      <c r="K15" s="28">
        <v>45657</v>
      </c>
      <c r="L15" s="16" t="s">
        <v>494</v>
      </c>
      <c r="M15" s="16" t="s">
        <v>448</v>
      </c>
      <c r="N15" s="16" t="s">
        <v>449</v>
      </c>
      <c r="O15" s="16">
        <v>1432</v>
      </c>
      <c r="P15" s="16">
        <v>1782</v>
      </c>
      <c r="Q15" s="377" t="s">
        <v>495</v>
      </c>
      <c r="R15" s="377" t="s">
        <v>451</v>
      </c>
      <c r="S15" s="377" t="s">
        <v>377</v>
      </c>
      <c r="T15" s="16" t="s">
        <v>452</v>
      </c>
      <c r="U15" s="16" t="s">
        <v>453</v>
      </c>
      <c r="V15" s="16" t="s">
        <v>454</v>
      </c>
      <c r="W15" s="16" t="s">
        <v>455</v>
      </c>
      <c r="X15" s="377" t="s">
        <v>456</v>
      </c>
      <c r="Y15" s="16" t="s">
        <v>457</v>
      </c>
      <c r="Z15" s="16" t="s">
        <v>377</v>
      </c>
      <c r="AA15" s="16" t="s">
        <v>458</v>
      </c>
      <c r="AB15" s="16" t="s">
        <v>459</v>
      </c>
      <c r="AC15" s="16" t="s">
        <v>496</v>
      </c>
      <c r="AD15" s="16" t="s">
        <v>461</v>
      </c>
      <c r="AE15" s="16" t="s">
        <v>497</v>
      </c>
      <c r="AF15" s="377" t="s">
        <v>498</v>
      </c>
      <c r="AG15" s="378">
        <v>7484400</v>
      </c>
      <c r="AH15" s="33">
        <v>0</v>
      </c>
      <c r="AI15" s="378">
        <v>0</v>
      </c>
      <c r="AJ15" s="378">
        <f t="shared" si="2"/>
        <v>7484400</v>
      </c>
      <c r="AK15" s="34">
        <v>4677750</v>
      </c>
      <c r="AL15" s="378">
        <f t="shared" si="3"/>
        <v>2806650</v>
      </c>
      <c r="AM15" s="16">
        <v>5000725641</v>
      </c>
      <c r="AN15" s="16">
        <v>1</v>
      </c>
      <c r="AO15" s="16">
        <v>590304</v>
      </c>
      <c r="AP15" s="16">
        <v>1</v>
      </c>
      <c r="AQ15" s="28">
        <v>45520</v>
      </c>
      <c r="AR15" s="379">
        <v>8232</v>
      </c>
      <c r="AS15" s="380">
        <v>1871100</v>
      </c>
      <c r="AT15" s="427">
        <v>45520</v>
      </c>
      <c r="AU15" s="427">
        <v>45657</v>
      </c>
      <c r="AV15" s="382" t="s">
        <v>255</v>
      </c>
      <c r="AW15" s="383">
        <v>935550</v>
      </c>
      <c r="AX15" s="45">
        <v>935550</v>
      </c>
      <c r="AY15" s="383">
        <v>1871100</v>
      </c>
      <c r="AZ15" s="383">
        <v>1871100</v>
      </c>
      <c r="BA15" s="383">
        <v>1871100</v>
      </c>
      <c r="BB15" s="383"/>
      <c r="BC15" s="383">
        <v>1871100</v>
      </c>
      <c r="BD15" s="383"/>
      <c r="BE15" s="383">
        <v>935550</v>
      </c>
      <c r="BF15" s="384"/>
      <c r="BG15" s="60">
        <f t="shared" si="0"/>
        <v>0</v>
      </c>
      <c r="BH15" s="385">
        <f t="shared" si="1"/>
        <v>0</v>
      </c>
      <c r="BI15" s="386">
        <v>0</v>
      </c>
      <c r="BJ15" s="387">
        <v>7484400</v>
      </c>
      <c r="BK15" s="387">
        <v>7484400</v>
      </c>
      <c r="BL15" s="387">
        <v>7711200</v>
      </c>
      <c r="BM15" s="377"/>
      <c r="BN15" s="377"/>
      <c r="BR15" s="70">
        <f>+AX15</f>
        <v>935550</v>
      </c>
      <c r="BS15" s="70">
        <v>0</v>
      </c>
      <c r="BT15" s="70">
        <v>0</v>
      </c>
      <c r="BU15" s="70"/>
      <c r="BV15" s="70"/>
      <c r="BW15" s="70">
        <f>AK15-BR15</f>
        <v>3742200</v>
      </c>
      <c r="BX15" s="70">
        <v>0</v>
      </c>
      <c r="BY15" s="70">
        <v>0</v>
      </c>
      <c r="CA15" s="70"/>
      <c r="CB15" s="70"/>
    </row>
    <row r="16" spans="1:80" s="16" customFormat="1" ht="14.45">
      <c r="A16" s="377">
        <v>2024</v>
      </c>
      <c r="B16" s="16">
        <v>8</v>
      </c>
      <c r="C16" s="28">
        <v>45292</v>
      </c>
      <c r="D16" s="28">
        <v>45535</v>
      </c>
      <c r="E16" s="16" t="s">
        <v>443</v>
      </c>
      <c r="F16" s="28">
        <v>45520</v>
      </c>
      <c r="G16" s="16" t="s">
        <v>444</v>
      </c>
      <c r="H16" s="16" t="s">
        <v>445</v>
      </c>
      <c r="I16" s="377" t="s">
        <v>493</v>
      </c>
      <c r="J16" s="28">
        <v>45520</v>
      </c>
      <c r="K16" s="28">
        <v>45657</v>
      </c>
      <c r="L16" s="16" t="s">
        <v>494</v>
      </c>
      <c r="M16" s="16" t="s">
        <v>448</v>
      </c>
      <c r="N16" s="16" t="s">
        <v>449</v>
      </c>
      <c r="O16" s="16">
        <v>1432</v>
      </c>
      <c r="P16" s="16">
        <v>1782</v>
      </c>
      <c r="Q16" s="377" t="s">
        <v>495</v>
      </c>
      <c r="R16" s="377" t="s">
        <v>451</v>
      </c>
      <c r="S16" s="377" t="s">
        <v>377</v>
      </c>
      <c r="T16" s="16" t="s">
        <v>452</v>
      </c>
      <c r="U16" s="16" t="s">
        <v>453</v>
      </c>
      <c r="V16" s="16" t="s">
        <v>454</v>
      </c>
      <c r="W16" s="16" t="s">
        <v>455</v>
      </c>
      <c r="X16" s="377" t="s">
        <v>456</v>
      </c>
      <c r="Y16" s="16" t="s">
        <v>457</v>
      </c>
      <c r="Z16" s="16" t="s">
        <v>377</v>
      </c>
      <c r="AA16" s="16" t="s">
        <v>458</v>
      </c>
      <c r="AB16" s="16" t="s">
        <v>459</v>
      </c>
      <c r="AC16" s="16" t="s">
        <v>496</v>
      </c>
      <c r="AD16" s="16" t="s">
        <v>461</v>
      </c>
      <c r="AE16" s="16" t="s">
        <v>497</v>
      </c>
      <c r="AF16" s="377" t="s">
        <v>498</v>
      </c>
      <c r="AG16" s="378">
        <v>7484400</v>
      </c>
      <c r="AH16" s="33">
        <v>0</v>
      </c>
      <c r="AI16" s="378">
        <v>0</v>
      </c>
      <c r="AJ16" s="378">
        <f t="shared" si="2"/>
        <v>7484400</v>
      </c>
      <c r="AK16" s="34">
        <v>4677750</v>
      </c>
      <c r="AL16" s="378">
        <f t="shared" si="3"/>
        <v>2806650</v>
      </c>
      <c r="AM16" s="16">
        <v>5000725641</v>
      </c>
      <c r="AN16" s="16">
        <v>2</v>
      </c>
      <c r="AO16" s="16">
        <v>590304</v>
      </c>
      <c r="AP16" s="16">
        <v>2</v>
      </c>
      <c r="AQ16" s="28">
        <v>45520</v>
      </c>
      <c r="AR16" s="379">
        <v>8232</v>
      </c>
      <c r="AS16" s="380">
        <v>1871100</v>
      </c>
      <c r="AT16" s="427">
        <v>45520</v>
      </c>
      <c r="AU16" s="427">
        <v>45657</v>
      </c>
      <c r="AV16" s="382" t="s">
        <v>255</v>
      </c>
      <c r="AW16" s="383">
        <v>935550</v>
      </c>
      <c r="AX16" s="45">
        <v>935550</v>
      </c>
      <c r="AY16" s="383">
        <v>1871100</v>
      </c>
      <c r="AZ16" s="383">
        <v>1871100</v>
      </c>
      <c r="BA16" s="383">
        <v>1871100</v>
      </c>
      <c r="BB16" s="383"/>
      <c r="BC16" s="383">
        <v>1871100</v>
      </c>
      <c r="BD16" s="383"/>
      <c r="BE16" s="383">
        <v>935550</v>
      </c>
      <c r="BF16" s="384"/>
      <c r="BG16" s="60">
        <f t="shared" si="0"/>
        <v>0</v>
      </c>
      <c r="BH16" s="385">
        <f t="shared" si="1"/>
        <v>0</v>
      </c>
      <c r="BI16" s="386">
        <v>0</v>
      </c>
      <c r="BJ16" s="377">
        <v>0</v>
      </c>
      <c r="BK16" s="377">
        <v>0</v>
      </c>
      <c r="BL16" s="377">
        <v>0</v>
      </c>
      <c r="BM16" s="377"/>
      <c r="BN16" s="377"/>
      <c r="BR16" s="70">
        <v>0</v>
      </c>
      <c r="BS16" s="70">
        <f>+AX16</f>
        <v>935550</v>
      </c>
      <c r="BT16" s="70">
        <v>0</v>
      </c>
      <c r="BU16" s="70"/>
      <c r="BV16" s="70"/>
      <c r="BW16" s="70">
        <v>0</v>
      </c>
      <c r="BX16" s="70">
        <f>AK16-BS16</f>
        <v>3742200</v>
      </c>
      <c r="BY16" s="70">
        <v>0</v>
      </c>
      <c r="CA16" s="70"/>
      <c r="CB16" s="70"/>
    </row>
    <row r="17" spans="1:80" s="16" customFormat="1" ht="14.45">
      <c r="A17" s="377">
        <v>2024</v>
      </c>
      <c r="B17" s="16">
        <v>8</v>
      </c>
      <c r="C17" s="28">
        <v>45292</v>
      </c>
      <c r="D17" s="28">
        <v>45535</v>
      </c>
      <c r="E17" s="16" t="s">
        <v>443</v>
      </c>
      <c r="F17" s="28">
        <v>45520</v>
      </c>
      <c r="G17" s="16" t="s">
        <v>444</v>
      </c>
      <c r="H17" s="16" t="s">
        <v>445</v>
      </c>
      <c r="I17" s="377" t="s">
        <v>493</v>
      </c>
      <c r="J17" s="28">
        <v>45520</v>
      </c>
      <c r="K17" s="28">
        <v>45657</v>
      </c>
      <c r="L17" s="16" t="s">
        <v>494</v>
      </c>
      <c r="M17" s="16" t="s">
        <v>448</v>
      </c>
      <c r="N17" s="16" t="s">
        <v>449</v>
      </c>
      <c r="O17" s="16">
        <v>1432</v>
      </c>
      <c r="P17" s="16">
        <v>1782</v>
      </c>
      <c r="Q17" s="377" t="s">
        <v>495</v>
      </c>
      <c r="R17" s="377" t="s">
        <v>451</v>
      </c>
      <c r="S17" s="377" t="s">
        <v>377</v>
      </c>
      <c r="T17" s="16" t="s">
        <v>452</v>
      </c>
      <c r="U17" s="16" t="s">
        <v>453</v>
      </c>
      <c r="V17" s="16" t="s">
        <v>454</v>
      </c>
      <c r="W17" s="16" t="s">
        <v>455</v>
      </c>
      <c r="X17" s="377" t="s">
        <v>456</v>
      </c>
      <c r="Y17" s="16" t="s">
        <v>457</v>
      </c>
      <c r="Z17" s="16" t="s">
        <v>377</v>
      </c>
      <c r="AA17" s="16" t="s">
        <v>458</v>
      </c>
      <c r="AB17" s="16" t="s">
        <v>459</v>
      </c>
      <c r="AC17" s="16" t="s">
        <v>496</v>
      </c>
      <c r="AD17" s="16" t="s">
        <v>461</v>
      </c>
      <c r="AE17" s="16" t="s">
        <v>497</v>
      </c>
      <c r="AF17" s="377" t="s">
        <v>498</v>
      </c>
      <c r="AG17" s="378">
        <v>7711200</v>
      </c>
      <c r="AH17" s="33">
        <v>0</v>
      </c>
      <c r="AI17" s="378">
        <v>0</v>
      </c>
      <c r="AJ17" s="378">
        <f t="shared" si="2"/>
        <v>7711200</v>
      </c>
      <c r="AK17" s="34">
        <v>4819500</v>
      </c>
      <c r="AL17" s="378">
        <f t="shared" si="3"/>
        <v>2891700</v>
      </c>
      <c r="AM17" s="16">
        <v>5000725641</v>
      </c>
      <c r="AN17" s="16">
        <v>3</v>
      </c>
      <c r="AO17" s="16">
        <v>590304</v>
      </c>
      <c r="AP17" s="16">
        <v>3</v>
      </c>
      <c r="AQ17" s="28">
        <v>45520</v>
      </c>
      <c r="AR17" s="379">
        <v>8232</v>
      </c>
      <c r="AS17" s="380">
        <v>1927800</v>
      </c>
      <c r="AT17" s="427">
        <v>45520</v>
      </c>
      <c r="AU17" s="427">
        <v>45657</v>
      </c>
      <c r="AV17" s="382" t="s">
        <v>255</v>
      </c>
      <c r="AW17" s="383">
        <v>963900</v>
      </c>
      <c r="AX17" s="45">
        <v>963900</v>
      </c>
      <c r="AY17" s="383">
        <v>1927800</v>
      </c>
      <c r="AZ17" s="383">
        <v>1927800</v>
      </c>
      <c r="BA17" s="383">
        <v>1927800</v>
      </c>
      <c r="BB17" s="383"/>
      <c r="BC17" s="383">
        <v>1927800</v>
      </c>
      <c r="BD17" s="383"/>
      <c r="BE17" s="383">
        <v>963900</v>
      </c>
      <c r="BF17" s="384"/>
      <c r="BG17" s="60">
        <f t="shared" si="0"/>
        <v>0</v>
      </c>
      <c r="BH17" s="385">
        <f t="shared" si="1"/>
        <v>0</v>
      </c>
      <c r="BI17" s="386">
        <v>0</v>
      </c>
      <c r="BJ17" s="377">
        <v>0</v>
      </c>
      <c r="BK17" s="377">
        <v>0</v>
      </c>
      <c r="BL17" s="377">
        <v>0</v>
      </c>
      <c r="BM17" s="377"/>
      <c r="BN17" s="377"/>
      <c r="BR17" s="70">
        <v>0</v>
      </c>
      <c r="BS17" s="70">
        <v>0</v>
      </c>
      <c r="BT17" s="70">
        <f>+AX17</f>
        <v>963900</v>
      </c>
      <c r="BU17" s="70"/>
      <c r="BV17" s="70"/>
      <c r="BW17" s="70">
        <v>0</v>
      </c>
      <c r="BX17" s="70">
        <v>0</v>
      </c>
      <c r="BY17" s="70">
        <f>AK17-BT17</f>
        <v>3855600</v>
      </c>
      <c r="BZ17" s="70">
        <f>+BW15+BX16+BY17</f>
        <v>11340000</v>
      </c>
      <c r="CA17" s="70"/>
      <c r="CB17" s="70"/>
    </row>
    <row r="18" spans="1:80" s="19" customFormat="1" ht="14.45">
      <c r="A18" s="377">
        <v>2024</v>
      </c>
      <c r="B18" s="16">
        <v>8</v>
      </c>
      <c r="C18" s="28">
        <v>45292</v>
      </c>
      <c r="D18" s="28">
        <v>45535</v>
      </c>
      <c r="E18" s="16" t="s">
        <v>443</v>
      </c>
      <c r="F18" s="28">
        <v>45526</v>
      </c>
      <c r="G18" s="16" t="s">
        <v>444</v>
      </c>
      <c r="H18" s="16" t="s">
        <v>445</v>
      </c>
      <c r="I18" s="377" t="s">
        <v>499</v>
      </c>
      <c r="J18" s="28">
        <v>45526</v>
      </c>
      <c r="K18" s="28">
        <v>45657</v>
      </c>
      <c r="L18" s="16" t="s">
        <v>500</v>
      </c>
      <c r="M18" s="16" t="s">
        <v>448</v>
      </c>
      <c r="N18" s="16" t="s">
        <v>449</v>
      </c>
      <c r="O18" s="16">
        <v>1978</v>
      </c>
      <c r="P18" s="16">
        <v>1864</v>
      </c>
      <c r="Q18" s="377" t="s">
        <v>501</v>
      </c>
      <c r="R18" s="377" t="s">
        <v>451</v>
      </c>
      <c r="S18" s="377" t="s">
        <v>377</v>
      </c>
      <c r="T18" s="16" t="s">
        <v>452</v>
      </c>
      <c r="U18" s="16" t="s">
        <v>453</v>
      </c>
      <c r="V18" s="16" t="s">
        <v>502</v>
      </c>
      <c r="W18" s="16" t="s">
        <v>503</v>
      </c>
      <c r="X18" s="377" t="s">
        <v>456</v>
      </c>
      <c r="Y18" s="16" t="s">
        <v>457</v>
      </c>
      <c r="Z18" s="16" t="s">
        <v>377</v>
      </c>
      <c r="AA18" s="16" t="s">
        <v>458</v>
      </c>
      <c r="AB18" s="16" t="s">
        <v>459</v>
      </c>
      <c r="AC18" s="16" t="s">
        <v>504</v>
      </c>
      <c r="AD18" s="16" t="s">
        <v>461</v>
      </c>
      <c r="AE18" s="16" t="s">
        <v>505</v>
      </c>
      <c r="AF18" s="377" t="s">
        <v>506</v>
      </c>
      <c r="AG18" s="378">
        <v>11935125</v>
      </c>
      <c r="AH18" s="33">
        <v>884083</v>
      </c>
      <c r="AI18" s="378">
        <v>0</v>
      </c>
      <c r="AJ18" s="378">
        <f t="shared" si="2"/>
        <v>11051042</v>
      </c>
      <c r="AK18" s="34">
        <v>5746541</v>
      </c>
      <c r="AL18" s="378">
        <f t="shared" si="3"/>
        <v>5304501</v>
      </c>
      <c r="AM18" s="16">
        <v>5000728614</v>
      </c>
      <c r="AN18" s="16">
        <v>1</v>
      </c>
      <c r="AO18" s="16">
        <v>601728</v>
      </c>
      <c r="AP18" s="16">
        <v>1</v>
      </c>
      <c r="AQ18" s="28">
        <v>45526</v>
      </c>
      <c r="AR18" s="379">
        <v>8232</v>
      </c>
      <c r="AS18" s="380">
        <v>2652250</v>
      </c>
      <c r="AT18" s="381">
        <v>45530</v>
      </c>
      <c r="AU18" s="381">
        <v>45657</v>
      </c>
      <c r="AV18" s="382" t="s">
        <v>255</v>
      </c>
      <c r="AW18" s="383">
        <v>442041.66666666698</v>
      </c>
      <c r="AX18" s="45">
        <v>442041</v>
      </c>
      <c r="AY18" s="383">
        <v>2652250</v>
      </c>
      <c r="AZ18" s="383">
        <v>2652250</v>
      </c>
      <c r="BA18" s="383">
        <v>2652250</v>
      </c>
      <c r="BB18" s="383"/>
      <c r="BC18" s="383">
        <v>2652250</v>
      </c>
      <c r="BD18" s="383"/>
      <c r="BE18" s="383">
        <v>2652250</v>
      </c>
      <c r="BF18" s="384"/>
      <c r="BG18" s="60">
        <f t="shared" si="0"/>
        <v>884083</v>
      </c>
      <c r="BH18" s="385">
        <f t="shared" si="1"/>
        <v>0.33333333395421499</v>
      </c>
      <c r="BI18" s="386">
        <v>884083.33333333302</v>
      </c>
      <c r="BJ18" s="387">
        <v>11935125</v>
      </c>
      <c r="BK18" s="387">
        <v>11935125</v>
      </c>
      <c r="BL18" s="377">
        <v>0</v>
      </c>
      <c r="BM18" s="377"/>
      <c r="BN18" s="377"/>
      <c r="BO18" s="16"/>
      <c r="BP18" s="16"/>
      <c r="BQ18" s="16"/>
      <c r="BR18" s="70">
        <f>+AX18</f>
        <v>442041</v>
      </c>
      <c r="BS18" s="70">
        <v>0</v>
      </c>
      <c r="BT18" s="70">
        <v>0</v>
      </c>
      <c r="BU18" s="70"/>
      <c r="BV18" s="70"/>
      <c r="BW18" s="70">
        <f>AK18-BR18</f>
        <v>5304500</v>
      </c>
      <c r="BX18" s="70">
        <v>0</v>
      </c>
      <c r="BY18" s="70">
        <v>0</v>
      </c>
      <c r="CA18" s="70"/>
      <c r="CB18" s="70"/>
    </row>
    <row r="19" spans="1:80" s="19" customFormat="1" ht="14.45">
      <c r="A19" s="377">
        <v>2024</v>
      </c>
      <c r="B19" s="16">
        <v>8</v>
      </c>
      <c r="C19" s="28">
        <v>45292</v>
      </c>
      <c r="D19" s="28">
        <v>45535</v>
      </c>
      <c r="E19" s="16" t="s">
        <v>443</v>
      </c>
      <c r="F19" s="28">
        <v>45526</v>
      </c>
      <c r="G19" s="16" t="s">
        <v>444</v>
      </c>
      <c r="H19" s="16" t="s">
        <v>445</v>
      </c>
      <c r="I19" s="377" t="s">
        <v>499</v>
      </c>
      <c r="J19" s="28">
        <v>45526</v>
      </c>
      <c r="K19" s="28">
        <v>45657</v>
      </c>
      <c r="L19" s="16" t="s">
        <v>500</v>
      </c>
      <c r="M19" s="16" t="s">
        <v>448</v>
      </c>
      <c r="N19" s="16" t="s">
        <v>449</v>
      </c>
      <c r="O19" s="16">
        <v>1978</v>
      </c>
      <c r="P19" s="16">
        <v>1864</v>
      </c>
      <c r="Q19" s="377" t="s">
        <v>501</v>
      </c>
      <c r="R19" s="377" t="s">
        <v>451</v>
      </c>
      <c r="S19" s="377" t="s">
        <v>377</v>
      </c>
      <c r="T19" s="16" t="s">
        <v>452</v>
      </c>
      <c r="U19" s="16" t="s">
        <v>453</v>
      </c>
      <c r="V19" s="16" t="s">
        <v>502</v>
      </c>
      <c r="W19" s="16" t="s">
        <v>503</v>
      </c>
      <c r="X19" s="377" t="s">
        <v>456</v>
      </c>
      <c r="Y19" s="16" t="s">
        <v>457</v>
      </c>
      <c r="Z19" s="16" t="s">
        <v>377</v>
      </c>
      <c r="AA19" s="16" t="s">
        <v>458</v>
      </c>
      <c r="AB19" s="16" t="s">
        <v>459</v>
      </c>
      <c r="AC19" s="16" t="s">
        <v>504</v>
      </c>
      <c r="AD19" s="16" t="s">
        <v>461</v>
      </c>
      <c r="AE19" s="16" t="s">
        <v>505</v>
      </c>
      <c r="AF19" s="377" t="s">
        <v>506</v>
      </c>
      <c r="AG19" s="378">
        <v>11935125</v>
      </c>
      <c r="AH19" s="33">
        <v>884084</v>
      </c>
      <c r="AI19" s="378">
        <v>0</v>
      </c>
      <c r="AJ19" s="378">
        <f t="shared" si="2"/>
        <v>11051041</v>
      </c>
      <c r="AK19" s="34">
        <v>5746542</v>
      </c>
      <c r="AL19" s="378">
        <f t="shared" si="3"/>
        <v>5304499</v>
      </c>
      <c r="AM19" s="16">
        <v>5000728614</v>
      </c>
      <c r="AN19" s="16">
        <v>2</v>
      </c>
      <c r="AO19" s="16">
        <v>601728</v>
      </c>
      <c r="AP19" s="16">
        <v>2</v>
      </c>
      <c r="AQ19" s="28">
        <v>45526</v>
      </c>
      <c r="AR19" s="379">
        <v>8232</v>
      </c>
      <c r="AS19" s="380">
        <v>2652250</v>
      </c>
      <c r="AT19" s="381">
        <v>45530</v>
      </c>
      <c r="AU19" s="381">
        <v>45657</v>
      </c>
      <c r="AV19" s="382" t="s">
        <v>255</v>
      </c>
      <c r="AW19" s="383">
        <v>442041.66666666698</v>
      </c>
      <c r="AX19" s="45">
        <v>442042</v>
      </c>
      <c r="AY19" s="383">
        <v>2652250</v>
      </c>
      <c r="AZ19" s="383">
        <v>2652250</v>
      </c>
      <c r="BA19" s="383">
        <v>2652250</v>
      </c>
      <c r="BB19" s="383"/>
      <c r="BC19" s="383">
        <v>2652250</v>
      </c>
      <c r="BD19" s="383"/>
      <c r="BE19" s="383">
        <v>2652250</v>
      </c>
      <c r="BF19" s="384"/>
      <c r="BG19" s="60">
        <f t="shared" si="0"/>
        <v>884084</v>
      </c>
      <c r="BH19" s="385">
        <f t="shared" si="1"/>
        <v>-0.66666666604578495</v>
      </c>
      <c r="BI19" s="386">
        <v>884083.33333333302</v>
      </c>
      <c r="BJ19" s="387">
        <v>0</v>
      </c>
      <c r="BK19" s="387">
        <v>0</v>
      </c>
      <c r="BL19" s="377">
        <v>0</v>
      </c>
      <c r="BM19" s="377"/>
      <c r="BN19" s="377"/>
      <c r="BO19" s="16"/>
      <c r="BP19" s="16"/>
      <c r="BQ19" s="16"/>
      <c r="BR19" s="70">
        <v>0</v>
      </c>
      <c r="BS19" s="70">
        <f>+AX19</f>
        <v>442042</v>
      </c>
      <c r="BT19" s="70">
        <v>0</v>
      </c>
      <c r="BU19" s="70"/>
      <c r="BV19" s="70"/>
      <c r="BW19" s="70">
        <v>0</v>
      </c>
      <c r="BX19" s="70">
        <f>AK19-BS19</f>
        <v>5304500</v>
      </c>
      <c r="BY19" s="70">
        <v>0</v>
      </c>
      <c r="CA19" s="70"/>
      <c r="CB19" s="70"/>
    </row>
    <row r="20" spans="1:80" s="16" customFormat="1" ht="14.45">
      <c r="A20" s="408">
        <v>2024</v>
      </c>
      <c r="B20" s="16">
        <v>8</v>
      </c>
      <c r="C20" s="28">
        <v>45292</v>
      </c>
      <c r="D20" s="28">
        <v>45535</v>
      </c>
      <c r="E20" s="16" t="s">
        <v>443</v>
      </c>
      <c r="F20" s="28">
        <v>45526</v>
      </c>
      <c r="G20" s="16" t="s">
        <v>444</v>
      </c>
      <c r="H20" s="16" t="s">
        <v>445</v>
      </c>
      <c r="I20" s="408" t="s">
        <v>507</v>
      </c>
      <c r="J20" s="28">
        <v>45526</v>
      </c>
      <c r="K20" s="28">
        <v>45657</v>
      </c>
      <c r="L20" s="16" t="s">
        <v>500</v>
      </c>
      <c r="M20" s="16" t="s">
        <v>448</v>
      </c>
      <c r="N20" s="16" t="s">
        <v>449</v>
      </c>
      <c r="O20" s="16">
        <v>1438</v>
      </c>
      <c r="P20" s="16">
        <v>1860</v>
      </c>
      <c r="Q20" s="408" t="s">
        <v>501</v>
      </c>
      <c r="R20" s="408" t="s">
        <v>451</v>
      </c>
      <c r="S20" s="408" t="s">
        <v>377</v>
      </c>
      <c r="T20" s="16" t="s">
        <v>452</v>
      </c>
      <c r="U20" s="16" t="s">
        <v>453</v>
      </c>
      <c r="V20" s="16" t="s">
        <v>502</v>
      </c>
      <c r="W20" s="16" t="s">
        <v>503</v>
      </c>
      <c r="X20" s="408" t="s">
        <v>456</v>
      </c>
      <c r="Y20" s="16" t="s">
        <v>457</v>
      </c>
      <c r="Z20" s="16" t="s">
        <v>377</v>
      </c>
      <c r="AA20" s="16" t="s">
        <v>458</v>
      </c>
      <c r="AB20" s="16" t="s">
        <v>459</v>
      </c>
      <c r="AC20" s="16" t="s">
        <v>508</v>
      </c>
      <c r="AD20" s="16" t="s">
        <v>461</v>
      </c>
      <c r="AE20" s="16" t="s">
        <v>509</v>
      </c>
      <c r="AF20" s="408" t="s">
        <v>510</v>
      </c>
      <c r="AG20" s="409">
        <v>11935125</v>
      </c>
      <c r="AH20" s="33">
        <v>884083</v>
      </c>
      <c r="AI20" s="409">
        <v>0</v>
      </c>
      <c r="AJ20" s="378">
        <f t="shared" si="2"/>
        <v>11051042</v>
      </c>
      <c r="AK20" s="34">
        <v>5746541</v>
      </c>
      <c r="AL20" s="378">
        <f t="shared" si="3"/>
        <v>5304501</v>
      </c>
      <c r="AM20" s="16">
        <v>5000728592</v>
      </c>
      <c r="AN20" s="16">
        <v>1</v>
      </c>
      <c r="AO20" s="16">
        <v>590311</v>
      </c>
      <c r="AP20" s="16">
        <v>1</v>
      </c>
      <c r="AQ20" s="28">
        <v>45526</v>
      </c>
      <c r="AR20" s="410">
        <v>8232</v>
      </c>
      <c r="AS20" s="411">
        <v>2652250</v>
      </c>
      <c r="AT20" s="412">
        <v>45530</v>
      </c>
      <c r="AU20" s="412">
        <v>45657</v>
      </c>
      <c r="AV20" s="413" t="s">
        <v>255</v>
      </c>
      <c r="AW20" s="414">
        <v>442041.66666666698</v>
      </c>
      <c r="AX20" s="45">
        <v>442041</v>
      </c>
      <c r="AY20" s="414">
        <v>2652250</v>
      </c>
      <c r="AZ20" s="414">
        <v>2652250</v>
      </c>
      <c r="BA20" s="414">
        <v>2652250</v>
      </c>
      <c r="BB20" s="414"/>
      <c r="BC20" s="414">
        <v>2652250</v>
      </c>
      <c r="BD20" s="414"/>
      <c r="BE20" s="414">
        <v>2652250</v>
      </c>
      <c r="BF20" s="415"/>
      <c r="BG20" s="60">
        <f t="shared" si="0"/>
        <v>884083</v>
      </c>
      <c r="BH20" s="385">
        <f t="shared" si="1"/>
        <v>0.33333333395421499</v>
      </c>
      <c r="BI20" s="416">
        <v>884083.33333333302</v>
      </c>
      <c r="BJ20" s="387">
        <v>11935125</v>
      </c>
      <c r="BK20" s="387">
        <v>11935125</v>
      </c>
      <c r="BL20" s="408">
        <v>0</v>
      </c>
      <c r="BM20" s="408"/>
      <c r="BN20" s="408"/>
      <c r="BO20" s="19"/>
      <c r="BP20" s="19"/>
      <c r="BQ20" s="19"/>
      <c r="BR20" s="70">
        <f>+AX20</f>
        <v>442041</v>
      </c>
      <c r="BS20" s="70">
        <v>0</v>
      </c>
      <c r="BT20" s="70">
        <v>0</v>
      </c>
      <c r="BU20" s="70"/>
      <c r="BV20" s="70"/>
      <c r="BW20" s="70">
        <f>AK20-BR20</f>
        <v>5304500</v>
      </c>
      <c r="BX20" s="70">
        <v>0</v>
      </c>
      <c r="BY20" s="70">
        <v>0</v>
      </c>
      <c r="CA20" s="70"/>
      <c r="CB20" s="70"/>
    </row>
    <row r="21" spans="1:80" s="16" customFormat="1" ht="14.45">
      <c r="A21" s="408">
        <v>2024</v>
      </c>
      <c r="B21" s="16">
        <v>8</v>
      </c>
      <c r="C21" s="28">
        <v>45292</v>
      </c>
      <c r="D21" s="28">
        <v>45535</v>
      </c>
      <c r="E21" s="16" t="s">
        <v>443</v>
      </c>
      <c r="F21" s="28">
        <v>45526</v>
      </c>
      <c r="G21" s="16" t="s">
        <v>444</v>
      </c>
      <c r="H21" s="16" t="s">
        <v>445</v>
      </c>
      <c r="I21" s="408" t="s">
        <v>507</v>
      </c>
      <c r="J21" s="28">
        <v>45526</v>
      </c>
      <c r="K21" s="28">
        <v>45657</v>
      </c>
      <c r="L21" s="16" t="s">
        <v>500</v>
      </c>
      <c r="M21" s="16" t="s">
        <v>448</v>
      </c>
      <c r="N21" s="16" t="s">
        <v>449</v>
      </c>
      <c r="O21" s="16">
        <v>1438</v>
      </c>
      <c r="P21" s="16">
        <v>1860</v>
      </c>
      <c r="Q21" s="408" t="s">
        <v>501</v>
      </c>
      <c r="R21" s="408" t="s">
        <v>451</v>
      </c>
      <c r="S21" s="408" t="s">
        <v>377</v>
      </c>
      <c r="T21" s="16" t="s">
        <v>452</v>
      </c>
      <c r="U21" s="16" t="s">
        <v>453</v>
      </c>
      <c r="V21" s="16" t="s">
        <v>502</v>
      </c>
      <c r="W21" s="16" t="s">
        <v>503</v>
      </c>
      <c r="X21" s="408" t="s">
        <v>456</v>
      </c>
      <c r="Y21" s="16" t="s">
        <v>457</v>
      </c>
      <c r="Z21" s="16" t="s">
        <v>377</v>
      </c>
      <c r="AA21" s="16" t="s">
        <v>458</v>
      </c>
      <c r="AB21" s="16" t="s">
        <v>459</v>
      </c>
      <c r="AC21" s="16" t="s">
        <v>508</v>
      </c>
      <c r="AD21" s="16" t="s">
        <v>461</v>
      </c>
      <c r="AE21" s="16" t="s">
        <v>509</v>
      </c>
      <c r="AF21" s="408" t="s">
        <v>510</v>
      </c>
      <c r="AG21" s="409">
        <v>11935125</v>
      </c>
      <c r="AH21" s="33">
        <v>884084</v>
      </c>
      <c r="AI21" s="409">
        <v>0</v>
      </c>
      <c r="AJ21" s="378">
        <f t="shared" si="2"/>
        <v>11051041</v>
      </c>
      <c r="AK21" s="34">
        <v>5746542</v>
      </c>
      <c r="AL21" s="378">
        <f t="shared" si="3"/>
        <v>5304499</v>
      </c>
      <c r="AM21" s="16">
        <v>5000728592</v>
      </c>
      <c r="AN21" s="16">
        <v>2</v>
      </c>
      <c r="AO21" s="16">
        <v>590311</v>
      </c>
      <c r="AP21" s="16">
        <v>2</v>
      </c>
      <c r="AQ21" s="28">
        <v>45526</v>
      </c>
      <c r="AR21" s="410">
        <v>8232</v>
      </c>
      <c r="AS21" s="411">
        <v>2652250</v>
      </c>
      <c r="AT21" s="412">
        <v>45530</v>
      </c>
      <c r="AU21" s="412">
        <v>45657</v>
      </c>
      <c r="AV21" s="413" t="s">
        <v>255</v>
      </c>
      <c r="AW21" s="414">
        <v>442041.66666666698</v>
      </c>
      <c r="AX21" s="45">
        <v>442042</v>
      </c>
      <c r="AY21" s="414">
        <v>2652250</v>
      </c>
      <c r="AZ21" s="414">
        <v>2652250</v>
      </c>
      <c r="BA21" s="414">
        <v>2652250</v>
      </c>
      <c r="BB21" s="414"/>
      <c r="BC21" s="414">
        <v>2652250</v>
      </c>
      <c r="BD21" s="414"/>
      <c r="BE21" s="414">
        <v>2652250</v>
      </c>
      <c r="BF21" s="415"/>
      <c r="BG21" s="60">
        <f t="shared" si="0"/>
        <v>884084</v>
      </c>
      <c r="BH21" s="385">
        <f t="shared" si="1"/>
        <v>-0.66666666604578495</v>
      </c>
      <c r="BI21" s="416">
        <v>884083.33333333302</v>
      </c>
      <c r="BJ21" s="408">
        <v>0</v>
      </c>
      <c r="BK21" s="408">
        <v>0</v>
      </c>
      <c r="BL21" s="408">
        <v>0</v>
      </c>
      <c r="BM21" s="408"/>
      <c r="BN21" s="408"/>
      <c r="BO21" s="19"/>
      <c r="BP21" s="19"/>
      <c r="BQ21" s="19"/>
      <c r="BR21" s="70">
        <v>0</v>
      </c>
      <c r="BS21" s="70">
        <f>+AX21</f>
        <v>442042</v>
      </c>
      <c r="BT21" s="70">
        <v>0</v>
      </c>
      <c r="BU21" s="70"/>
      <c r="BV21" s="70"/>
      <c r="BW21" s="70">
        <v>0</v>
      </c>
      <c r="BX21" s="70">
        <f>AK21-BS21</f>
        <v>5304500</v>
      </c>
      <c r="BY21" s="70">
        <v>0</v>
      </c>
      <c r="CA21" s="70"/>
      <c r="CB21" s="70"/>
    </row>
    <row r="22" spans="1:80" s="19" customFormat="1" ht="14.45">
      <c r="A22" s="408">
        <v>2024</v>
      </c>
      <c r="B22" s="16">
        <v>8</v>
      </c>
      <c r="C22" s="28">
        <v>45292</v>
      </c>
      <c r="D22" s="28">
        <v>45535</v>
      </c>
      <c r="E22" s="16" t="s">
        <v>443</v>
      </c>
      <c r="F22" s="28">
        <v>45526</v>
      </c>
      <c r="G22" s="16" t="s">
        <v>444</v>
      </c>
      <c r="H22" s="16" t="s">
        <v>445</v>
      </c>
      <c r="I22" s="408" t="s">
        <v>511</v>
      </c>
      <c r="J22" s="28">
        <v>45526</v>
      </c>
      <c r="K22" s="28">
        <v>45657</v>
      </c>
      <c r="L22" s="16" t="s">
        <v>500</v>
      </c>
      <c r="M22" s="16" t="s">
        <v>448</v>
      </c>
      <c r="N22" s="16" t="s">
        <v>449</v>
      </c>
      <c r="O22" s="16">
        <v>1440</v>
      </c>
      <c r="P22" s="16">
        <v>1868</v>
      </c>
      <c r="Q22" s="408" t="s">
        <v>512</v>
      </c>
      <c r="R22" s="408" t="s">
        <v>451</v>
      </c>
      <c r="S22" s="408" t="s">
        <v>377</v>
      </c>
      <c r="T22" s="16" t="s">
        <v>452</v>
      </c>
      <c r="U22" s="16" t="s">
        <v>453</v>
      </c>
      <c r="V22" s="16" t="s">
        <v>502</v>
      </c>
      <c r="W22" s="16" t="s">
        <v>503</v>
      </c>
      <c r="X22" s="408" t="s">
        <v>456</v>
      </c>
      <c r="Y22" s="16" t="s">
        <v>457</v>
      </c>
      <c r="Z22" s="16" t="s">
        <v>377</v>
      </c>
      <c r="AA22" s="16" t="s">
        <v>458</v>
      </c>
      <c r="AB22" s="16" t="s">
        <v>459</v>
      </c>
      <c r="AC22" s="16" t="s">
        <v>513</v>
      </c>
      <c r="AD22" s="16" t="s">
        <v>461</v>
      </c>
      <c r="AE22" s="16" t="s">
        <v>514</v>
      </c>
      <c r="AF22" s="408" t="s">
        <v>515</v>
      </c>
      <c r="AG22" s="409">
        <v>11935125</v>
      </c>
      <c r="AH22" s="33">
        <v>1414533</v>
      </c>
      <c r="AI22" s="409">
        <v>0</v>
      </c>
      <c r="AJ22" s="378">
        <f t="shared" si="2"/>
        <v>10520592</v>
      </c>
      <c r="AK22" s="34">
        <v>5216091</v>
      </c>
      <c r="AL22" s="378">
        <f t="shared" si="3"/>
        <v>5304501</v>
      </c>
      <c r="AM22" s="16">
        <v>5000728885</v>
      </c>
      <c r="AN22" s="16">
        <v>1</v>
      </c>
      <c r="AO22" s="16">
        <v>590313</v>
      </c>
      <c r="AP22" s="16">
        <v>1</v>
      </c>
      <c r="AQ22" s="28">
        <v>45526</v>
      </c>
      <c r="AR22" s="410">
        <v>8232</v>
      </c>
      <c r="AS22" s="411">
        <v>2652250</v>
      </c>
      <c r="AT22" s="412">
        <v>45537</v>
      </c>
      <c r="AU22" s="412">
        <v>45657</v>
      </c>
      <c r="AV22" s="413" t="s">
        <v>255</v>
      </c>
      <c r="AW22" s="414">
        <v>0</v>
      </c>
      <c r="AX22" s="45">
        <v>0</v>
      </c>
      <c r="AY22" s="414">
        <v>2563841.6666666698</v>
      </c>
      <c r="AZ22" s="34">
        <v>2563841</v>
      </c>
      <c r="BA22" s="414">
        <v>2652250</v>
      </c>
      <c r="BB22" s="414"/>
      <c r="BC22" s="414">
        <v>2652250</v>
      </c>
      <c r="BD22" s="414"/>
      <c r="BE22" s="414">
        <v>2652250</v>
      </c>
      <c r="BF22" s="415"/>
      <c r="BG22" s="61">
        <v>1414533.33333333</v>
      </c>
      <c r="BH22" s="385">
        <f t="shared" si="1"/>
        <v>0</v>
      </c>
      <c r="BI22" s="416">
        <v>1414533.33333333</v>
      </c>
      <c r="BJ22" s="387">
        <v>11935125</v>
      </c>
      <c r="BK22" s="387">
        <v>11935125</v>
      </c>
      <c r="BL22" s="408">
        <v>0</v>
      </c>
      <c r="BM22" s="408"/>
      <c r="BN22" s="408"/>
      <c r="BR22" s="70">
        <f>+AX22</f>
        <v>0</v>
      </c>
      <c r="BS22" s="70">
        <v>0</v>
      </c>
      <c r="BT22" s="70">
        <v>0</v>
      </c>
      <c r="BU22" s="70"/>
      <c r="BV22" s="70"/>
      <c r="BW22" s="70">
        <f>AK22-BR22</f>
        <v>5216091</v>
      </c>
      <c r="BX22" s="70">
        <v>0</v>
      </c>
      <c r="BY22" s="70">
        <v>0</v>
      </c>
      <c r="CA22" s="70"/>
      <c r="CB22" s="70"/>
    </row>
    <row r="23" spans="1:80" s="19" customFormat="1" ht="14.45">
      <c r="A23" s="408">
        <v>2024</v>
      </c>
      <c r="B23" s="16">
        <v>8</v>
      </c>
      <c r="C23" s="28">
        <v>45292</v>
      </c>
      <c r="D23" s="28">
        <v>45535</v>
      </c>
      <c r="E23" s="16" t="s">
        <v>443</v>
      </c>
      <c r="F23" s="28">
        <v>45526</v>
      </c>
      <c r="G23" s="16" t="s">
        <v>444</v>
      </c>
      <c r="H23" s="16" t="s">
        <v>445</v>
      </c>
      <c r="I23" s="408" t="s">
        <v>511</v>
      </c>
      <c r="J23" s="28">
        <v>45526</v>
      </c>
      <c r="K23" s="28">
        <v>45657</v>
      </c>
      <c r="L23" s="16" t="s">
        <v>500</v>
      </c>
      <c r="M23" s="16" t="s">
        <v>448</v>
      </c>
      <c r="N23" s="16" t="s">
        <v>449</v>
      </c>
      <c r="O23" s="16">
        <v>1440</v>
      </c>
      <c r="P23" s="16">
        <v>1868</v>
      </c>
      <c r="Q23" s="408" t="s">
        <v>512</v>
      </c>
      <c r="R23" s="408" t="s">
        <v>451</v>
      </c>
      <c r="S23" s="408" t="s">
        <v>377</v>
      </c>
      <c r="T23" s="16" t="s">
        <v>452</v>
      </c>
      <c r="U23" s="16" t="s">
        <v>453</v>
      </c>
      <c r="V23" s="16" t="s">
        <v>502</v>
      </c>
      <c r="W23" s="16" t="s">
        <v>503</v>
      </c>
      <c r="X23" s="408" t="s">
        <v>456</v>
      </c>
      <c r="Y23" s="16" t="s">
        <v>457</v>
      </c>
      <c r="Z23" s="16" t="s">
        <v>377</v>
      </c>
      <c r="AA23" s="16" t="s">
        <v>458</v>
      </c>
      <c r="AB23" s="16" t="s">
        <v>459</v>
      </c>
      <c r="AC23" s="16" t="s">
        <v>513</v>
      </c>
      <c r="AD23" s="16" t="s">
        <v>461</v>
      </c>
      <c r="AE23" s="16" t="s">
        <v>514</v>
      </c>
      <c r="AF23" s="408" t="s">
        <v>515</v>
      </c>
      <c r="AG23" s="409">
        <v>11935125</v>
      </c>
      <c r="AH23" s="33">
        <v>1414534</v>
      </c>
      <c r="AI23" s="409">
        <v>0</v>
      </c>
      <c r="AJ23" s="378">
        <f t="shared" si="2"/>
        <v>10520591</v>
      </c>
      <c r="AK23" s="34">
        <v>5216092</v>
      </c>
      <c r="AL23" s="378">
        <f t="shared" si="3"/>
        <v>5304499</v>
      </c>
      <c r="AM23" s="16">
        <v>5000728885</v>
      </c>
      <c r="AN23" s="16">
        <v>2</v>
      </c>
      <c r="AO23" s="16">
        <v>590313</v>
      </c>
      <c r="AP23" s="16">
        <v>2</v>
      </c>
      <c r="AQ23" s="28">
        <v>45526</v>
      </c>
      <c r="AR23" s="410">
        <v>8232</v>
      </c>
      <c r="AS23" s="411">
        <v>2652250</v>
      </c>
      <c r="AT23" s="412">
        <v>45537</v>
      </c>
      <c r="AU23" s="412">
        <v>45657</v>
      </c>
      <c r="AV23" s="413" t="s">
        <v>255</v>
      </c>
      <c r="AW23" s="414">
        <v>0</v>
      </c>
      <c r="AX23" s="45">
        <v>0</v>
      </c>
      <c r="AY23" s="414">
        <v>2563841.6666666698</v>
      </c>
      <c r="AZ23" s="34">
        <v>2563842</v>
      </c>
      <c r="BA23" s="414">
        <v>2652250</v>
      </c>
      <c r="BB23" s="414"/>
      <c r="BC23" s="414">
        <v>2652250</v>
      </c>
      <c r="BD23" s="414"/>
      <c r="BE23" s="414">
        <v>2652250</v>
      </c>
      <c r="BF23" s="415"/>
      <c r="BG23" s="61">
        <v>1414533.33333333</v>
      </c>
      <c r="BH23" s="385">
        <f t="shared" si="1"/>
        <v>0</v>
      </c>
      <c r="BI23" s="416">
        <v>1414533.33333333</v>
      </c>
      <c r="BJ23" s="408">
        <v>0</v>
      </c>
      <c r="BK23" s="408">
        <v>0</v>
      </c>
      <c r="BL23" s="408">
        <v>0</v>
      </c>
      <c r="BM23" s="408"/>
      <c r="BN23" s="408"/>
      <c r="BR23" s="70">
        <v>0</v>
      </c>
      <c r="BS23" s="70">
        <f>+AX23</f>
        <v>0</v>
      </c>
      <c r="BT23" s="70">
        <v>0</v>
      </c>
      <c r="BU23" s="70"/>
      <c r="BV23" s="70"/>
      <c r="BW23" s="70">
        <v>0</v>
      </c>
      <c r="BX23" s="70">
        <f>AK23-BS23</f>
        <v>5216092</v>
      </c>
      <c r="BY23" s="70">
        <v>0</v>
      </c>
      <c r="CA23" s="70"/>
      <c r="CB23" s="70"/>
    </row>
    <row r="24" spans="1:80" s="16" customFormat="1" ht="14.45">
      <c r="A24" s="408">
        <v>2024</v>
      </c>
      <c r="B24" s="16">
        <v>8</v>
      </c>
      <c r="C24" s="28">
        <v>45292</v>
      </c>
      <c r="D24" s="28">
        <v>45535</v>
      </c>
      <c r="E24" s="16" t="s">
        <v>443</v>
      </c>
      <c r="F24" s="28">
        <v>45533</v>
      </c>
      <c r="G24" s="16" t="s">
        <v>444</v>
      </c>
      <c r="H24" s="16" t="s">
        <v>445</v>
      </c>
      <c r="I24" s="408" t="s">
        <v>516</v>
      </c>
      <c r="J24" s="28">
        <v>45532</v>
      </c>
      <c r="K24" s="28">
        <v>45657</v>
      </c>
      <c r="L24" s="16" t="s">
        <v>517</v>
      </c>
      <c r="M24" s="16" t="s">
        <v>448</v>
      </c>
      <c r="N24" s="16" t="s">
        <v>449</v>
      </c>
      <c r="O24" s="16">
        <v>1443</v>
      </c>
      <c r="P24" s="16">
        <v>1915</v>
      </c>
      <c r="Q24" s="408" t="s">
        <v>501</v>
      </c>
      <c r="R24" s="408" t="s">
        <v>451</v>
      </c>
      <c r="S24" s="408" t="s">
        <v>377</v>
      </c>
      <c r="T24" s="16" t="s">
        <v>452</v>
      </c>
      <c r="U24" s="16" t="s">
        <v>453</v>
      </c>
      <c r="V24" s="16" t="s">
        <v>502</v>
      </c>
      <c r="W24" s="16" t="s">
        <v>503</v>
      </c>
      <c r="X24" s="408" t="s">
        <v>456</v>
      </c>
      <c r="Y24" s="16" t="s">
        <v>457</v>
      </c>
      <c r="Z24" s="16" t="s">
        <v>377</v>
      </c>
      <c r="AA24" s="16" t="s">
        <v>458</v>
      </c>
      <c r="AB24" s="16" t="s">
        <v>459</v>
      </c>
      <c r="AC24" s="16" t="s">
        <v>518</v>
      </c>
      <c r="AD24" s="16" t="s">
        <v>461</v>
      </c>
      <c r="AE24" s="16" t="s">
        <v>519</v>
      </c>
      <c r="AF24" s="408" t="s">
        <v>520</v>
      </c>
      <c r="AG24" s="409">
        <v>11935125</v>
      </c>
      <c r="AH24" s="33">
        <v>1149308</v>
      </c>
      <c r="AI24" s="409">
        <v>0</v>
      </c>
      <c r="AJ24" s="378">
        <f t="shared" si="2"/>
        <v>10785817</v>
      </c>
      <c r="AK24" s="34">
        <v>5481316</v>
      </c>
      <c r="AL24" s="378">
        <f t="shared" si="3"/>
        <v>5304501</v>
      </c>
      <c r="AM24" s="16">
        <v>5000732007</v>
      </c>
      <c r="AN24" s="16">
        <v>1</v>
      </c>
      <c r="AO24" s="16">
        <v>590322</v>
      </c>
      <c r="AP24" s="16">
        <v>1</v>
      </c>
      <c r="AQ24" s="28">
        <v>45533</v>
      </c>
      <c r="AR24" s="410">
        <v>8232</v>
      </c>
      <c r="AS24" s="411">
        <v>2652250</v>
      </c>
      <c r="AT24" s="412">
        <v>45533</v>
      </c>
      <c r="AU24" s="412">
        <v>45657</v>
      </c>
      <c r="AV24" s="413" t="s">
        <v>255</v>
      </c>
      <c r="AW24" s="414">
        <v>88408.333333333299</v>
      </c>
      <c r="AX24" s="45">
        <v>176816</v>
      </c>
      <c r="AY24" s="414">
        <v>2652250</v>
      </c>
      <c r="AZ24" s="414">
        <v>2652250</v>
      </c>
      <c r="BA24" s="414">
        <v>2652250</v>
      </c>
      <c r="BB24" s="414"/>
      <c r="BC24" s="414">
        <v>2652250</v>
      </c>
      <c r="BD24" s="414"/>
      <c r="BE24" s="414">
        <v>2652250</v>
      </c>
      <c r="BF24" s="415"/>
      <c r="BG24" s="60">
        <f>AH24</f>
        <v>1149308</v>
      </c>
      <c r="BH24" s="385">
        <f>AG24-AX24-AY24-BA24-BC24-BE24-BG24</f>
        <v>1</v>
      </c>
      <c r="BI24" s="416">
        <v>1237716.66666667</v>
      </c>
      <c r="BJ24" s="387">
        <v>11935125</v>
      </c>
      <c r="BK24" s="387">
        <v>11935125</v>
      </c>
      <c r="BL24" s="408">
        <v>0</v>
      </c>
      <c r="BM24" s="408"/>
      <c r="BN24" s="408"/>
      <c r="BO24" s="19"/>
      <c r="BP24" s="19"/>
      <c r="BQ24" s="19"/>
      <c r="BR24" s="70">
        <f>+AX24</f>
        <v>176816</v>
      </c>
      <c r="BS24" s="70">
        <v>0</v>
      </c>
      <c r="BT24" s="70">
        <v>0</v>
      </c>
      <c r="BU24" s="70"/>
      <c r="BV24" s="70"/>
      <c r="BW24" s="70">
        <f>AK24-BR24</f>
        <v>5304500</v>
      </c>
      <c r="BX24" s="70">
        <v>0</v>
      </c>
      <c r="BY24" s="70">
        <v>0</v>
      </c>
      <c r="CA24" s="70"/>
      <c r="CB24" s="70"/>
    </row>
    <row r="25" spans="1:80" s="16" customFormat="1" ht="14.45">
      <c r="A25" s="408">
        <v>2024</v>
      </c>
      <c r="B25" s="16">
        <v>8</v>
      </c>
      <c r="C25" s="28">
        <v>45292</v>
      </c>
      <c r="D25" s="28">
        <v>45535</v>
      </c>
      <c r="E25" s="16" t="s">
        <v>443</v>
      </c>
      <c r="F25" s="28">
        <v>45533</v>
      </c>
      <c r="G25" s="16" t="s">
        <v>444</v>
      </c>
      <c r="H25" s="16" t="s">
        <v>445</v>
      </c>
      <c r="I25" s="408" t="s">
        <v>516</v>
      </c>
      <c r="J25" s="28">
        <v>45532</v>
      </c>
      <c r="K25" s="28">
        <v>45657</v>
      </c>
      <c r="L25" s="16" t="s">
        <v>517</v>
      </c>
      <c r="M25" s="16" t="s">
        <v>448</v>
      </c>
      <c r="N25" s="16" t="s">
        <v>449</v>
      </c>
      <c r="O25" s="16">
        <v>1443</v>
      </c>
      <c r="P25" s="16">
        <v>1915</v>
      </c>
      <c r="Q25" s="408" t="s">
        <v>501</v>
      </c>
      <c r="R25" s="408" t="s">
        <v>451</v>
      </c>
      <c r="S25" s="408" t="s">
        <v>377</v>
      </c>
      <c r="T25" s="16" t="s">
        <v>452</v>
      </c>
      <c r="U25" s="16" t="s">
        <v>453</v>
      </c>
      <c r="V25" s="16" t="s">
        <v>502</v>
      </c>
      <c r="W25" s="16" t="s">
        <v>503</v>
      </c>
      <c r="X25" s="408" t="s">
        <v>456</v>
      </c>
      <c r="Y25" s="16" t="s">
        <v>457</v>
      </c>
      <c r="Z25" s="16" t="s">
        <v>377</v>
      </c>
      <c r="AA25" s="16" t="s">
        <v>458</v>
      </c>
      <c r="AB25" s="16" t="s">
        <v>459</v>
      </c>
      <c r="AC25" s="16" t="s">
        <v>518</v>
      </c>
      <c r="AD25" s="16" t="s">
        <v>461</v>
      </c>
      <c r="AE25" s="16" t="s">
        <v>519</v>
      </c>
      <c r="AF25" s="408" t="s">
        <v>520</v>
      </c>
      <c r="AG25" s="409">
        <v>11935125</v>
      </c>
      <c r="AH25" s="33">
        <v>1149309</v>
      </c>
      <c r="AI25" s="409">
        <v>0</v>
      </c>
      <c r="AJ25" s="378">
        <f t="shared" si="2"/>
        <v>10785816</v>
      </c>
      <c r="AK25" s="34">
        <v>5481317</v>
      </c>
      <c r="AL25" s="378">
        <f t="shared" si="3"/>
        <v>5304499</v>
      </c>
      <c r="AM25" s="16">
        <v>5000732007</v>
      </c>
      <c r="AN25" s="16">
        <v>2</v>
      </c>
      <c r="AO25" s="16">
        <v>590322</v>
      </c>
      <c r="AP25" s="16">
        <v>2</v>
      </c>
      <c r="AQ25" s="28">
        <v>45533</v>
      </c>
      <c r="AR25" s="410">
        <v>8232</v>
      </c>
      <c r="AS25" s="411">
        <v>2652250</v>
      </c>
      <c r="AT25" s="412">
        <v>45533</v>
      </c>
      <c r="AU25" s="412">
        <v>45657</v>
      </c>
      <c r="AV25" s="413" t="s">
        <v>255</v>
      </c>
      <c r="AW25" s="414">
        <v>88408.333333333299</v>
      </c>
      <c r="AX25" s="45">
        <v>176817</v>
      </c>
      <c r="AY25" s="414">
        <v>2652250</v>
      </c>
      <c r="AZ25" s="414">
        <v>2652250</v>
      </c>
      <c r="BA25" s="414">
        <v>2652250</v>
      </c>
      <c r="BB25" s="414"/>
      <c r="BC25" s="414">
        <v>2652250</v>
      </c>
      <c r="BD25" s="414"/>
      <c r="BE25" s="414">
        <v>2652250</v>
      </c>
      <c r="BF25" s="415"/>
      <c r="BG25" s="60">
        <f>AH25</f>
        <v>1149309</v>
      </c>
      <c r="BH25" s="385">
        <f>AG25-AX25-AY25-BA25-BC25-BE25-BG25</f>
        <v>-1</v>
      </c>
      <c r="BI25" s="416">
        <v>1237716.66666667</v>
      </c>
      <c r="BJ25" s="408">
        <v>0</v>
      </c>
      <c r="BK25" s="408">
        <v>0</v>
      </c>
      <c r="BL25" s="408">
        <v>0</v>
      </c>
      <c r="BM25" s="408"/>
      <c r="BN25" s="408"/>
      <c r="BO25" s="19"/>
      <c r="BP25" s="19"/>
      <c r="BQ25" s="19"/>
      <c r="BR25" s="70">
        <v>0</v>
      </c>
      <c r="BS25" s="70">
        <f>+AX25</f>
        <v>176817</v>
      </c>
      <c r="BT25" s="70">
        <v>0</v>
      </c>
      <c r="BU25" s="70"/>
      <c r="BV25" s="70"/>
      <c r="BW25" s="70">
        <v>0</v>
      </c>
      <c r="BX25" s="70">
        <f>AK25-BS25</f>
        <v>5304500</v>
      </c>
      <c r="BY25" s="70">
        <v>0</v>
      </c>
      <c r="CA25" s="70"/>
      <c r="CB25" s="70"/>
    </row>
    <row r="26" spans="1:80" s="19" customFormat="1" ht="14.45">
      <c r="A26" s="377">
        <v>2024</v>
      </c>
      <c r="B26" s="16">
        <v>8</v>
      </c>
      <c r="C26" s="28">
        <v>45292</v>
      </c>
      <c r="D26" s="28">
        <v>45535</v>
      </c>
      <c r="E26" s="16" t="s">
        <v>443</v>
      </c>
      <c r="F26" s="28">
        <v>45533</v>
      </c>
      <c r="G26" s="16" t="s">
        <v>444</v>
      </c>
      <c r="H26" s="16" t="s">
        <v>445</v>
      </c>
      <c r="I26" s="377" t="s">
        <v>521</v>
      </c>
      <c r="J26" s="28">
        <v>45532</v>
      </c>
      <c r="K26" s="28">
        <v>45657</v>
      </c>
      <c r="L26" s="16" t="s">
        <v>517</v>
      </c>
      <c r="M26" s="16" t="s">
        <v>448</v>
      </c>
      <c r="N26" s="16" t="s">
        <v>449</v>
      </c>
      <c r="O26" s="16">
        <v>1441</v>
      </c>
      <c r="P26" s="16">
        <v>1913</v>
      </c>
      <c r="Q26" s="377" t="s">
        <v>512</v>
      </c>
      <c r="R26" s="377" t="s">
        <v>451</v>
      </c>
      <c r="S26" s="377" t="s">
        <v>377</v>
      </c>
      <c r="T26" s="16" t="s">
        <v>452</v>
      </c>
      <c r="U26" s="16" t="s">
        <v>453</v>
      </c>
      <c r="V26" s="16" t="s">
        <v>502</v>
      </c>
      <c r="W26" s="16" t="s">
        <v>503</v>
      </c>
      <c r="X26" s="377" t="s">
        <v>456</v>
      </c>
      <c r="Y26" s="16" t="s">
        <v>457</v>
      </c>
      <c r="Z26" s="16" t="s">
        <v>377</v>
      </c>
      <c r="AA26" s="16" t="s">
        <v>458</v>
      </c>
      <c r="AB26" s="16" t="s">
        <v>459</v>
      </c>
      <c r="AC26" s="16" t="s">
        <v>522</v>
      </c>
      <c r="AD26" s="16" t="s">
        <v>461</v>
      </c>
      <c r="AE26" s="16" t="s">
        <v>523</v>
      </c>
      <c r="AF26" s="377" t="s">
        <v>524</v>
      </c>
      <c r="AG26" s="378">
        <v>11935125</v>
      </c>
      <c r="AH26" s="33">
        <v>1149308</v>
      </c>
      <c r="AI26" s="378">
        <v>0</v>
      </c>
      <c r="AJ26" s="378">
        <f t="shared" si="2"/>
        <v>10785817</v>
      </c>
      <c r="AK26" s="34">
        <v>5481316</v>
      </c>
      <c r="AL26" s="378">
        <f t="shared" si="3"/>
        <v>5304501</v>
      </c>
      <c r="AM26" s="16">
        <v>5000732000</v>
      </c>
      <c r="AN26" s="16">
        <v>1</v>
      </c>
      <c r="AO26" s="16">
        <v>590316</v>
      </c>
      <c r="AP26" s="16">
        <v>1</v>
      </c>
      <c r="AQ26" s="28">
        <v>45533</v>
      </c>
      <c r="AR26" s="379">
        <v>8232</v>
      </c>
      <c r="AS26" s="380">
        <v>2652250</v>
      </c>
      <c r="AT26" s="381">
        <v>45533</v>
      </c>
      <c r="AU26" s="381">
        <v>45657</v>
      </c>
      <c r="AV26" s="382" t="s">
        <v>255</v>
      </c>
      <c r="AW26" s="383">
        <v>88408.333333333299</v>
      </c>
      <c r="AX26" s="45">
        <v>176816</v>
      </c>
      <c r="AY26" s="383">
        <v>2652250</v>
      </c>
      <c r="AZ26" s="383">
        <v>2652250</v>
      </c>
      <c r="BA26" s="383">
        <v>2652250</v>
      </c>
      <c r="BB26" s="383"/>
      <c r="BC26" s="383">
        <v>2652250</v>
      </c>
      <c r="BD26" s="383"/>
      <c r="BE26" s="383">
        <v>2652250</v>
      </c>
      <c r="BF26" s="384"/>
      <c r="BG26" s="60">
        <f>AH26</f>
        <v>1149308</v>
      </c>
      <c r="BH26" s="385">
        <f>AG26-AX26-AY26-BA26-BC26-BE26-BG26</f>
        <v>1</v>
      </c>
      <c r="BI26" s="386">
        <v>1237716.66666667</v>
      </c>
      <c r="BJ26" s="387">
        <v>11935125</v>
      </c>
      <c r="BK26" s="387">
        <v>11935125</v>
      </c>
      <c r="BL26" s="377">
        <v>0</v>
      </c>
      <c r="BM26" s="377"/>
      <c r="BN26" s="377"/>
      <c r="BO26" s="16"/>
      <c r="BP26" s="16"/>
      <c r="BQ26" s="16"/>
      <c r="BR26" s="70">
        <f>+AX26</f>
        <v>176816</v>
      </c>
      <c r="BS26" s="70">
        <v>0</v>
      </c>
      <c r="BT26" s="70">
        <v>0</v>
      </c>
      <c r="BU26" s="70"/>
      <c r="BV26" s="70"/>
      <c r="BW26" s="70">
        <f>AK26-BR26</f>
        <v>5304500</v>
      </c>
      <c r="BX26" s="70">
        <v>0</v>
      </c>
      <c r="BY26" s="70">
        <v>0</v>
      </c>
      <c r="CA26" s="70"/>
      <c r="CB26" s="70"/>
    </row>
    <row r="27" spans="1:80" s="19" customFormat="1" ht="14.45">
      <c r="A27" s="377">
        <v>2024</v>
      </c>
      <c r="B27" s="16">
        <v>8</v>
      </c>
      <c r="C27" s="28">
        <v>45292</v>
      </c>
      <c r="D27" s="28">
        <v>45535</v>
      </c>
      <c r="E27" s="16" t="s">
        <v>443</v>
      </c>
      <c r="F27" s="28">
        <v>45533</v>
      </c>
      <c r="G27" s="16" t="s">
        <v>444</v>
      </c>
      <c r="H27" s="16" t="s">
        <v>445</v>
      </c>
      <c r="I27" s="377" t="s">
        <v>521</v>
      </c>
      <c r="J27" s="28">
        <v>45532</v>
      </c>
      <c r="K27" s="28">
        <v>45657</v>
      </c>
      <c r="L27" s="16" t="s">
        <v>517</v>
      </c>
      <c r="M27" s="16" t="s">
        <v>448</v>
      </c>
      <c r="N27" s="16" t="s">
        <v>449</v>
      </c>
      <c r="O27" s="16">
        <v>1441</v>
      </c>
      <c r="P27" s="16">
        <v>1913</v>
      </c>
      <c r="Q27" s="377" t="s">
        <v>512</v>
      </c>
      <c r="R27" s="377" t="s">
        <v>451</v>
      </c>
      <c r="S27" s="377" t="s">
        <v>377</v>
      </c>
      <c r="T27" s="16" t="s">
        <v>452</v>
      </c>
      <c r="U27" s="16" t="s">
        <v>453</v>
      </c>
      <c r="V27" s="16" t="s">
        <v>502</v>
      </c>
      <c r="W27" s="16" t="s">
        <v>503</v>
      </c>
      <c r="X27" s="377" t="s">
        <v>456</v>
      </c>
      <c r="Y27" s="16" t="s">
        <v>457</v>
      </c>
      <c r="Z27" s="16" t="s">
        <v>377</v>
      </c>
      <c r="AA27" s="16" t="s">
        <v>458</v>
      </c>
      <c r="AB27" s="16" t="s">
        <v>459</v>
      </c>
      <c r="AC27" s="16" t="s">
        <v>522</v>
      </c>
      <c r="AD27" s="16" t="s">
        <v>461</v>
      </c>
      <c r="AE27" s="16" t="s">
        <v>523</v>
      </c>
      <c r="AF27" s="377" t="s">
        <v>524</v>
      </c>
      <c r="AG27" s="378">
        <v>11935125</v>
      </c>
      <c r="AH27" s="33">
        <v>1149309</v>
      </c>
      <c r="AI27" s="378">
        <v>0</v>
      </c>
      <c r="AJ27" s="378">
        <f t="shared" si="2"/>
        <v>10785816</v>
      </c>
      <c r="AK27" s="34">
        <v>5481317</v>
      </c>
      <c r="AL27" s="378">
        <f t="shared" si="3"/>
        <v>5304499</v>
      </c>
      <c r="AM27" s="16">
        <v>5000732000</v>
      </c>
      <c r="AN27" s="16">
        <v>2</v>
      </c>
      <c r="AO27" s="16">
        <v>590316</v>
      </c>
      <c r="AP27" s="16">
        <v>2</v>
      </c>
      <c r="AQ27" s="28">
        <v>45533</v>
      </c>
      <c r="AR27" s="379">
        <v>8232</v>
      </c>
      <c r="AS27" s="380">
        <v>2652250</v>
      </c>
      <c r="AT27" s="381">
        <v>45533</v>
      </c>
      <c r="AU27" s="381">
        <v>45657</v>
      </c>
      <c r="AV27" s="382" t="s">
        <v>255</v>
      </c>
      <c r="AW27" s="383">
        <v>88408.333333333299</v>
      </c>
      <c r="AX27" s="45">
        <v>176817</v>
      </c>
      <c r="AY27" s="383">
        <v>2652250</v>
      </c>
      <c r="AZ27" s="383">
        <v>2652250</v>
      </c>
      <c r="BA27" s="383">
        <v>2652250</v>
      </c>
      <c r="BB27" s="383"/>
      <c r="BC27" s="383">
        <v>2652250</v>
      </c>
      <c r="BD27" s="383"/>
      <c r="BE27" s="383">
        <v>2652250</v>
      </c>
      <c r="BF27" s="384"/>
      <c r="BG27" s="60">
        <f>AH27</f>
        <v>1149309</v>
      </c>
      <c r="BH27" s="385">
        <f>AG27-AX27-AY27-BA27-BC27-BE27-BG27</f>
        <v>-1</v>
      </c>
      <c r="BI27" s="386">
        <v>1237716.66666667</v>
      </c>
      <c r="BJ27" s="377">
        <v>0</v>
      </c>
      <c r="BK27" s="377">
        <v>0</v>
      </c>
      <c r="BL27" s="377">
        <v>0</v>
      </c>
      <c r="BM27" s="377"/>
      <c r="BN27" s="377"/>
      <c r="BO27" s="16"/>
      <c r="BP27" s="16"/>
      <c r="BQ27" s="16"/>
      <c r="BR27" s="70">
        <v>0</v>
      </c>
      <c r="BS27" s="70">
        <f>+AX27</f>
        <v>176817</v>
      </c>
      <c r="BT27" s="70">
        <v>0</v>
      </c>
      <c r="BU27" s="70"/>
      <c r="BV27" s="70"/>
      <c r="BW27" s="70">
        <v>0</v>
      </c>
      <c r="BX27" s="70">
        <f>AK27-BS27</f>
        <v>5304500</v>
      </c>
      <c r="BY27" s="70">
        <v>0</v>
      </c>
      <c r="CA27" s="70"/>
      <c r="CB27" s="70"/>
    </row>
    <row r="28" spans="1:80" s="16" customFormat="1" ht="14.45">
      <c r="A28" s="377">
        <v>2024</v>
      </c>
      <c r="B28" s="16">
        <v>8</v>
      </c>
      <c r="C28" s="28">
        <v>45292</v>
      </c>
      <c r="D28" s="28">
        <v>45535</v>
      </c>
      <c r="E28" s="16" t="s">
        <v>443</v>
      </c>
      <c r="F28" s="28">
        <v>45534</v>
      </c>
      <c r="G28" s="16" t="s">
        <v>444</v>
      </c>
      <c r="H28" s="16" t="s">
        <v>445</v>
      </c>
      <c r="I28" s="377" t="s">
        <v>525</v>
      </c>
      <c r="J28" s="28">
        <v>45534</v>
      </c>
      <c r="K28" s="28">
        <v>45657</v>
      </c>
      <c r="L28" s="16" t="s">
        <v>526</v>
      </c>
      <c r="M28" s="16" t="s">
        <v>448</v>
      </c>
      <c r="N28" s="16" t="s">
        <v>449</v>
      </c>
      <c r="O28" s="16">
        <v>1445</v>
      </c>
      <c r="P28" s="16">
        <v>1931</v>
      </c>
      <c r="Q28" s="377" t="s">
        <v>501</v>
      </c>
      <c r="R28" s="377" t="s">
        <v>451</v>
      </c>
      <c r="S28" s="377" t="s">
        <v>377</v>
      </c>
      <c r="T28" s="16" t="s">
        <v>452</v>
      </c>
      <c r="U28" s="16" t="s">
        <v>453</v>
      </c>
      <c r="V28" s="16" t="s">
        <v>502</v>
      </c>
      <c r="W28" s="16" t="s">
        <v>503</v>
      </c>
      <c r="X28" s="377" t="s">
        <v>456</v>
      </c>
      <c r="Y28" s="16" t="s">
        <v>457</v>
      </c>
      <c r="Z28" s="16" t="s">
        <v>377</v>
      </c>
      <c r="AA28" s="16" t="s">
        <v>458</v>
      </c>
      <c r="AB28" s="16" t="s">
        <v>459</v>
      </c>
      <c r="AC28" s="16" t="s">
        <v>527</v>
      </c>
      <c r="AD28" s="16" t="s">
        <v>461</v>
      </c>
      <c r="AE28" s="16" t="s">
        <v>528</v>
      </c>
      <c r="AF28" s="377" t="s">
        <v>529</v>
      </c>
      <c r="AG28" s="378">
        <v>11935125</v>
      </c>
      <c r="AH28" s="33">
        <v>1414533</v>
      </c>
      <c r="AI28" s="378">
        <v>0</v>
      </c>
      <c r="AJ28" s="378">
        <f t="shared" si="2"/>
        <v>10520592</v>
      </c>
      <c r="AK28" s="34">
        <v>5216091</v>
      </c>
      <c r="AL28" s="378">
        <f t="shared" si="3"/>
        <v>5304501</v>
      </c>
      <c r="AM28" s="16">
        <v>5000732801</v>
      </c>
      <c r="AN28" s="16">
        <v>1</v>
      </c>
      <c r="AO28" s="16">
        <v>590327</v>
      </c>
      <c r="AP28" s="16">
        <v>1</v>
      </c>
      <c r="AQ28" s="28">
        <v>45534</v>
      </c>
      <c r="AR28" s="379">
        <v>8232</v>
      </c>
      <c r="AS28" s="380">
        <v>2652250</v>
      </c>
      <c r="AT28" s="381">
        <v>45537</v>
      </c>
      <c r="AU28" s="381">
        <v>45657</v>
      </c>
      <c r="AV28" s="382" t="s">
        <v>255</v>
      </c>
      <c r="AW28" s="383">
        <v>0</v>
      </c>
      <c r="AX28" s="45">
        <v>0</v>
      </c>
      <c r="AY28" s="383">
        <v>2563841.6666666698</v>
      </c>
      <c r="AZ28" s="34">
        <v>2563841</v>
      </c>
      <c r="BA28" s="383">
        <v>2652250</v>
      </c>
      <c r="BB28" s="383"/>
      <c r="BC28" s="383">
        <v>2652250</v>
      </c>
      <c r="BD28" s="383"/>
      <c r="BE28" s="383">
        <v>2652250</v>
      </c>
      <c r="BF28" s="384"/>
      <c r="BG28" s="61">
        <v>1414533.33333333</v>
      </c>
      <c r="BH28" s="385">
        <f>AG28-AW28-AY28-BA28-BC28-BE28-BG28</f>
        <v>0</v>
      </c>
      <c r="BI28" s="386">
        <v>1414533.33333333</v>
      </c>
      <c r="BJ28" s="387">
        <v>11935125</v>
      </c>
      <c r="BK28" s="387">
        <v>11935125</v>
      </c>
      <c r="BL28" s="377">
        <v>0</v>
      </c>
      <c r="BM28" s="377"/>
      <c r="BN28" s="377"/>
      <c r="BR28" s="70">
        <f>+AX28</f>
        <v>0</v>
      </c>
      <c r="BS28" s="70">
        <v>0</v>
      </c>
      <c r="BT28" s="70">
        <v>0</v>
      </c>
      <c r="BU28" s="70"/>
      <c r="BV28" s="70"/>
      <c r="BW28" s="70">
        <f>AK28-BR28</f>
        <v>5216091</v>
      </c>
      <c r="BX28" s="70">
        <v>0</v>
      </c>
      <c r="BY28" s="70">
        <v>0</v>
      </c>
      <c r="CA28" s="70"/>
      <c r="CB28" s="70"/>
    </row>
    <row r="29" spans="1:80" s="16" customFormat="1" ht="14.45">
      <c r="A29" s="377">
        <v>2024</v>
      </c>
      <c r="B29" s="16">
        <v>8</v>
      </c>
      <c r="C29" s="28">
        <v>45292</v>
      </c>
      <c r="D29" s="28">
        <v>45535</v>
      </c>
      <c r="E29" s="16" t="s">
        <v>443</v>
      </c>
      <c r="F29" s="28">
        <v>45534</v>
      </c>
      <c r="G29" s="16" t="s">
        <v>444</v>
      </c>
      <c r="H29" s="16" t="s">
        <v>445</v>
      </c>
      <c r="I29" s="377" t="s">
        <v>525</v>
      </c>
      <c r="J29" s="28">
        <v>45534</v>
      </c>
      <c r="K29" s="28">
        <v>45657</v>
      </c>
      <c r="L29" s="16" t="s">
        <v>526</v>
      </c>
      <c r="M29" s="16" t="s">
        <v>448</v>
      </c>
      <c r="N29" s="16" t="s">
        <v>449</v>
      </c>
      <c r="O29" s="16">
        <v>1445</v>
      </c>
      <c r="P29" s="16">
        <v>1931</v>
      </c>
      <c r="Q29" s="377" t="s">
        <v>501</v>
      </c>
      <c r="R29" s="377" t="s">
        <v>451</v>
      </c>
      <c r="S29" s="377" t="s">
        <v>377</v>
      </c>
      <c r="T29" s="16" t="s">
        <v>452</v>
      </c>
      <c r="U29" s="16" t="s">
        <v>453</v>
      </c>
      <c r="V29" s="16" t="s">
        <v>502</v>
      </c>
      <c r="W29" s="16" t="s">
        <v>503</v>
      </c>
      <c r="X29" s="377" t="s">
        <v>456</v>
      </c>
      <c r="Y29" s="16" t="s">
        <v>457</v>
      </c>
      <c r="Z29" s="16" t="s">
        <v>377</v>
      </c>
      <c r="AA29" s="16" t="s">
        <v>458</v>
      </c>
      <c r="AB29" s="16" t="s">
        <v>459</v>
      </c>
      <c r="AC29" s="16" t="s">
        <v>527</v>
      </c>
      <c r="AD29" s="16" t="s">
        <v>461</v>
      </c>
      <c r="AE29" s="16" t="s">
        <v>528</v>
      </c>
      <c r="AF29" s="377" t="s">
        <v>529</v>
      </c>
      <c r="AG29" s="378">
        <v>11935125</v>
      </c>
      <c r="AH29" s="33">
        <v>1414534</v>
      </c>
      <c r="AI29" s="378">
        <v>0</v>
      </c>
      <c r="AJ29" s="378">
        <f t="shared" si="2"/>
        <v>10520591</v>
      </c>
      <c r="AK29" s="34">
        <v>5216092</v>
      </c>
      <c r="AL29" s="378">
        <f t="shared" si="3"/>
        <v>5304499</v>
      </c>
      <c r="AM29" s="16">
        <v>5000732801</v>
      </c>
      <c r="AN29" s="16">
        <v>2</v>
      </c>
      <c r="AO29" s="16">
        <v>590327</v>
      </c>
      <c r="AP29" s="16">
        <v>2</v>
      </c>
      <c r="AQ29" s="28">
        <v>45534</v>
      </c>
      <c r="AR29" s="379">
        <v>8232</v>
      </c>
      <c r="AS29" s="380">
        <v>2652250</v>
      </c>
      <c r="AT29" s="381">
        <v>45537</v>
      </c>
      <c r="AU29" s="381">
        <v>45657</v>
      </c>
      <c r="AV29" s="382" t="s">
        <v>255</v>
      </c>
      <c r="AW29" s="383">
        <v>0</v>
      </c>
      <c r="AX29" s="45">
        <v>0</v>
      </c>
      <c r="AY29" s="383">
        <v>2563841.6666666698</v>
      </c>
      <c r="AZ29" s="34">
        <v>2563842</v>
      </c>
      <c r="BA29" s="383">
        <v>2652250</v>
      </c>
      <c r="BB29" s="383"/>
      <c r="BC29" s="383">
        <v>2652250</v>
      </c>
      <c r="BD29" s="383"/>
      <c r="BE29" s="383">
        <v>2652250</v>
      </c>
      <c r="BF29" s="384"/>
      <c r="BG29" s="61">
        <v>1414533.33333333</v>
      </c>
      <c r="BH29" s="385">
        <f>AG29-AW29-AY29-BA29-BC29-BE29-BG29</f>
        <v>0</v>
      </c>
      <c r="BI29" s="386">
        <v>1414533.33333333</v>
      </c>
      <c r="BJ29" s="377">
        <v>0</v>
      </c>
      <c r="BK29" s="377">
        <v>0</v>
      </c>
      <c r="BL29" s="377">
        <v>0</v>
      </c>
      <c r="BM29" s="377"/>
      <c r="BN29" s="377"/>
      <c r="BR29" s="70">
        <v>0</v>
      </c>
      <c r="BS29" s="70">
        <f>+AX29</f>
        <v>0</v>
      </c>
      <c r="BT29" s="70">
        <v>0</v>
      </c>
      <c r="BU29" s="70"/>
      <c r="BV29" s="70"/>
      <c r="BW29" s="70">
        <v>0</v>
      </c>
      <c r="BX29" s="70">
        <f>AK29-BS29</f>
        <v>5216092</v>
      </c>
      <c r="BY29" s="70">
        <v>0</v>
      </c>
      <c r="CA29" s="70"/>
      <c r="CB29" s="70"/>
    </row>
    <row r="30" spans="1:80" s="19" customFormat="1" ht="14.45">
      <c r="A30" s="408">
        <v>2024</v>
      </c>
      <c r="B30" s="16">
        <v>8</v>
      </c>
      <c r="C30" s="28">
        <v>45292</v>
      </c>
      <c r="D30" s="28">
        <v>45535</v>
      </c>
      <c r="E30" s="16" t="s">
        <v>443</v>
      </c>
      <c r="F30" s="28">
        <v>45533</v>
      </c>
      <c r="G30" s="16" t="s">
        <v>444</v>
      </c>
      <c r="H30" s="16" t="s">
        <v>445</v>
      </c>
      <c r="I30" s="408" t="s">
        <v>530</v>
      </c>
      <c r="J30" s="28">
        <v>45532</v>
      </c>
      <c r="K30" s="28">
        <v>45657</v>
      </c>
      <c r="L30" s="16" t="s">
        <v>517</v>
      </c>
      <c r="M30" s="16" t="s">
        <v>448</v>
      </c>
      <c r="N30" s="16" t="s">
        <v>449</v>
      </c>
      <c r="O30" s="16">
        <v>1449</v>
      </c>
      <c r="P30" s="16">
        <v>1917</v>
      </c>
      <c r="Q30" s="408" t="s">
        <v>501</v>
      </c>
      <c r="R30" s="408" t="s">
        <v>451</v>
      </c>
      <c r="S30" s="408" t="s">
        <v>377</v>
      </c>
      <c r="T30" s="16" t="s">
        <v>452</v>
      </c>
      <c r="U30" s="16" t="s">
        <v>453</v>
      </c>
      <c r="V30" s="16" t="s">
        <v>502</v>
      </c>
      <c r="W30" s="16" t="s">
        <v>503</v>
      </c>
      <c r="X30" s="408" t="s">
        <v>456</v>
      </c>
      <c r="Y30" s="16" t="s">
        <v>457</v>
      </c>
      <c r="Z30" s="16" t="s">
        <v>377</v>
      </c>
      <c r="AA30" s="16" t="s">
        <v>458</v>
      </c>
      <c r="AB30" s="16" t="s">
        <v>459</v>
      </c>
      <c r="AC30" s="16" t="s">
        <v>531</v>
      </c>
      <c r="AD30" s="16" t="s">
        <v>461</v>
      </c>
      <c r="AE30" s="16" t="s">
        <v>532</v>
      </c>
      <c r="AF30" s="408" t="s">
        <v>533</v>
      </c>
      <c r="AG30" s="409">
        <v>11935125</v>
      </c>
      <c r="AH30" s="33">
        <v>1149308</v>
      </c>
      <c r="AI30" s="409">
        <v>0</v>
      </c>
      <c r="AJ30" s="378">
        <f t="shared" si="2"/>
        <v>10785817</v>
      </c>
      <c r="AK30" s="34">
        <v>5481316</v>
      </c>
      <c r="AL30" s="378">
        <f t="shared" si="3"/>
        <v>5304501</v>
      </c>
      <c r="AM30" s="16">
        <v>5000732015</v>
      </c>
      <c r="AN30" s="16">
        <v>1</v>
      </c>
      <c r="AO30" s="16">
        <v>590336</v>
      </c>
      <c r="AP30" s="16">
        <v>1</v>
      </c>
      <c r="AQ30" s="28">
        <v>45533</v>
      </c>
      <c r="AR30" s="410">
        <v>8232</v>
      </c>
      <c r="AS30" s="411">
        <v>2652250</v>
      </c>
      <c r="AT30" s="412">
        <v>45533</v>
      </c>
      <c r="AU30" s="412">
        <v>45657</v>
      </c>
      <c r="AV30" s="413" t="s">
        <v>255</v>
      </c>
      <c r="AW30" s="414">
        <v>88408.333333333299</v>
      </c>
      <c r="AX30" s="45">
        <v>176816</v>
      </c>
      <c r="AY30" s="414">
        <v>2652250</v>
      </c>
      <c r="AZ30" s="414">
        <v>2652250</v>
      </c>
      <c r="BA30" s="414">
        <v>2652250</v>
      </c>
      <c r="BB30" s="414"/>
      <c r="BC30" s="414">
        <v>2652250</v>
      </c>
      <c r="BD30" s="414"/>
      <c r="BE30" s="414">
        <v>2652250</v>
      </c>
      <c r="BF30" s="415"/>
      <c r="BG30" s="60">
        <f>AH30</f>
        <v>1149308</v>
      </c>
      <c r="BH30" s="385">
        <f>AG30-AX30-AY30-BA30-BC30-BE30-BG30</f>
        <v>1</v>
      </c>
      <c r="BI30" s="416">
        <v>1237716.66666667</v>
      </c>
      <c r="BJ30" s="387">
        <v>11935125</v>
      </c>
      <c r="BK30" s="387">
        <v>11935125</v>
      </c>
      <c r="BL30" s="408">
        <v>0</v>
      </c>
      <c r="BM30" s="408"/>
      <c r="BN30" s="408"/>
      <c r="BR30" s="70">
        <f>+AX30</f>
        <v>176816</v>
      </c>
      <c r="BS30" s="70">
        <v>0</v>
      </c>
      <c r="BT30" s="70">
        <v>0</v>
      </c>
      <c r="BU30" s="70"/>
      <c r="BV30" s="70"/>
      <c r="BW30" s="70">
        <f>AK30-BR30</f>
        <v>5304500</v>
      </c>
      <c r="BX30" s="70">
        <v>0</v>
      </c>
      <c r="BY30" s="70">
        <v>0</v>
      </c>
      <c r="CA30" s="70"/>
      <c r="CB30" s="70"/>
    </row>
    <row r="31" spans="1:80" s="19" customFormat="1" ht="14.45">
      <c r="A31" s="408">
        <v>2024</v>
      </c>
      <c r="B31" s="16">
        <v>8</v>
      </c>
      <c r="C31" s="28">
        <v>45292</v>
      </c>
      <c r="D31" s="28">
        <v>45535</v>
      </c>
      <c r="E31" s="16" t="s">
        <v>443</v>
      </c>
      <c r="F31" s="28">
        <v>45533</v>
      </c>
      <c r="G31" s="16" t="s">
        <v>444</v>
      </c>
      <c r="H31" s="16" t="s">
        <v>445</v>
      </c>
      <c r="I31" s="408" t="s">
        <v>530</v>
      </c>
      <c r="J31" s="28">
        <v>45532</v>
      </c>
      <c r="K31" s="28">
        <v>45657</v>
      </c>
      <c r="L31" s="16" t="s">
        <v>517</v>
      </c>
      <c r="M31" s="16" t="s">
        <v>448</v>
      </c>
      <c r="N31" s="16" t="s">
        <v>449</v>
      </c>
      <c r="O31" s="16">
        <v>1449</v>
      </c>
      <c r="P31" s="16">
        <v>1917</v>
      </c>
      <c r="Q31" s="408" t="s">
        <v>501</v>
      </c>
      <c r="R31" s="408" t="s">
        <v>451</v>
      </c>
      <c r="S31" s="408" t="s">
        <v>377</v>
      </c>
      <c r="T31" s="16" t="s">
        <v>452</v>
      </c>
      <c r="U31" s="16" t="s">
        <v>453</v>
      </c>
      <c r="V31" s="16" t="s">
        <v>502</v>
      </c>
      <c r="W31" s="16" t="s">
        <v>503</v>
      </c>
      <c r="X31" s="408" t="s">
        <v>456</v>
      </c>
      <c r="Y31" s="16" t="s">
        <v>457</v>
      </c>
      <c r="Z31" s="16" t="s">
        <v>377</v>
      </c>
      <c r="AA31" s="16" t="s">
        <v>458</v>
      </c>
      <c r="AB31" s="16" t="s">
        <v>459</v>
      </c>
      <c r="AC31" s="16" t="s">
        <v>531</v>
      </c>
      <c r="AD31" s="16" t="s">
        <v>461</v>
      </c>
      <c r="AE31" s="16" t="s">
        <v>532</v>
      </c>
      <c r="AF31" s="408" t="s">
        <v>533</v>
      </c>
      <c r="AG31" s="409">
        <v>11935125</v>
      </c>
      <c r="AH31" s="33">
        <v>1149309</v>
      </c>
      <c r="AI31" s="409">
        <v>0</v>
      </c>
      <c r="AJ31" s="378">
        <f t="shared" si="2"/>
        <v>10785816</v>
      </c>
      <c r="AK31" s="34">
        <v>5481317</v>
      </c>
      <c r="AL31" s="378">
        <f t="shared" si="3"/>
        <v>5304499</v>
      </c>
      <c r="AM31" s="16">
        <v>5000732015</v>
      </c>
      <c r="AN31" s="16">
        <v>2</v>
      </c>
      <c r="AO31" s="16">
        <v>590336</v>
      </c>
      <c r="AP31" s="16">
        <v>2</v>
      </c>
      <c r="AQ31" s="28">
        <v>45533</v>
      </c>
      <c r="AR31" s="410">
        <v>8232</v>
      </c>
      <c r="AS31" s="411">
        <v>2652250</v>
      </c>
      <c r="AT31" s="412">
        <v>45533</v>
      </c>
      <c r="AU31" s="412">
        <v>45657</v>
      </c>
      <c r="AV31" s="413" t="s">
        <v>255</v>
      </c>
      <c r="AW31" s="414">
        <v>88408.333333333299</v>
      </c>
      <c r="AX31" s="45">
        <v>176817</v>
      </c>
      <c r="AY31" s="414">
        <v>2652250</v>
      </c>
      <c r="AZ31" s="414">
        <v>2652250</v>
      </c>
      <c r="BA31" s="414">
        <v>2652250</v>
      </c>
      <c r="BB31" s="414"/>
      <c r="BC31" s="414">
        <v>2652250</v>
      </c>
      <c r="BD31" s="414"/>
      <c r="BE31" s="414">
        <v>2652250</v>
      </c>
      <c r="BF31" s="415"/>
      <c r="BG31" s="60">
        <f>AH31</f>
        <v>1149309</v>
      </c>
      <c r="BH31" s="385">
        <f>AG31-AX31-AY31-BA31-BC31-BE31-BG31</f>
        <v>-1</v>
      </c>
      <c r="BI31" s="416">
        <v>1237716.66666667</v>
      </c>
      <c r="BJ31" s="408">
        <v>0</v>
      </c>
      <c r="BK31" s="408">
        <v>0</v>
      </c>
      <c r="BL31" s="408">
        <v>0</v>
      </c>
      <c r="BM31" s="408"/>
      <c r="BN31" s="408"/>
      <c r="BR31" s="70">
        <v>0</v>
      </c>
      <c r="BS31" s="70">
        <f>+AX31</f>
        <v>176817</v>
      </c>
      <c r="BT31" s="70">
        <v>0</v>
      </c>
      <c r="BU31" s="70"/>
      <c r="BV31" s="70"/>
      <c r="BW31" s="70">
        <v>0</v>
      </c>
      <c r="BX31" s="70">
        <f>AK31-BS31</f>
        <v>5304500</v>
      </c>
      <c r="BY31" s="70">
        <v>0</v>
      </c>
      <c r="CA31" s="70"/>
      <c r="CB31" s="70"/>
    </row>
    <row r="32" spans="1:80" s="16" customFormat="1" ht="14.45">
      <c r="A32" s="377">
        <v>2024</v>
      </c>
      <c r="B32" s="16">
        <v>8</v>
      </c>
      <c r="C32" s="28">
        <v>45292</v>
      </c>
      <c r="D32" s="28">
        <v>45535</v>
      </c>
      <c r="E32" s="16" t="s">
        <v>443</v>
      </c>
      <c r="F32" s="28">
        <v>45533</v>
      </c>
      <c r="G32" s="16" t="s">
        <v>444</v>
      </c>
      <c r="H32" s="16" t="s">
        <v>445</v>
      </c>
      <c r="I32" s="377" t="s">
        <v>534</v>
      </c>
      <c r="J32" s="28">
        <v>45532</v>
      </c>
      <c r="K32" s="28">
        <v>45657</v>
      </c>
      <c r="L32" s="16" t="s">
        <v>517</v>
      </c>
      <c r="M32" s="16" t="s">
        <v>448</v>
      </c>
      <c r="N32" s="16" t="s">
        <v>449</v>
      </c>
      <c r="O32" s="16">
        <v>1446</v>
      </c>
      <c r="P32" s="16">
        <v>1916</v>
      </c>
      <c r="Q32" s="377" t="s">
        <v>501</v>
      </c>
      <c r="R32" s="377" t="s">
        <v>451</v>
      </c>
      <c r="S32" s="377" t="s">
        <v>377</v>
      </c>
      <c r="T32" s="16" t="s">
        <v>452</v>
      </c>
      <c r="U32" s="16" t="s">
        <v>453</v>
      </c>
      <c r="V32" s="16" t="s">
        <v>502</v>
      </c>
      <c r="W32" s="16" t="s">
        <v>503</v>
      </c>
      <c r="X32" s="377" t="s">
        <v>456</v>
      </c>
      <c r="Y32" s="16" t="s">
        <v>457</v>
      </c>
      <c r="Z32" s="16" t="s">
        <v>377</v>
      </c>
      <c r="AA32" s="16" t="s">
        <v>458</v>
      </c>
      <c r="AB32" s="16" t="s">
        <v>459</v>
      </c>
      <c r="AC32" s="16" t="s">
        <v>535</v>
      </c>
      <c r="AD32" s="16" t="s">
        <v>461</v>
      </c>
      <c r="AE32" s="16" t="s">
        <v>536</v>
      </c>
      <c r="AF32" s="377" t="s">
        <v>537</v>
      </c>
      <c r="AG32" s="378">
        <v>11935125</v>
      </c>
      <c r="AH32" s="33">
        <v>1414533</v>
      </c>
      <c r="AI32" s="378">
        <v>0</v>
      </c>
      <c r="AJ32" s="378">
        <f t="shared" si="2"/>
        <v>10520592</v>
      </c>
      <c r="AK32" s="34">
        <v>5216091</v>
      </c>
      <c r="AL32" s="378">
        <f t="shared" si="3"/>
        <v>5304501</v>
      </c>
      <c r="AM32" s="16">
        <v>5000732012</v>
      </c>
      <c r="AN32" s="16">
        <v>1</v>
      </c>
      <c r="AO32" s="16">
        <v>590330</v>
      </c>
      <c r="AP32" s="16">
        <v>1</v>
      </c>
      <c r="AQ32" s="28">
        <v>45533</v>
      </c>
      <c r="AR32" s="379">
        <v>8232</v>
      </c>
      <c r="AS32" s="380">
        <v>2652250</v>
      </c>
      <c r="AT32" s="381">
        <v>45537</v>
      </c>
      <c r="AU32" s="381">
        <v>45657</v>
      </c>
      <c r="AV32" s="382" t="s">
        <v>255</v>
      </c>
      <c r="AW32" s="383">
        <v>0</v>
      </c>
      <c r="AX32" s="45">
        <v>0</v>
      </c>
      <c r="AY32" s="383">
        <v>2563841.6666666698</v>
      </c>
      <c r="AZ32" s="34">
        <v>2563841</v>
      </c>
      <c r="BA32" s="383">
        <v>2652250</v>
      </c>
      <c r="BB32" s="383"/>
      <c r="BC32" s="383">
        <v>2652250</v>
      </c>
      <c r="BD32" s="383"/>
      <c r="BE32" s="383">
        <v>2652250</v>
      </c>
      <c r="BF32" s="384"/>
      <c r="BG32" s="61">
        <v>1414533.33333333</v>
      </c>
      <c r="BH32" s="385">
        <f>AG32-AW32-AY32-BA32-BC32-BE32-BG32</f>
        <v>0</v>
      </c>
      <c r="BI32" s="386">
        <v>1414533.33333333</v>
      </c>
      <c r="BJ32" s="387">
        <v>11935125</v>
      </c>
      <c r="BK32" s="387">
        <v>11935125</v>
      </c>
      <c r="BL32" s="377">
        <v>0</v>
      </c>
      <c r="BM32" s="377"/>
      <c r="BN32" s="377"/>
      <c r="BR32" s="70">
        <f>+AX32</f>
        <v>0</v>
      </c>
      <c r="BS32" s="70">
        <v>0</v>
      </c>
      <c r="BT32" s="70">
        <v>0</v>
      </c>
      <c r="BU32" s="70"/>
      <c r="BV32" s="70"/>
      <c r="BW32" s="70">
        <f>AK32-BR32</f>
        <v>5216091</v>
      </c>
      <c r="BX32" s="70">
        <v>0</v>
      </c>
      <c r="BY32" s="70">
        <v>0</v>
      </c>
      <c r="CA32" s="70"/>
      <c r="CB32" s="70"/>
    </row>
    <row r="33" spans="1:81" s="16" customFormat="1" ht="14.45">
      <c r="A33" s="377">
        <v>2024</v>
      </c>
      <c r="B33" s="16">
        <v>8</v>
      </c>
      <c r="C33" s="28">
        <v>45292</v>
      </c>
      <c r="D33" s="28">
        <v>45535</v>
      </c>
      <c r="E33" s="16" t="s">
        <v>443</v>
      </c>
      <c r="F33" s="28">
        <v>45533</v>
      </c>
      <c r="G33" s="16" t="s">
        <v>444</v>
      </c>
      <c r="H33" s="16" t="s">
        <v>445</v>
      </c>
      <c r="I33" s="377" t="s">
        <v>534</v>
      </c>
      <c r="J33" s="28">
        <v>45532</v>
      </c>
      <c r="K33" s="28">
        <v>45657</v>
      </c>
      <c r="L33" s="16" t="s">
        <v>517</v>
      </c>
      <c r="M33" s="16" t="s">
        <v>448</v>
      </c>
      <c r="N33" s="16" t="s">
        <v>449</v>
      </c>
      <c r="O33" s="16">
        <v>1446</v>
      </c>
      <c r="P33" s="16">
        <v>1916</v>
      </c>
      <c r="Q33" s="377" t="s">
        <v>501</v>
      </c>
      <c r="R33" s="377" t="s">
        <v>451</v>
      </c>
      <c r="S33" s="377" t="s">
        <v>377</v>
      </c>
      <c r="T33" s="16" t="s">
        <v>452</v>
      </c>
      <c r="U33" s="16" t="s">
        <v>453</v>
      </c>
      <c r="V33" s="16" t="s">
        <v>502</v>
      </c>
      <c r="W33" s="16" t="s">
        <v>503</v>
      </c>
      <c r="X33" s="377" t="s">
        <v>456</v>
      </c>
      <c r="Y33" s="16" t="s">
        <v>457</v>
      </c>
      <c r="Z33" s="16" t="s">
        <v>377</v>
      </c>
      <c r="AA33" s="16" t="s">
        <v>458</v>
      </c>
      <c r="AB33" s="16" t="s">
        <v>459</v>
      </c>
      <c r="AC33" s="16" t="s">
        <v>535</v>
      </c>
      <c r="AD33" s="16" t="s">
        <v>461</v>
      </c>
      <c r="AE33" s="16" t="s">
        <v>536</v>
      </c>
      <c r="AF33" s="377" t="s">
        <v>537</v>
      </c>
      <c r="AG33" s="378">
        <v>11935125</v>
      </c>
      <c r="AH33" s="33">
        <v>1414534</v>
      </c>
      <c r="AI33" s="378">
        <v>0</v>
      </c>
      <c r="AJ33" s="378">
        <f t="shared" si="2"/>
        <v>10520591</v>
      </c>
      <c r="AK33" s="34">
        <v>5216092</v>
      </c>
      <c r="AL33" s="378">
        <f t="shared" si="3"/>
        <v>5304499</v>
      </c>
      <c r="AM33" s="16">
        <v>5000732012</v>
      </c>
      <c r="AN33" s="16">
        <v>2</v>
      </c>
      <c r="AO33" s="16">
        <v>590330</v>
      </c>
      <c r="AP33" s="16">
        <v>2</v>
      </c>
      <c r="AQ33" s="28">
        <v>45533</v>
      </c>
      <c r="AR33" s="379">
        <v>8232</v>
      </c>
      <c r="AS33" s="380">
        <v>2652250</v>
      </c>
      <c r="AT33" s="381">
        <v>45537</v>
      </c>
      <c r="AU33" s="381">
        <v>45657</v>
      </c>
      <c r="AV33" s="382" t="s">
        <v>255</v>
      </c>
      <c r="AW33" s="383">
        <v>0</v>
      </c>
      <c r="AX33" s="45">
        <v>0</v>
      </c>
      <c r="AY33" s="383">
        <v>2563841.6666666698</v>
      </c>
      <c r="AZ33" s="34">
        <v>2563842</v>
      </c>
      <c r="BA33" s="383">
        <v>2652250</v>
      </c>
      <c r="BB33" s="383"/>
      <c r="BC33" s="383">
        <v>2652250</v>
      </c>
      <c r="BD33" s="383"/>
      <c r="BE33" s="383">
        <v>2652250</v>
      </c>
      <c r="BF33" s="384"/>
      <c r="BG33" s="61">
        <v>1414533.33333333</v>
      </c>
      <c r="BH33" s="385">
        <f>AG33-AW33-AY33-BA33-BC33-BE33-BG33</f>
        <v>0</v>
      </c>
      <c r="BI33" s="386">
        <v>1414533.33333333</v>
      </c>
      <c r="BJ33" s="377">
        <v>0</v>
      </c>
      <c r="BK33" s="377">
        <v>0</v>
      </c>
      <c r="BL33" s="377">
        <v>0</v>
      </c>
      <c r="BM33" s="377"/>
      <c r="BN33" s="377"/>
      <c r="BR33" s="70">
        <v>0</v>
      </c>
      <c r="BS33" s="70">
        <f>+AX33</f>
        <v>0</v>
      </c>
      <c r="BT33" s="70">
        <v>0</v>
      </c>
      <c r="BU33" s="70"/>
      <c r="BV33" s="70"/>
      <c r="BW33" s="70">
        <v>0</v>
      </c>
      <c r="BX33" s="70">
        <f>AK33-BS33</f>
        <v>5216092</v>
      </c>
      <c r="BY33" s="70">
        <v>0</v>
      </c>
      <c r="CA33" s="70"/>
      <c r="CB33" s="70"/>
    </row>
    <row r="34" spans="1:81" s="19" customFormat="1" ht="14.45">
      <c r="A34" s="377">
        <v>2024</v>
      </c>
      <c r="B34" s="16">
        <v>8</v>
      </c>
      <c r="C34" s="28">
        <v>45292</v>
      </c>
      <c r="D34" s="28">
        <v>45535</v>
      </c>
      <c r="E34" s="16" t="s">
        <v>443</v>
      </c>
      <c r="F34" s="28">
        <v>45533</v>
      </c>
      <c r="G34" s="16" t="s">
        <v>444</v>
      </c>
      <c r="H34" s="16" t="s">
        <v>445</v>
      </c>
      <c r="I34" s="377" t="s">
        <v>538</v>
      </c>
      <c r="J34" s="28">
        <v>45532</v>
      </c>
      <c r="K34" s="28">
        <v>45657</v>
      </c>
      <c r="L34" s="16" t="s">
        <v>517</v>
      </c>
      <c r="M34" s="16" t="s">
        <v>448</v>
      </c>
      <c r="N34" s="16" t="s">
        <v>449</v>
      </c>
      <c r="O34" s="16">
        <v>1452</v>
      </c>
      <c r="P34" s="16">
        <v>1918</v>
      </c>
      <c r="Q34" s="377" t="s">
        <v>539</v>
      </c>
      <c r="R34" s="377" t="s">
        <v>451</v>
      </c>
      <c r="S34" s="377" t="s">
        <v>377</v>
      </c>
      <c r="T34" s="16" t="s">
        <v>452</v>
      </c>
      <c r="U34" s="16" t="s">
        <v>453</v>
      </c>
      <c r="V34" s="16" t="s">
        <v>502</v>
      </c>
      <c r="W34" s="16" t="s">
        <v>503</v>
      </c>
      <c r="X34" s="377" t="s">
        <v>456</v>
      </c>
      <c r="Y34" s="16" t="s">
        <v>457</v>
      </c>
      <c r="Z34" s="16" t="s">
        <v>377</v>
      </c>
      <c r="AA34" s="16" t="s">
        <v>458</v>
      </c>
      <c r="AB34" s="16" t="s">
        <v>459</v>
      </c>
      <c r="AC34" s="16" t="s">
        <v>540</v>
      </c>
      <c r="AD34" s="16" t="s">
        <v>461</v>
      </c>
      <c r="AE34" s="16" t="s">
        <v>541</v>
      </c>
      <c r="AF34" s="377" t="s">
        <v>542</v>
      </c>
      <c r="AG34" s="378">
        <v>11935125</v>
      </c>
      <c r="AH34" s="33">
        <v>1149308</v>
      </c>
      <c r="AI34" s="378">
        <v>0</v>
      </c>
      <c r="AJ34" s="378">
        <f t="shared" si="2"/>
        <v>10785817</v>
      </c>
      <c r="AK34" s="34">
        <v>5481316</v>
      </c>
      <c r="AL34" s="378">
        <f t="shared" si="3"/>
        <v>5304501</v>
      </c>
      <c r="AM34" s="16">
        <v>5000732018</v>
      </c>
      <c r="AN34" s="16">
        <v>1</v>
      </c>
      <c r="AO34" s="16">
        <v>590351</v>
      </c>
      <c r="AP34" s="16">
        <v>1</v>
      </c>
      <c r="AQ34" s="28">
        <v>45533</v>
      </c>
      <c r="AR34" s="379">
        <v>8232</v>
      </c>
      <c r="AS34" s="380">
        <v>2652250</v>
      </c>
      <c r="AT34" s="381">
        <v>45533</v>
      </c>
      <c r="AU34" s="381">
        <v>45657</v>
      </c>
      <c r="AV34" s="382" t="s">
        <v>255</v>
      </c>
      <c r="AW34" s="383">
        <v>88408.333333333299</v>
      </c>
      <c r="AX34" s="45">
        <v>176816</v>
      </c>
      <c r="AY34" s="383">
        <v>2652250</v>
      </c>
      <c r="AZ34" s="383">
        <v>2652250</v>
      </c>
      <c r="BA34" s="383">
        <v>2652250</v>
      </c>
      <c r="BB34" s="383"/>
      <c r="BC34" s="383">
        <v>2652250</v>
      </c>
      <c r="BD34" s="383"/>
      <c r="BE34" s="383">
        <v>2652250</v>
      </c>
      <c r="BF34" s="384"/>
      <c r="BG34" s="60">
        <f>AH34</f>
        <v>1149308</v>
      </c>
      <c r="BH34" s="385">
        <f>AG34-AX34-AY34-BA34-BC34-BE34-BG34</f>
        <v>1</v>
      </c>
      <c r="BI34" s="386">
        <v>1237716.66666667</v>
      </c>
      <c r="BJ34" s="387">
        <v>11935125</v>
      </c>
      <c r="BK34" s="387">
        <v>11935125</v>
      </c>
      <c r="BL34" s="377">
        <v>0</v>
      </c>
      <c r="BM34" s="377"/>
      <c r="BN34" s="377"/>
      <c r="BO34" s="16"/>
      <c r="BP34" s="16"/>
      <c r="BQ34" s="16"/>
      <c r="BR34" s="70">
        <f>+AX34</f>
        <v>176816</v>
      </c>
      <c r="BS34" s="70">
        <v>0</v>
      </c>
      <c r="BT34" s="70">
        <v>0</v>
      </c>
      <c r="BU34" s="70"/>
      <c r="BV34" s="70"/>
      <c r="BW34" s="70">
        <f>AK34-BR34</f>
        <v>5304500</v>
      </c>
      <c r="BX34" s="70">
        <v>0</v>
      </c>
      <c r="BY34" s="70">
        <v>0</v>
      </c>
      <c r="CA34" s="70"/>
      <c r="CB34" s="70"/>
    </row>
    <row r="35" spans="1:81" s="19" customFormat="1" ht="14.45">
      <c r="A35" s="377">
        <v>2024</v>
      </c>
      <c r="B35" s="16">
        <v>8</v>
      </c>
      <c r="C35" s="28">
        <v>45292</v>
      </c>
      <c r="D35" s="28">
        <v>45535</v>
      </c>
      <c r="E35" s="16" t="s">
        <v>443</v>
      </c>
      <c r="F35" s="28">
        <v>45533</v>
      </c>
      <c r="G35" s="16" t="s">
        <v>444</v>
      </c>
      <c r="H35" s="16" t="s">
        <v>445</v>
      </c>
      <c r="I35" s="377" t="s">
        <v>538</v>
      </c>
      <c r="J35" s="28">
        <v>45532</v>
      </c>
      <c r="K35" s="28">
        <v>45657</v>
      </c>
      <c r="L35" s="16" t="s">
        <v>517</v>
      </c>
      <c r="M35" s="16" t="s">
        <v>448</v>
      </c>
      <c r="N35" s="16" t="s">
        <v>449</v>
      </c>
      <c r="O35" s="16">
        <v>1452</v>
      </c>
      <c r="P35" s="16">
        <v>1918</v>
      </c>
      <c r="Q35" s="377" t="s">
        <v>539</v>
      </c>
      <c r="R35" s="377" t="s">
        <v>451</v>
      </c>
      <c r="S35" s="377" t="s">
        <v>377</v>
      </c>
      <c r="T35" s="16" t="s">
        <v>452</v>
      </c>
      <c r="U35" s="16" t="s">
        <v>453</v>
      </c>
      <c r="V35" s="16" t="s">
        <v>502</v>
      </c>
      <c r="W35" s="16" t="s">
        <v>503</v>
      </c>
      <c r="X35" s="377" t="s">
        <v>456</v>
      </c>
      <c r="Y35" s="16" t="s">
        <v>457</v>
      </c>
      <c r="Z35" s="16" t="s">
        <v>377</v>
      </c>
      <c r="AA35" s="16" t="s">
        <v>458</v>
      </c>
      <c r="AB35" s="16" t="s">
        <v>459</v>
      </c>
      <c r="AC35" s="16" t="s">
        <v>540</v>
      </c>
      <c r="AD35" s="16" t="s">
        <v>461</v>
      </c>
      <c r="AE35" s="16" t="s">
        <v>541</v>
      </c>
      <c r="AF35" s="377" t="s">
        <v>542</v>
      </c>
      <c r="AG35" s="378">
        <v>11935125</v>
      </c>
      <c r="AH35" s="33">
        <v>1149309</v>
      </c>
      <c r="AI35" s="378">
        <v>0</v>
      </c>
      <c r="AJ35" s="378">
        <f t="shared" si="2"/>
        <v>10785816</v>
      </c>
      <c r="AK35" s="34">
        <v>5481317</v>
      </c>
      <c r="AL35" s="378">
        <f t="shared" si="3"/>
        <v>5304499</v>
      </c>
      <c r="AM35" s="16">
        <v>5000732018</v>
      </c>
      <c r="AN35" s="16">
        <v>2</v>
      </c>
      <c r="AO35" s="16">
        <v>590351</v>
      </c>
      <c r="AP35" s="16">
        <v>2</v>
      </c>
      <c r="AQ35" s="28">
        <v>45533</v>
      </c>
      <c r="AR35" s="379">
        <v>8232</v>
      </c>
      <c r="AS35" s="380">
        <v>2652250</v>
      </c>
      <c r="AT35" s="381">
        <v>45533</v>
      </c>
      <c r="AU35" s="381">
        <v>45657</v>
      </c>
      <c r="AV35" s="382" t="s">
        <v>255</v>
      </c>
      <c r="AW35" s="383">
        <v>88408.333333333299</v>
      </c>
      <c r="AX35" s="45">
        <v>176817</v>
      </c>
      <c r="AY35" s="383">
        <v>2652250</v>
      </c>
      <c r="AZ35" s="383">
        <v>2652250</v>
      </c>
      <c r="BA35" s="383">
        <v>2652250</v>
      </c>
      <c r="BB35" s="383"/>
      <c r="BC35" s="383">
        <v>2652250</v>
      </c>
      <c r="BD35" s="383"/>
      <c r="BE35" s="383">
        <v>2652250</v>
      </c>
      <c r="BF35" s="384"/>
      <c r="BG35" s="60">
        <f>AH35</f>
        <v>1149309</v>
      </c>
      <c r="BH35" s="385">
        <f>AG35-AX35-AY35-BA35-BC35-BE35-BG35</f>
        <v>-1</v>
      </c>
      <c r="BI35" s="386">
        <v>1237716.66666667</v>
      </c>
      <c r="BJ35" s="377">
        <v>0</v>
      </c>
      <c r="BK35" s="377">
        <v>0</v>
      </c>
      <c r="BL35" s="377">
        <v>0</v>
      </c>
      <c r="BM35" s="377"/>
      <c r="BN35" s="377"/>
      <c r="BO35" s="16"/>
      <c r="BP35" s="16"/>
      <c r="BQ35" s="16"/>
      <c r="BR35" s="70">
        <v>0</v>
      </c>
      <c r="BS35" s="70">
        <f>+AX35</f>
        <v>176817</v>
      </c>
      <c r="BT35" s="70">
        <v>0</v>
      </c>
      <c r="BU35" s="70"/>
      <c r="BV35" s="70"/>
      <c r="BW35" s="70">
        <v>0</v>
      </c>
      <c r="BX35" s="70">
        <f>AK35-BS35</f>
        <v>5304500</v>
      </c>
      <c r="BY35" s="70">
        <v>0</v>
      </c>
      <c r="CA35" s="70"/>
      <c r="CB35" s="70"/>
    </row>
    <row r="36" spans="1:81" s="16" customFormat="1" ht="14.45">
      <c r="A36" s="408">
        <v>2024</v>
      </c>
      <c r="B36" s="16">
        <v>8</v>
      </c>
      <c r="C36" s="28">
        <v>45292</v>
      </c>
      <c r="D36" s="28">
        <v>45535</v>
      </c>
      <c r="E36" s="16" t="s">
        <v>443</v>
      </c>
      <c r="F36" s="28">
        <v>45533</v>
      </c>
      <c r="G36" s="16" t="s">
        <v>444</v>
      </c>
      <c r="H36" s="16" t="s">
        <v>445</v>
      </c>
      <c r="I36" s="408" t="s">
        <v>543</v>
      </c>
      <c r="J36" s="28">
        <v>45532</v>
      </c>
      <c r="K36" s="28">
        <v>45657</v>
      </c>
      <c r="L36" s="16" t="s">
        <v>517</v>
      </c>
      <c r="M36" s="16" t="s">
        <v>448</v>
      </c>
      <c r="N36" s="16" t="s">
        <v>449</v>
      </c>
      <c r="O36" s="16">
        <v>1451</v>
      </c>
      <c r="P36" s="16">
        <v>1919</v>
      </c>
      <c r="Q36" s="408" t="s">
        <v>512</v>
      </c>
      <c r="R36" s="408" t="s">
        <v>451</v>
      </c>
      <c r="S36" s="408" t="s">
        <v>377</v>
      </c>
      <c r="T36" s="16" t="s">
        <v>452</v>
      </c>
      <c r="U36" s="16" t="s">
        <v>453</v>
      </c>
      <c r="V36" s="16" t="s">
        <v>502</v>
      </c>
      <c r="W36" s="16" t="s">
        <v>503</v>
      </c>
      <c r="X36" s="408" t="s">
        <v>456</v>
      </c>
      <c r="Y36" s="16" t="s">
        <v>457</v>
      </c>
      <c r="Z36" s="16" t="s">
        <v>377</v>
      </c>
      <c r="AA36" s="16" t="s">
        <v>458</v>
      </c>
      <c r="AB36" s="16" t="s">
        <v>459</v>
      </c>
      <c r="AC36" s="16" t="s">
        <v>544</v>
      </c>
      <c r="AD36" s="16" t="s">
        <v>461</v>
      </c>
      <c r="AE36" s="16" t="s">
        <v>545</v>
      </c>
      <c r="AF36" s="408" t="s">
        <v>546</v>
      </c>
      <c r="AG36" s="409">
        <v>11935125</v>
      </c>
      <c r="AH36" s="33">
        <v>1414533</v>
      </c>
      <c r="AI36" s="409">
        <v>0</v>
      </c>
      <c r="AJ36" s="378">
        <f t="shared" si="2"/>
        <v>10520592</v>
      </c>
      <c r="AK36" s="34">
        <v>5216091</v>
      </c>
      <c r="AL36" s="378">
        <f t="shared" si="3"/>
        <v>5304501</v>
      </c>
      <c r="AM36" s="16">
        <v>5000732051</v>
      </c>
      <c r="AN36" s="16">
        <v>1</v>
      </c>
      <c r="AO36" s="16">
        <v>590346</v>
      </c>
      <c r="AP36" s="16">
        <v>1</v>
      </c>
      <c r="AQ36" s="28">
        <v>45533</v>
      </c>
      <c r="AR36" s="410">
        <v>8232</v>
      </c>
      <c r="AS36" s="411">
        <v>2652250</v>
      </c>
      <c r="AT36" s="412">
        <v>45537</v>
      </c>
      <c r="AU36" s="412">
        <v>45657</v>
      </c>
      <c r="AV36" s="413" t="s">
        <v>255</v>
      </c>
      <c r="AW36" s="414">
        <v>0</v>
      </c>
      <c r="AX36" s="45">
        <v>0</v>
      </c>
      <c r="AY36" s="414">
        <v>2563841.6666666698</v>
      </c>
      <c r="AZ36" s="34">
        <v>2563841</v>
      </c>
      <c r="BA36" s="414">
        <v>2652250</v>
      </c>
      <c r="BB36" s="414"/>
      <c r="BC36" s="414">
        <v>2652250</v>
      </c>
      <c r="BD36" s="414"/>
      <c r="BE36" s="414">
        <v>2652250</v>
      </c>
      <c r="BF36" s="415"/>
      <c r="BG36" s="61">
        <v>1414533.33333333</v>
      </c>
      <c r="BH36" s="385">
        <f>AG36-AW36-AY36-BA36-BC36-BE36-BG36</f>
        <v>0</v>
      </c>
      <c r="BI36" s="416">
        <v>1414533.33333333</v>
      </c>
      <c r="BJ36" s="387">
        <v>11935125</v>
      </c>
      <c r="BK36" s="387">
        <v>11935125</v>
      </c>
      <c r="BL36" s="408">
        <v>0</v>
      </c>
      <c r="BM36" s="408"/>
      <c r="BN36" s="408"/>
      <c r="BO36" s="19"/>
      <c r="BP36" s="19"/>
      <c r="BQ36" s="19"/>
      <c r="BR36" s="70">
        <f>+AX36</f>
        <v>0</v>
      </c>
      <c r="BS36" s="70">
        <v>0</v>
      </c>
      <c r="BT36" s="70">
        <v>0</v>
      </c>
      <c r="BU36" s="70"/>
      <c r="BV36" s="70"/>
      <c r="BW36" s="70">
        <f>AK36-BR36</f>
        <v>5216091</v>
      </c>
      <c r="BX36" s="70">
        <v>0</v>
      </c>
      <c r="BY36" s="70">
        <v>0</v>
      </c>
      <c r="CA36" s="70"/>
      <c r="CB36" s="70"/>
    </row>
    <row r="37" spans="1:81" s="16" customFormat="1" ht="14.45">
      <c r="A37" s="408">
        <v>2024</v>
      </c>
      <c r="B37" s="16">
        <v>8</v>
      </c>
      <c r="C37" s="28">
        <v>45292</v>
      </c>
      <c r="D37" s="28">
        <v>45535</v>
      </c>
      <c r="E37" s="16" t="s">
        <v>443</v>
      </c>
      <c r="F37" s="28">
        <v>45533</v>
      </c>
      <c r="G37" s="16" t="s">
        <v>444</v>
      </c>
      <c r="H37" s="16" t="s">
        <v>445</v>
      </c>
      <c r="I37" s="408" t="s">
        <v>543</v>
      </c>
      <c r="J37" s="28">
        <v>45532</v>
      </c>
      <c r="K37" s="28">
        <v>45657</v>
      </c>
      <c r="L37" s="16" t="s">
        <v>517</v>
      </c>
      <c r="M37" s="16" t="s">
        <v>448</v>
      </c>
      <c r="N37" s="16" t="s">
        <v>449</v>
      </c>
      <c r="O37" s="16">
        <v>1451</v>
      </c>
      <c r="P37" s="16">
        <v>1919</v>
      </c>
      <c r="Q37" s="408" t="s">
        <v>512</v>
      </c>
      <c r="R37" s="408" t="s">
        <v>451</v>
      </c>
      <c r="S37" s="408" t="s">
        <v>377</v>
      </c>
      <c r="T37" s="16" t="s">
        <v>452</v>
      </c>
      <c r="U37" s="16" t="s">
        <v>453</v>
      </c>
      <c r="V37" s="16" t="s">
        <v>502</v>
      </c>
      <c r="W37" s="16" t="s">
        <v>503</v>
      </c>
      <c r="X37" s="408" t="s">
        <v>456</v>
      </c>
      <c r="Y37" s="16" t="s">
        <v>457</v>
      </c>
      <c r="Z37" s="16" t="s">
        <v>377</v>
      </c>
      <c r="AA37" s="16" t="s">
        <v>458</v>
      </c>
      <c r="AB37" s="16" t="s">
        <v>459</v>
      </c>
      <c r="AC37" s="16" t="s">
        <v>544</v>
      </c>
      <c r="AD37" s="16" t="s">
        <v>461</v>
      </c>
      <c r="AE37" s="16" t="s">
        <v>545</v>
      </c>
      <c r="AF37" s="408" t="s">
        <v>546</v>
      </c>
      <c r="AG37" s="409">
        <v>11935125</v>
      </c>
      <c r="AH37" s="33">
        <v>1414534</v>
      </c>
      <c r="AI37" s="409">
        <v>0</v>
      </c>
      <c r="AJ37" s="378">
        <f t="shared" si="2"/>
        <v>10520591</v>
      </c>
      <c r="AK37" s="34">
        <v>5216092</v>
      </c>
      <c r="AL37" s="378">
        <f t="shared" si="3"/>
        <v>5304499</v>
      </c>
      <c r="AM37" s="16">
        <v>5000732051</v>
      </c>
      <c r="AN37" s="16">
        <v>2</v>
      </c>
      <c r="AO37" s="16">
        <v>590346</v>
      </c>
      <c r="AP37" s="16">
        <v>2</v>
      </c>
      <c r="AQ37" s="28">
        <v>45533</v>
      </c>
      <c r="AR37" s="410">
        <v>8232</v>
      </c>
      <c r="AS37" s="411">
        <v>2652250</v>
      </c>
      <c r="AT37" s="412">
        <v>45537</v>
      </c>
      <c r="AU37" s="412">
        <v>45657</v>
      </c>
      <c r="AV37" s="413" t="s">
        <v>255</v>
      </c>
      <c r="AW37" s="414">
        <v>0</v>
      </c>
      <c r="AX37" s="45">
        <v>0</v>
      </c>
      <c r="AY37" s="414">
        <v>2563841.6666666698</v>
      </c>
      <c r="AZ37" s="34">
        <v>2563842</v>
      </c>
      <c r="BA37" s="414">
        <v>2652250</v>
      </c>
      <c r="BB37" s="414"/>
      <c r="BC37" s="414">
        <v>2652250</v>
      </c>
      <c r="BD37" s="414"/>
      <c r="BE37" s="414">
        <v>2652250</v>
      </c>
      <c r="BF37" s="415"/>
      <c r="BG37" s="61">
        <v>1414533.33333333</v>
      </c>
      <c r="BH37" s="385">
        <f>AG37-AW37-AY37-BA37-BC37-BE37-BG37</f>
        <v>0</v>
      </c>
      <c r="BI37" s="416">
        <v>1414533.33333333</v>
      </c>
      <c r="BJ37" s="408">
        <v>0</v>
      </c>
      <c r="BK37" s="408">
        <v>0</v>
      </c>
      <c r="BL37" s="408">
        <v>0</v>
      </c>
      <c r="BM37" s="408"/>
      <c r="BN37" s="408"/>
      <c r="BO37" s="19"/>
      <c r="BP37" s="19"/>
      <c r="BQ37" s="19"/>
      <c r="BR37" s="70">
        <v>0</v>
      </c>
      <c r="BS37" s="70">
        <f>+AX37</f>
        <v>0</v>
      </c>
      <c r="BT37" s="70">
        <v>0</v>
      </c>
      <c r="BU37" s="70"/>
      <c r="BV37" s="70"/>
      <c r="BW37" s="70">
        <v>0</v>
      </c>
      <c r="BX37" s="70">
        <f>AK37-BS37</f>
        <v>5216092</v>
      </c>
      <c r="BY37" s="70">
        <v>0</v>
      </c>
      <c r="CA37" s="70"/>
      <c r="CB37" s="70"/>
    </row>
    <row r="38" spans="1:81" s="18" customFormat="1">
      <c r="A38" s="428"/>
      <c r="C38" s="30"/>
      <c r="D38" s="30"/>
      <c r="F38" s="30"/>
      <c r="I38" s="428"/>
      <c r="J38" s="30"/>
      <c r="K38" s="30"/>
      <c r="Q38" s="428"/>
      <c r="R38" s="428"/>
      <c r="S38" s="428"/>
      <c r="X38" s="428"/>
      <c r="AF38" s="428"/>
      <c r="AG38" s="429">
        <f>SUM(AG2:AG37)</f>
        <v>463392500</v>
      </c>
      <c r="AH38" s="429">
        <f>SUM(AH2:AH37)</f>
        <v>25140403</v>
      </c>
      <c r="AI38" s="429">
        <f>SUM(AI2:AI37)</f>
        <v>0</v>
      </c>
      <c r="AJ38" s="429">
        <f>SUM(AJ2:AJ37)</f>
        <v>438252097</v>
      </c>
      <c r="AK38" s="429">
        <f>SUM(AK2:AK37)</f>
        <v>245606430</v>
      </c>
      <c r="AL38" s="378">
        <f t="shared" si="3"/>
        <v>192645667</v>
      </c>
      <c r="AQ38" s="30"/>
      <c r="AR38" s="430"/>
      <c r="AS38" s="431"/>
      <c r="AT38" s="432"/>
      <c r="AU38" s="432"/>
      <c r="AV38" s="428"/>
      <c r="AW38" s="429"/>
      <c r="AX38" s="48"/>
      <c r="AY38" s="429"/>
      <c r="AZ38" s="49"/>
      <c r="BA38" s="429"/>
      <c r="BB38" s="429"/>
      <c r="BC38" s="429"/>
      <c r="BD38" s="429"/>
      <c r="BE38" s="429"/>
      <c r="BF38" s="429"/>
      <c r="BG38" s="62"/>
      <c r="BH38" s="399"/>
      <c r="BI38" s="433"/>
      <c r="BJ38" s="428"/>
      <c r="BK38" s="428"/>
      <c r="BL38" s="428"/>
      <c r="BM38" s="428"/>
      <c r="BN38" s="428"/>
      <c r="BO38" s="73"/>
      <c r="BP38" s="73"/>
      <c r="BQ38" s="73"/>
      <c r="BR38" s="74"/>
      <c r="BS38" s="74"/>
      <c r="BT38" s="74"/>
      <c r="BU38" s="74"/>
      <c r="BV38" s="74"/>
      <c r="BW38" s="74"/>
      <c r="BX38" s="74"/>
      <c r="BY38" s="74"/>
      <c r="CA38" s="74"/>
      <c r="CB38" s="74"/>
    </row>
    <row r="39" spans="1:81">
      <c r="AG39" s="23" t="s">
        <v>547</v>
      </c>
      <c r="AH39" s="37">
        <f t="shared" ref="AH39:AL40" si="4">+AH2+AH6+AH9+AH13+AH15+AH18+AH20+AH22+AH24+AH26+AH28+AH30+AH32+AH34+AH36</f>
        <v>12384330</v>
      </c>
      <c r="AI39" s="37">
        <f t="shared" si="4"/>
        <v>0</v>
      </c>
      <c r="AJ39" s="37">
        <f t="shared" si="4"/>
        <v>166155720</v>
      </c>
      <c r="AK39" s="37">
        <f t="shared" si="4"/>
        <v>89930666</v>
      </c>
      <c r="AL39" s="37">
        <f t="shared" si="4"/>
        <v>76225054</v>
      </c>
      <c r="BW39" s="25"/>
      <c r="BX39" s="25"/>
      <c r="BY39" s="25"/>
      <c r="CA39" s="25"/>
      <c r="CB39" s="25"/>
    </row>
    <row r="40" spans="1:81">
      <c r="AG40" s="23" t="s">
        <v>548</v>
      </c>
      <c r="AH40" s="37">
        <f t="shared" si="4"/>
        <v>12384340</v>
      </c>
      <c r="AI40" s="37">
        <f t="shared" si="4"/>
        <v>0</v>
      </c>
      <c r="AJ40" s="37">
        <f t="shared" si="4"/>
        <v>166155710</v>
      </c>
      <c r="AK40" s="37">
        <f t="shared" si="4"/>
        <v>89930677</v>
      </c>
      <c r="AL40" s="37">
        <f t="shared" si="4"/>
        <v>76225033</v>
      </c>
      <c r="BR40" s="75">
        <f>SUM(BR2:BR39)</f>
        <v>10702902</v>
      </c>
      <c r="BS40" s="75">
        <f>SUM(BS2:BS39)</f>
        <v>10702909</v>
      </c>
      <c r="BT40" s="75">
        <f>SUM(BT2:BT39)</f>
        <v>16997887</v>
      </c>
      <c r="BU40" s="75">
        <f>SUM(BR40:BT40)</f>
        <v>38403698</v>
      </c>
      <c r="BV40" s="75"/>
      <c r="BW40" s="75">
        <f>SUM(BW2:BW39)</f>
        <v>79227764</v>
      </c>
      <c r="BX40" s="75">
        <f>SUM(BX2:BX39)</f>
        <v>79227768</v>
      </c>
      <c r="BY40" s="75">
        <f>SUM(BY2:BY39)</f>
        <v>48747200</v>
      </c>
      <c r="BZ40" s="75">
        <f>SUM(BW40:BY40)</f>
        <v>207202732</v>
      </c>
      <c r="CA40" s="75"/>
      <c r="CB40" s="75"/>
      <c r="CC40" s="75"/>
    </row>
    <row r="41" spans="1:81">
      <c r="AG41" s="23" t="s">
        <v>549</v>
      </c>
      <c r="AH41" s="37">
        <f>+AH4+AH5+AH8+AH11+AH12+AH17</f>
        <v>371733</v>
      </c>
      <c r="AI41" s="37">
        <f>+AI4+AI5+AI8+AI11+AI12+AI17</f>
        <v>0</v>
      </c>
      <c r="AJ41" s="37">
        <f>+AJ4+AJ5+AJ8+AJ11+AJ12+AJ17</f>
        <v>105940667</v>
      </c>
      <c r="AK41" s="37">
        <f>+AK4+AK5+AK8+AK11+AK12+AK17</f>
        <v>65745087</v>
      </c>
      <c r="AL41" s="37">
        <f>+AL4+AL5+AL8+AL11+AL12+AL17</f>
        <v>40195580</v>
      </c>
      <c r="BR41" s="75"/>
      <c r="BS41" s="75"/>
      <c r="BT41" s="75"/>
      <c r="BU41" s="75"/>
      <c r="BV41" s="75"/>
      <c r="BW41" s="75"/>
      <c r="BX41" s="75"/>
      <c r="BY41" s="75"/>
      <c r="BZ41" s="75"/>
      <c r="CA41" s="75"/>
      <c r="CB41" s="75"/>
      <c r="CC41" s="75"/>
    </row>
    <row r="42" spans="1:81" s="16" customFormat="1" ht="12">
      <c r="A42" s="377"/>
      <c r="I42" s="377"/>
      <c r="Q42" s="377"/>
      <c r="R42" s="377"/>
      <c r="S42" s="377"/>
      <c r="X42" s="377"/>
      <c r="AF42" s="377">
        <v>8232</v>
      </c>
      <c r="AG42" s="407">
        <f t="shared" ref="AG42:AL42" si="5">+AG2+AG3+AG4+AG5+AG6+AG7+AG8+AG9+AG10+AG11+AG12+AG13+AG14+AG15+AG16+AG17+AG18+AG19+AG20+AG21+AG22+AG23+AG24+AG25+AG26+AG27+AG28+AG29+AG30+AG31+AG32+AG33+AG34+AG35+AG36+AG37</f>
        <v>463392500</v>
      </c>
      <c r="AH42" s="407">
        <f t="shared" si="5"/>
        <v>25140403</v>
      </c>
      <c r="AI42" s="407">
        <f t="shared" si="5"/>
        <v>0</v>
      </c>
      <c r="AJ42" s="407">
        <f t="shared" si="5"/>
        <v>438252097</v>
      </c>
      <c r="AK42" s="407">
        <f t="shared" si="5"/>
        <v>245606430</v>
      </c>
      <c r="AL42" s="407">
        <f t="shared" si="5"/>
        <v>192645667</v>
      </c>
      <c r="AR42" s="434"/>
      <c r="AS42" s="435"/>
      <c r="AT42" s="436"/>
      <c r="AU42" s="436"/>
      <c r="AV42" s="377"/>
      <c r="AW42" s="50">
        <f>+AW2+AW3+AW4+AW5+AW6+AW7+AW8+AW9+AW10+AW11+AW12+AW13+AW14+AW15+AW16+AW17+AW18+AW19+AW20+AW21+AW22+AW23+AW24+AW25+AW26+AW27+AW28+AW29+AW30+AW31+AW32+AW33+AW34+AW35+AW36+AW37</f>
        <v>37696433.333333299</v>
      </c>
      <c r="AX42" s="51">
        <f>+AX2+AX3+AX4+AX5+AX6+AX7+AX8+AX9+AX10+AX11+AX12+AX13+AX14+AX15+AX16+AX17+AX18+AX19+AX20+AX21+AX22+AX23+AX24+AX25+AX26+AX27+AX28+AX29+AX30+AX31+AX32+AX33+AX34+AX35+AX36+AX37</f>
        <v>38403698</v>
      </c>
      <c r="AY42" s="50">
        <f>+AY2+AY3+AY4+AY5+AY6+AY7+AY8+AY9+AY10+AY11+AY12+AY13+AY14+AY15+AY16+AY17+AY18+AY19+AY20+AY21+AY22+AY23+AY24+AY25+AY26+AY27+AY28+AY29+AY30+AY31+AY32+AY33+AY34+AY35+AY36+AY37</f>
        <v>103247733.333333</v>
      </c>
      <c r="AZ42" s="51">
        <f>+AZ2+AZ3+AZ4+AZ5+AZ6+AZ7+AZ8+AZ9+AZ10+AZ11+AZ12+AZ13+AZ14+AZ15+AZ16+AZ17+AZ18+AZ19+AZ20+AZ21+AZ22+AZ23+AZ24+AZ25+AZ26+AZ27+AZ28+AZ29+AZ30+AZ31+AZ32+AZ33+AZ34+AZ35+AZ36+AZ37</f>
        <v>103247732</v>
      </c>
      <c r="BA42" s="50">
        <f>+BA2+BA3+BA4+BA5+BA6+BA7+BA8+BA9+BA10+BA11+BA12+BA13+BA14+BA15+BA16+BA17+BA18+BA19+BA20+BA21+BA22+BA23+BA24+BA25+BA26+BA27+BA28+BA29+BA30+BA31+BA32+BA33+BA34+BA35+BA36+BA37</f>
        <v>103955000</v>
      </c>
      <c r="BB42" s="51"/>
      <c r="BC42" s="50">
        <f>+BC2+BC3+BC4+BC5+BC6+BC7+BC8+BC9+BC10+BC11+BC12+BC13+BC14+BC15+BC16+BC17+BC18+BC19+BC20+BC21+BC22+BC23+BC24+BC25+BC26+BC27+BC28+BC29+BC30+BC31+BC32+BC33+BC34+BC35+BC36+BC37</f>
        <v>103955000</v>
      </c>
      <c r="BD42" s="51"/>
      <c r="BE42" s="63">
        <f>+BE2+BE3+BE4+BE5+BE6+BE7+BE8+BE9+BE10+BE11+BE12+BE13+BE14+BE15+BE16+BE17+BE18+BE19+BE20+BE21+BE22+BE23+BE24+BE25+BE26+BE27+BE28+BE29+BE30+BE31+BE32+BE33+BE34+BE35+BE36+BE37</f>
        <v>88690666.666666701</v>
      </c>
      <c r="BF42" s="64"/>
      <c r="BG42" s="407">
        <f>+BG2+BG3+BG4+BG5+BG6+BG7+BG8+BG9+BG10+BG11+BG12+BG13+BG14+BG15+BG16+BG17+BG18+BG19+BG20+BG21+BG22+BG23+BG24+BG25+BG26+BG27+BG28+BG29+BG30+BG31+BG32+BG33+BG34+BG35+BG36+BG37</f>
        <v>25140401.666666701</v>
      </c>
      <c r="BH42" s="407">
        <f>+BH2+BH3+BH4+BH5+BH6+BH7+BH8+BH9+BH10+BH11+BH12+BH13+BH14+BH15+BH16+BH17+BH18+BH19+BH20+BH21+BH22+BH23+BH24+BH25+BH26+BH27+BH28+BH29+BH30+BH31+BH32+BH33+BH34+BH35+BH36+BH37</f>
        <v>-0.333333330519963</v>
      </c>
      <c r="BI42" s="437">
        <v>8232</v>
      </c>
      <c r="BJ42" s="407">
        <f>+BJ2+BJ3+BJ4+BJ5+BJ6+BJ7+BJ8+BJ9+BJ10+BJ11+BJ12+BJ13+BJ14+BJ15+BJ16+BJ17+BJ18+BJ19+BJ20+BJ21+BJ22+BJ23+BJ24+BJ25+BJ26+BJ27+BJ28+BJ29+BJ30+BJ31+BJ32+BJ33+BJ34+BJ35+BJ36+BJ37</f>
        <v>178540050</v>
      </c>
      <c r="BK42" s="407">
        <f>+BK2+BK3+BK4+BK5+BK6+BK7+BK8+BK9+BK10+BK11+BK12+BK13+BK14+BK15+BK16+BK17+BK18+BK19+BK20+BK21+BK22+BK23+BK24+BK25+BK26+BK27+BK28+BK29+BK30+BK31+BK32+BK33+BK34+BK35+BK36+BK37</f>
        <v>178540050</v>
      </c>
      <c r="BL42" s="407">
        <f>+BL2+BL3+BL4+BL5+BL6+BL7+BL8+BL9+BL10+BL11+BL12+BL13+BL14+BL15+BL16+BL17+BL18+BL19+BL20+BL21+BL22+BL23+BL24+BL25+BL26+BL27+BL28+BL29+BL30+BL31+BL32+BL33+BL34+BL35+BL36+BL37</f>
        <v>106312400</v>
      </c>
      <c r="BM42" s="407"/>
      <c r="BN42" s="407"/>
      <c r="BO42" s="76">
        <f>+BJ42+BK42+BL42</f>
        <v>463392500</v>
      </c>
      <c r="BR42" s="70"/>
      <c r="BS42" s="70"/>
      <c r="BT42" s="70"/>
      <c r="BU42" s="70"/>
      <c r="BV42" s="70"/>
      <c r="BW42" s="80">
        <f>+BR40+BW40</f>
        <v>89930666</v>
      </c>
      <c r="BX42" s="80">
        <f>+BS40+BX40</f>
        <v>89930677</v>
      </c>
      <c r="BY42" s="80">
        <f>+BT40+BY40</f>
        <v>65745087</v>
      </c>
      <c r="BZ42" s="80">
        <f>+BW42+BX42+BY42</f>
        <v>245606430</v>
      </c>
    </row>
    <row r="43" spans="1:81">
      <c r="AX43" s="52">
        <f>+AX42/AW42</f>
        <v>1.0187621110043099</v>
      </c>
      <c r="AZ43" s="52">
        <f>+AZ42/AY42</f>
        <v>0.99999998708607596</v>
      </c>
      <c r="BY43" s="25">
        <f>+BU40+BZ40-AK42</f>
        <v>0</v>
      </c>
    </row>
    <row r="44" spans="1:81" ht="14.45">
      <c r="AY44" s="53">
        <f>+AZ44-AX42</f>
        <v>103247732</v>
      </c>
      <c r="AZ44" s="23">
        <v>141651430</v>
      </c>
      <c r="BF44" s="65">
        <f>+BG44/(BP66+BP73)</f>
        <v>0.89544853991802298</v>
      </c>
      <c r="BG44" s="53">
        <f>+AX42+AY42+BA42+BC42+BE42</f>
        <v>438252098</v>
      </c>
    </row>
    <row r="45" spans="1:81">
      <c r="AY45" s="53">
        <f>+AY44-AZ42</f>
        <v>0</v>
      </c>
    </row>
    <row r="46" spans="1:81" s="17" customFormat="1" ht="12">
      <c r="A46" s="388">
        <v>2024</v>
      </c>
      <c r="B46" s="17">
        <v>8</v>
      </c>
      <c r="C46" s="29">
        <v>45292</v>
      </c>
      <c r="D46" s="29">
        <v>45535</v>
      </c>
      <c r="E46" s="17" t="s">
        <v>443</v>
      </c>
      <c r="F46" s="29">
        <v>45509</v>
      </c>
      <c r="G46" s="17" t="s">
        <v>444</v>
      </c>
      <c r="H46" s="17" t="s">
        <v>445</v>
      </c>
      <c r="I46" s="388" t="s">
        <v>464</v>
      </c>
      <c r="J46" s="29">
        <v>45509</v>
      </c>
      <c r="K46" s="29">
        <v>45657</v>
      </c>
      <c r="L46" s="17" t="s">
        <v>465</v>
      </c>
      <c r="M46" s="17" t="s">
        <v>448</v>
      </c>
      <c r="N46" s="17" t="s">
        <v>449</v>
      </c>
      <c r="O46" s="17">
        <v>1423</v>
      </c>
      <c r="P46" s="17">
        <v>1525</v>
      </c>
      <c r="Q46" s="388" t="s">
        <v>466</v>
      </c>
      <c r="R46" s="388" t="s">
        <v>451</v>
      </c>
      <c r="S46" s="388" t="s">
        <v>377</v>
      </c>
      <c r="T46" s="17" t="s">
        <v>452</v>
      </c>
      <c r="U46" s="17" t="s">
        <v>453</v>
      </c>
      <c r="V46" s="17" t="s">
        <v>454</v>
      </c>
      <c r="W46" s="17" t="s">
        <v>455</v>
      </c>
      <c r="X46" s="388" t="s">
        <v>456</v>
      </c>
      <c r="Y46" s="17" t="s">
        <v>457</v>
      </c>
      <c r="Z46" s="17" t="s">
        <v>377</v>
      </c>
      <c r="AA46" s="17" t="s">
        <v>458</v>
      </c>
      <c r="AB46" s="17" t="s">
        <v>459</v>
      </c>
      <c r="AC46" s="17" t="s">
        <v>468</v>
      </c>
      <c r="AD46" s="17" t="s">
        <v>461</v>
      </c>
      <c r="AE46" s="17" t="s">
        <v>469</v>
      </c>
      <c r="AF46" s="388" t="s">
        <v>470</v>
      </c>
      <c r="AG46" s="389">
        <v>22680000</v>
      </c>
      <c r="AH46" s="389">
        <v>0</v>
      </c>
      <c r="AI46" s="389">
        <v>0</v>
      </c>
      <c r="AJ46" s="389">
        <v>22680000</v>
      </c>
      <c r="AK46" s="389">
        <v>0</v>
      </c>
      <c r="AL46" s="389">
        <v>22680000</v>
      </c>
      <c r="AM46" s="17">
        <v>5000720491</v>
      </c>
      <c r="AN46" s="17">
        <v>1</v>
      </c>
      <c r="AO46" s="17">
        <v>590292</v>
      </c>
      <c r="AP46" s="17">
        <v>1</v>
      </c>
      <c r="AQ46" s="29">
        <v>45509</v>
      </c>
      <c r="AR46" s="390">
        <v>8232</v>
      </c>
      <c r="AS46" s="391">
        <v>5670000</v>
      </c>
      <c r="AT46" s="392">
        <v>45635</v>
      </c>
      <c r="AU46" s="392">
        <v>45657</v>
      </c>
      <c r="AV46" s="393" t="s">
        <v>255</v>
      </c>
      <c r="AW46" s="394">
        <v>0</v>
      </c>
      <c r="AX46" s="394"/>
      <c r="AY46" s="394">
        <v>0</v>
      </c>
      <c r="AZ46" s="394"/>
      <c r="BA46" s="394">
        <v>0</v>
      </c>
      <c r="BB46" s="394"/>
      <c r="BC46" s="394">
        <v>0</v>
      </c>
      <c r="BD46" s="394"/>
      <c r="BE46" s="394">
        <f>AS46/30*22</f>
        <v>4158000</v>
      </c>
      <c r="BF46" s="395"/>
      <c r="BG46" s="66">
        <v>0</v>
      </c>
      <c r="BH46" s="438">
        <v>0</v>
      </c>
      <c r="BI46" s="396" t="s">
        <v>550</v>
      </c>
      <c r="BJ46" s="388">
        <v>0</v>
      </c>
      <c r="BK46" s="388">
        <v>0</v>
      </c>
      <c r="BL46" s="397">
        <f>BE46</f>
        <v>4158000</v>
      </c>
      <c r="BM46" s="388"/>
      <c r="BN46" s="388"/>
      <c r="BO46" s="77">
        <f t="shared" ref="BO46:BO55" si="6">+BE46</f>
        <v>4158000</v>
      </c>
      <c r="BP46" s="20" t="s">
        <v>551</v>
      </c>
      <c r="BR46" s="71"/>
      <c r="BS46" s="71"/>
      <c r="BT46" s="71"/>
      <c r="BU46" s="71"/>
      <c r="BV46" s="71"/>
    </row>
    <row r="47" spans="1:81" s="17" customFormat="1" ht="12">
      <c r="A47" s="388">
        <v>2024</v>
      </c>
      <c r="B47" s="17">
        <v>8</v>
      </c>
      <c r="C47" s="29">
        <v>45292</v>
      </c>
      <c r="D47" s="29">
        <v>45535</v>
      </c>
      <c r="E47" s="17" t="s">
        <v>443</v>
      </c>
      <c r="F47" s="29">
        <v>45512</v>
      </c>
      <c r="G47" s="17" t="s">
        <v>444</v>
      </c>
      <c r="H47" s="17" t="s">
        <v>445</v>
      </c>
      <c r="I47" s="388" t="s">
        <v>476</v>
      </c>
      <c r="J47" s="29">
        <v>45512</v>
      </c>
      <c r="K47" s="29">
        <v>45657</v>
      </c>
      <c r="L47" s="17" t="s">
        <v>444</v>
      </c>
      <c r="M47" s="17" t="s">
        <v>448</v>
      </c>
      <c r="N47" s="17" t="s">
        <v>449</v>
      </c>
      <c r="O47" s="17">
        <v>1431</v>
      </c>
      <c r="P47" s="17">
        <v>1565</v>
      </c>
      <c r="Q47" s="388" t="s">
        <v>477</v>
      </c>
      <c r="R47" s="388" t="s">
        <v>451</v>
      </c>
      <c r="S47" s="388" t="s">
        <v>377</v>
      </c>
      <c r="T47" s="17" t="s">
        <v>452</v>
      </c>
      <c r="U47" s="17" t="s">
        <v>453</v>
      </c>
      <c r="V47" s="17" t="s">
        <v>454</v>
      </c>
      <c r="W47" s="17" t="s">
        <v>455</v>
      </c>
      <c r="X47" s="388" t="s">
        <v>456</v>
      </c>
      <c r="Y47" s="17" t="s">
        <v>457</v>
      </c>
      <c r="Z47" s="17" t="s">
        <v>377</v>
      </c>
      <c r="AA47" s="17" t="s">
        <v>458</v>
      </c>
      <c r="AB47" s="17" t="s">
        <v>459</v>
      </c>
      <c r="AC47" s="17" t="s">
        <v>478</v>
      </c>
      <c r="AD47" s="17" t="s">
        <v>461</v>
      </c>
      <c r="AE47" s="17" t="s">
        <v>479</v>
      </c>
      <c r="AF47" s="388" t="s">
        <v>480</v>
      </c>
      <c r="AG47" s="389">
        <v>7484400</v>
      </c>
      <c r="AH47" s="389">
        <v>0</v>
      </c>
      <c r="AI47" s="389">
        <v>0</v>
      </c>
      <c r="AJ47" s="389">
        <v>7484400</v>
      </c>
      <c r="AK47" s="389">
        <v>0</v>
      </c>
      <c r="AL47" s="389">
        <v>7484400</v>
      </c>
      <c r="AM47" s="17">
        <v>5000721163</v>
      </c>
      <c r="AN47" s="17">
        <v>1</v>
      </c>
      <c r="AO47" s="17">
        <v>590303</v>
      </c>
      <c r="AP47" s="17">
        <v>1</v>
      </c>
      <c r="AQ47" s="29">
        <v>45512</v>
      </c>
      <c r="AR47" s="390">
        <v>8232</v>
      </c>
      <c r="AS47" s="391">
        <v>1871100</v>
      </c>
      <c r="AT47" s="392">
        <v>45635</v>
      </c>
      <c r="AU47" s="392">
        <v>45657</v>
      </c>
      <c r="AV47" s="393" t="s">
        <v>255</v>
      </c>
      <c r="AW47" s="394">
        <v>0</v>
      </c>
      <c r="AX47" s="394"/>
      <c r="AY47" s="394">
        <v>0</v>
      </c>
      <c r="AZ47" s="394"/>
      <c r="BA47" s="394">
        <v>0</v>
      </c>
      <c r="BB47" s="394"/>
      <c r="BC47" s="394">
        <v>0</v>
      </c>
      <c r="BD47" s="394"/>
      <c r="BE47" s="394">
        <f>+AS47/30*22</f>
        <v>1372140</v>
      </c>
      <c r="BF47" s="395"/>
      <c r="BG47" s="66">
        <v>0</v>
      </c>
      <c r="BH47" s="438">
        <v>0</v>
      </c>
      <c r="BI47" s="396" t="s">
        <v>550</v>
      </c>
      <c r="BJ47" s="397">
        <f>BE47</f>
        <v>1372140</v>
      </c>
      <c r="BK47" s="397">
        <f>BE48</f>
        <v>1372140</v>
      </c>
      <c r="BL47" s="397">
        <f>BE49</f>
        <v>1413720</v>
      </c>
      <c r="BM47" s="388"/>
      <c r="BN47" s="388"/>
      <c r="BO47" s="77">
        <f t="shared" si="6"/>
        <v>1372140</v>
      </c>
      <c r="BP47" s="20" t="s">
        <v>552</v>
      </c>
      <c r="BR47" s="71"/>
      <c r="BS47" s="71"/>
      <c r="BT47" s="71"/>
      <c r="BU47" s="71"/>
      <c r="BV47" s="71"/>
    </row>
    <row r="48" spans="1:81" s="17" customFormat="1" ht="12">
      <c r="A48" s="388">
        <v>2024</v>
      </c>
      <c r="B48" s="17">
        <v>8</v>
      </c>
      <c r="C48" s="29">
        <v>45292</v>
      </c>
      <c r="D48" s="29">
        <v>45535</v>
      </c>
      <c r="E48" s="17" t="s">
        <v>443</v>
      </c>
      <c r="F48" s="29">
        <v>45512</v>
      </c>
      <c r="G48" s="17" t="s">
        <v>444</v>
      </c>
      <c r="H48" s="17" t="s">
        <v>445</v>
      </c>
      <c r="I48" s="388" t="s">
        <v>476</v>
      </c>
      <c r="J48" s="29">
        <v>45512</v>
      </c>
      <c r="K48" s="29">
        <v>45657</v>
      </c>
      <c r="L48" s="17" t="s">
        <v>444</v>
      </c>
      <c r="M48" s="17" t="s">
        <v>448</v>
      </c>
      <c r="N48" s="17" t="s">
        <v>449</v>
      </c>
      <c r="O48" s="17">
        <v>1431</v>
      </c>
      <c r="P48" s="17">
        <v>1565</v>
      </c>
      <c r="Q48" s="388" t="s">
        <v>477</v>
      </c>
      <c r="R48" s="388" t="s">
        <v>451</v>
      </c>
      <c r="S48" s="388" t="s">
        <v>377</v>
      </c>
      <c r="T48" s="17" t="s">
        <v>452</v>
      </c>
      <c r="U48" s="17" t="s">
        <v>453</v>
      </c>
      <c r="V48" s="17" t="s">
        <v>454</v>
      </c>
      <c r="W48" s="17" t="s">
        <v>455</v>
      </c>
      <c r="X48" s="388" t="s">
        <v>456</v>
      </c>
      <c r="Y48" s="17" t="s">
        <v>457</v>
      </c>
      <c r="Z48" s="17" t="s">
        <v>377</v>
      </c>
      <c r="AA48" s="17" t="s">
        <v>458</v>
      </c>
      <c r="AB48" s="17" t="s">
        <v>459</v>
      </c>
      <c r="AC48" s="17" t="s">
        <v>478</v>
      </c>
      <c r="AD48" s="17" t="s">
        <v>461</v>
      </c>
      <c r="AE48" s="17" t="s">
        <v>479</v>
      </c>
      <c r="AF48" s="388" t="s">
        <v>480</v>
      </c>
      <c r="AG48" s="389">
        <v>7484400</v>
      </c>
      <c r="AH48" s="389">
        <v>0</v>
      </c>
      <c r="AI48" s="389">
        <v>0</v>
      </c>
      <c r="AJ48" s="389">
        <v>7484400</v>
      </c>
      <c r="AK48" s="389">
        <v>0</v>
      </c>
      <c r="AL48" s="389">
        <v>7484400</v>
      </c>
      <c r="AM48" s="17">
        <v>5000721163</v>
      </c>
      <c r="AN48" s="17">
        <v>2</v>
      </c>
      <c r="AO48" s="17">
        <v>590303</v>
      </c>
      <c r="AP48" s="17">
        <v>2</v>
      </c>
      <c r="AQ48" s="29">
        <v>45512</v>
      </c>
      <c r="AR48" s="390">
        <v>8232</v>
      </c>
      <c r="AS48" s="391">
        <v>1871100</v>
      </c>
      <c r="AT48" s="392">
        <v>45635</v>
      </c>
      <c r="AU48" s="392">
        <v>45657</v>
      </c>
      <c r="AV48" s="393" t="s">
        <v>255</v>
      </c>
      <c r="AW48" s="394">
        <v>0</v>
      </c>
      <c r="AX48" s="394"/>
      <c r="AY48" s="394">
        <v>0</v>
      </c>
      <c r="AZ48" s="394"/>
      <c r="BA48" s="394">
        <v>0</v>
      </c>
      <c r="BB48" s="394"/>
      <c r="BC48" s="394">
        <v>0</v>
      </c>
      <c r="BD48" s="394"/>
      <c r="BE48" s="394">
        <f>+AS48/30*22</f>
        <v>1372140</v>
      </c>
      <c r="BF48" s="395"/>
      <c r="BG48" s="66">
        <v>0</v>
      </c>
      <c r="BH48" s="438">
        <v>0</v>
      </c>
      <c r="BI48" s="396" t="s">
        <v>550</v>
      </c>
      <c r="BJ48" s="388">
        <v>0</v>
      </c>
      <c r="BK48" s="388">
        <v>0</v>
      </c>
      <c r="BL48" s="388">
        <v>0</v>
      </c>
      <c r="BM48" s="388"/>
      <c r="BN48" s="388"/>
      <c r="BO48" s="77">
        <f t="shared" si="6"/>
        <v>1372140</v>
      </c>
      <c r="BP48" s="20"/>
      <c r="BR48" s="71"/>
      <c r="BS48" s="71"/>
      <c r="BT48" s="71"/>
      <c r="BU48" s="71"/>
      <c r="BV48" s="71"/>
    </row>
    <row r="49" spans="1:74" s="17" customFormat="1" ht="12">
      <c r="A49" s="388">
        <v>2024</v>
      </c>
      <c r="B49" s="17">
        <v>8</v>
      </c>
      <c r="C49" s="29">
        <v>45292</v>
      </c>
      <c r="D49" s="29">
        <v>45535</v>
      </c>
      <c r="E49" s="17" t="s">
        <v>443</v>
      </c>
      <c r="F49" s="29">
        <v>45512</v>
      </c>
      <c r="G49" s="17" t="s">
        <v>444</v>
      </c>
      <c r="H49" s="17" t="s">
        <v>445</v>
      </c>
      <c r="I49" s="388" t="s">
        <v>476</v>
      </c>
      <c r="J49" s="29">
        <v>45512</v>
      </c>
      <c r="K49" s="29">
        <v>45657</v>
      </c>
      <c r="L49" s="17" t="s">
        <v>444</v>
      </c>
      <c r="M49" s="17" t="s">
        <v>448</v>
      </c>
      <c r="N49" s="17" t="s">
        <v>449</v>
      </c>
      <c r="O49" s="17">
        <v>1431</v>
      </c>
      <c r="P49" s="17">
        <v>1565</v>
      </c>
      <c r="Q49" s="388" t="s">
        <v>477</v>
      </c>
      <c r="R49" s="388" t="s">
        <v>451</v>
      </c>
      <c r="S49" s="388" t="s">
        <v>377</v>
      </c>
      <c r="T49" s="17" t="s">
        <v>452</v>
      </c>
      <c r="U49" s="17" t="s">
        <v>453</v>
      </c>
      <c r="V49" s="17" t="s">
        <v>454</v>
      </c>
      <c r="W49" s="17" t="s">
        <v>455</v>
      </c>
      <c r="X49" s="388" t="s">
        <v>456</v>
      </c>
      <c r="Y49" s="17" t="s">
        <v>457</v>
      </c>
      <c r="Z49" s="17" t="s">
        <v>377</v>
      </c>
      <c r="AA49" s="17" t="s">
        <v>458</v>
      </c>
      <c r="AB49" s="17" t="s">
        <v>459</v>
      </c>
      <c r="AC49" s="17" t="s">
        <v>478</v>
      </c>
      <c r="AD49" s="17" t="s">
        <v>461</v>
      </c>
      <c r="AE49" s="17" t="s">
        <v>479</v>
      </c>
      <c r="AF49" s="388" t="s">
        <v>480</v>
      </c>
      <c r="AG49" s="389">
        <v>7711200</v>
      </c>
      <c r="AH49" s="389">
        <v>0</v>
      </c>
      <c r="AI49" s="389">
        <v>0</v>
      </c>
      <c r="AJ49" s="389">
        <v>7711200</v>
      </c>
      <c r="AK49" s="389">
        <v>0</v>
      </c>
      <c r="AL49" s="389">
        <v>7711200</v>
      </c>
      <c r="AM49" s="17">
        <v>5000721163</v>
      </c>
      <c r="AN49" s="17">
        <v>3</v>
      </c>
      <c r="AO49" s="17">
        <v>590303</v>
      </c>
      <c r="AP49" s="17">
        <v>3</v>
      </c>
      <c r="AQ49" s="29">
        <v>45512</v>
      </c>
      <c r="AR49" s="390">
        <v>8232</v>
      </c>
      <c r="AS49" s="391">
        <v>1927800</v>
      </c>
      <c r="AT49" s="392">
        <v>45635</v>
      </c>
      <c r="AU49" s="392">
        <v>45657</v>
      </c>
      <c r="AV49" s="393" t="s">
        <v>255</v>
      </c>
      <c r="AW49" s="394">
        <v>0</v>
      </c>
      <c r="AX49" s="394"/>
      <c r="AY49" s="394">
        <v>0</v>
      </c>
      <c r="AZ49" s="394"/>
      <c r="BA49" s="394">
        <v>0</v>
      </c>
      <c r="BB49" s="394"/>
      <c r="BC49" s="394">
        <v>0</v>
      </c>
      <c r="BD49" s="394"/>
      <c r="BE49" s="394">
        <f>+AS49/30*22</f>
        <v>1413720</v>
      </c>
      <c r="BF49" s="395"/>
      <c r="BG49" s="66">
        <v>0</v>
      </c>
      <c r="BH49" s="438">
        <v>0</v>
      </c>
      <c r="BI49" s="396" t="s">
        <v>550</v>
      </c>
      <c r="BJ49" s="388">
        <v>0</v>
      </c>
      <c r="BK49" s="388">
        <v>0</v>
      </c>
      <c r="BL49" s="388">
        <v>0</v>
      </c>
      <c r="BM49" s="388"/>
      <c r="BN49" s="388"/>
      <c r="BO49" s="77">
        <f t="shared" si="6"/>
        <v>1413720</v>
      </c>
      <c r="BP49" s="20"/>
      <c r="BR49" s="71"/>
      <c r="BS49" s="71"/>
      <c r="BT49" s="71"/>
      <c r="BU49" s="71"/>
      <c r="BV49" s="71"/>
    </row>
    <row r="50" spans="1:74" s="19" customFormat="1" ht="12">
      <c r="A50" s="408">
        <v>2024</v>
      </c>
      <c r="B50" s="16">
        <v>8</v>
      </c>
      <c r="C50" s="28">
        <v>45292</v>
      </c>
      <c r="D50" s="28">
        <v>45535</v>
      </c>
      <c r="E50" s="16" t="s">
        <v>443</v>
      </c>
      <c r="F50" s="28">
        <v>45513</v>
      </c>
      <c r="G50" s="16" t="s">
        <v>444</v>
      </c>
      <c r="H50" s="16" t="s">
        <v>445</v>
      </c>
      <c r="I50" s="408" t="s">
        <v>481</v>
      </c>
      <c r="J50" s="28">
        <v>45513</v>
      </c>
      <c r="K50" s="28">
        <v>45657</v>
      </c>
      <c r="L50" s="16" t="s">
        <v>482</v>
      </c>
      <c r="M50" s="16" t="s">
        <v>448</v>
      </c>
      <c r="N50" s="16" t="s">
        <v>449</v>
      </c>
      <c r="O50" s="16">
        <v>1420</v>
      </c>
      <c r="P50" s="16">
        <v>1625</v>
      </c>
      <c r="Q50" s="408" t="s">
        <v>483</v>
      </c>
      <c r="R50" s="408" t="s">
        <v>451</v>
      </c>
      <c r="S50" s="408" t="s">
        <v>377</v>
      </c>
      <c r="T50" s="16" t="s">
        <v>452</v>
      </c>
      <c r="U50" s="16" t="s">
        <v>453</v>
      </c>
      <c r="V50" s="16" t="s">
        <v>454</v>
      </c>
      <c r="W50" s="16" t="s">
        <v>455</v>
      </c>
      <c r="X50" s="408" t="s">
        <v>456</v>
      </c>
      <c r="Y50" s="16" t="s">
        <v>457</v>
      </c>
      <c r="Z50" s="16" t="s">
        <v>377</v>
      </c>
      <c r="AA50" s="16" t="s">
        <v>458</v>
      </c>
      <c r="AB50" s="16" t="s">
        <v>459</v>
      </c>
      <c r="AC50" s="16" t="s">
        <v>484</v>
      </c>
      <c r="AD50" s="16" t="s">
        <v>461</v>
      </c>
      <c r="AE50" s="16" t="s">
        <v>485</v>
      </c>
      <c r="AF50" s="408" t="s">
        <v>486</v>
      </c>
      <c r="AG50" s="409">
        <v>40500000</v>
      </c>
      <c r="AH50" s="409">
        <v>0</v>
      </c>
      <c r="AI50" s="409">
        <v>0</v>
      </c>
      <c r="AJ50" s="409">
        <v>40500000</v>
      </c>
      <c r="AK50" s="409">
        <v>0</v>
      </c>
      <c r="AL50" s="409">
        <v>40500000</v>
      </c>
      <c r="AM50" s="16">
        <v>5000721703</v>
      </c>
      <c r="AN50" s="16">
        <v>1</v>
      </c>
      <c r="AO50" s="16">
        <v>590288</v>
      </c>
      <c r="AP50" s="16">
        <v>1</v>
      </c>
      <c r="AQ50" s="28">
        <v>45513</v>
      </c>
      <c r="AR50" s="410">
        <v>8232</v>
      </c>
      <c r="AS50" s="411">
        <v>9000000</v>
      </c>
      <c r="AT50" s="412">
        <v>45653</v>
      </c>
      <c r="AU50" s="412">
        <v>45657</v>
      </c>
      <c r="AV50" s="413" t="s">
        <v>255</v>
      </c>
      <c r="AW50" s="383">
        <v>0</v>
      </c>
      <c r="AX50" s="383"/>
      <c r="AY50" s="383">
        <v>0</v>
      </c>
      <c r="AZ50" s="383"/>
      <c r="BA50" s="383">
        <v>0</v>
      </c>
      <c r="BB50" s="383"/>
      <c r="BC50" s="383">
        <v>0</v>
      </c>
      <c r="BD50" s="383"/>
      <c r="BE50" s="383">
        <f>AS50/30*4</f>
        <v>1200000</v>
      </c>
      <c r="BF50" s="384"/>
      <c r="BG50" s="60">
        <v>0</v>
      </c>
      <c r="BH50" s="439">
        <v>0</v>
      </c>
      <c r="BI50" s="416" t="s">
        <v>550</v>
      </c>
      <c r="BJ50" s="408">
        <v>0</v>
      </c>
      <c r="BK50" s="408">
        <v>0</v>
      </c>
      <c r="BL50" s="387">
        <f>BE50</f>
        <v>1200000</v>
      </c>
      <c r="BM50" s="408"/>
      <c r="BN50" s="408"/>
      <c r="BO50" s="77">
        <f t="shared" si="6"/>
        <v>1200000</v>
      </c>
      <c r="BP50" s="20" t="s">
        <v>553</v>
      </c>
      <c r="BR50" s="78"/>
      <c r="BS50" s="78"/>
      <c r="BT50" s="78"/>
      <c r="BU50" s="78"/>
      <c r="BV50" s="78"/>
    </row>
    <row r="51" spans="1:74" s="17" customFormat="1" ht="12">
      <c r="A51" s="388">
        <v>2024</v>
      </c>
      <c r="B51" s="17">
        <v>8</v>
      </c>
      <c r="C51" s="29">
        <v>45292</v>
      </c>
      <c r="D51" s="29">
        <v>45535</v>
      </c>
      <c r="E51" s="17" t="s">
        <v>443</v>
      </c>
      <c r="F51" s="29">
        <v>45516</v>
      </c>
      <c r="G51" s="17" t="s">
        <v>444</v>
      </c>
      <c r="H51" s="17" t="s">
        <v>445</v>
      </c>
      <c r="I51" s="388" t="s">
        <v>487</v>
      </c>
      <c r="J51" s="29">
        <v>45517</v>
      </c>
      <c r="K51" s="29">
        <v>45652</v>
      </c>
      <c r="L51" s="17" t="s">
        <v>488</v>
      </c>
      <c r="M51" s="17" t="s">
        <v>448</v>
      </c>
      <c r="N51" s="17" t="s">
        <v>449</v>
      </c>
      <c r="O51" s="17">
        <v>1434</v>
      </c>
      <c r="P51" s="17">
        <v>1700</v>
      </c>
      <c r="Q51" s="388" t="s">
        <v>489</v>
      </c>
      <c r="R51" s="388" t="s">
        <v>451</v>
      </c>
      <c r="S51" s="388" t="s">
        <v>377</v>
      </c>
      <c r="T51" s="17" t="s">
        <v>452</v>
      </c>
      <c r="U51" s="17" t="s">
        <v>453</v>
      </c>
      <c r="V51" s="17" t="s">
        <v>454</v>
      </c>
      <c r="W51" s="17" t="s">
        <v>455</v>
      </c>
      <c r="X51" s="388" t="s">
        <v>456</v>
      </c>
      <c r="Y51" s="17" t="s">
        <v>457</v>
      </c>
      <c r="Z51" s="17" t="s">
        <v>377</v>
      </c>
      <c r="AA51" s="17" t="s">
        <v>458</v>
      </c>
      <c r="AB51" s="17" t="s">
        <v>459</v>
      </c>
      <c r="AC51" s="17" t="s">
        <v>490</v>
      </c>
      <c r="AD51" s="17" t="s">
        <v>461</v>
      </c>
      <c r="AE51" s="17" t="s">
        <v>491</v>
      </c>
      <c r="AF51" s="388" t="s">
        <v>492</v>
      </c>
      <c r="AG51" s="389">
        <v>17325000</v>
      </c>
      <c r="AH51" s="389">
        <v>0</v>
      </c>
      <c r="AI51" s="389">
        <v>0</v>
      </c>
      <c r="AJ51" s="389">
        <v>17325000</v>
      </c>
      <c r="AK51" s="389">
        <v>0</v>
      </c>
      <c r="AL51" s="389">
        <v>17325000</v>
      </c>
      <c r="AM51" s="17">
        <v>5000722954</v>
      </c>
      <c r="AN51" s="17">
        <v>1</v>
      </c>
      <c r="AO51" s="17">
        <v>590307</v>
      </c>
      <c r="AP51" s="17">
        <v>1</v>
      </c>
      <c r="AQ51" s="29">
        <v>45516</v>
      </c>
      <c r="AR51" s="390">
        <v>8232</v>
      </c>
      <c r="AS51" s="391">
        <v>3850000</v>
      </c>
      <c r="AT51" s="392">
        <v>45655</v>
      </c>
      <c r="AU51" s="392">
        <v>45657</v>
      </c>
      <c r="AV51" s="393" t="s">
        <v>255</v>
      </c>
      <c r="AW51" s="394">
        <v>0</v>
      </c>
      <c r="AX51" s="394"/>
      <c r="AY51" s="394">
        <v>0</v>
      </c>
      <c r="AZ51" s="394"/>
      <c r="BA51" s="394">
        <v>0</v>
      </c>
      <c r="BB51" s="394"/>
      <c r="BC51" s="394">
        <v>0</v>
      </c>
      <c r="BD51" s="394"/>
      <c r="BE51" s="394">
        <f>AS51/30*2</f>
        <v>256666.66666666701</v>
      </c>
      <c r="BF51" s="395"/>
      <c r="BG51" s="66">
        <v>0</v>
      </c>
      <c r="BH51" s="438">
        <v>0</v>
      </c>
      <c r="BI51" s="396" t="s">
        <v>550</v>
      </c>
      <c r="BJ51" s="397">
        <f>BE51</f>
        <v>256666.66666666701</v>
      </c>
      <c r="BK51" s="397">
        <f>BE52</f>
        <v>256666.66666666701</v>
      </c>
      <c r="BL51" s="388">
        <v>0</v>
      </c>
      <c r="BM51" s="388"/>
      <c r="BN51" s="388"/>
      <c r="BO51" s="77">
        <f t="shared" si="6"/>
        <v>256666.66666666701</v>
      </c>
      <c r="BP51" s="20" t="s">
        <v>554</v>
      </c>
      <c r="BR51" s="71"/>
      <c r="BS51" s="71"/>
      <c r="BT51" s="71"/>
      <c r="BU51" s="71"/>
      <c r="BV51" s="71"/>
    </row>
    <row r="52" spans="1:74" s="16" customFormat="1" ht="12">
      <c r="A52" s="377">
        <v>2024</v>
      </c>
      <c r="B52" s="16">
        <v>8</v>
      </c>
      <c r="C52" s="28">
        <v>45292</v>
      </c>
      <c r="D52" s="28">
        <v>45535</v>
      </c>
      <c r="E52" s="16" t="s">
        <v>443</v>
      </c>
      <c r="F52" s="28">
        <v>45516</v>
      </c>
      <c r="G52" s="16" t="s">
        <v>444</v>
      </c>
      <c r="H52" s="16" t="s">
        <v>445</v>
      </c>
      <c r="I52" s="377" t="s">
        <v>487</v>
      </c>
      <c r="J52" s="28">
        <v>45517</v>
      </c>
      <c r="K52" s="28">
        <v>45652</v>
      </c>
      <c r="L52" s="16" t="s">
        <v>488</v>
      </c>
      <c r="M52" s="16" t="s">
        <v>448</v>
      </c>
      <c r="N52" s="16" t="s">
        <v>449</v>
      </c>
      <c r="O52" s="16">
        <v>1434</v>
      </c>
      <c r="P52" s="16">
        <v>1700</v>
      </c>
      <c r="Q52" s="377" t="s">
        <v>489</v>
      </c>
      <c r="R52" s="377" t="s">
        <v>451</v>
      </c>
      <c r="S52" s="377" t="s">
        <v>377</v>
      </c>
      <c r="T52" s="16" t="s">
        <v>452</v>
      </c>
      <c r="U52" s="16" t="s">
        <v>453</v>
      </c>
      <c r="V52" s="16" t="s">
        <v>454</v>
      </c>
      <c r="W52" s="16" t="s">
        <v>455</v>
      </c>
      <c r="X52" s="377" t="s">
        <v>456</v>
      </c>
      <c r="Y52" s="16" t="s">
        <v>457</v>
      </c>
      <c r="Z52" s="16" t="s">
        <v>377</v>
      </c>
      <c r="AA52" s="16" t="s">
        <v>458</v>
      </c>
      <c r="AB52" s="16" t="s">
        <v>459</v>
      </c>
      <c r="AC52" s="16" t="s">
        <v>490</v>
      </c>
      <c r="AD52" s="16" t="s">
        <v>461</v>
      </c>
      <c r="AE52" s="16" t="s">
        <v>491</v>
      </c>
      <c r="AF52" s="377" t="s">
        <v>492</v>
      </c>
      <c r="AG52" s="378">
        <v>17325000</v>
      </c>
      <c r="AH52" s="378">
        <v>0</v>
      </c>
      <c r="AI52" s="378">
        <v>0</v>
      </c>
      <c r="AJ52" s="378">
        <v>17325000</v>
      </c>
      <c r="AK52" s="378">
        <v>0</v>
      </c>
      <c r="AL52" s="378">
        <v>17325000</v>
      </c>
      <c r="AM52" s="16">
        <v>5000722954</v>
      </c>
      <c r="AN52" s="16">
        <v>2</v>
      </c>
      <c r="AO52" s="16">
        <v>590307</v>
      </c>
      <c r="AP52" s="16">
        <v>2</v>
      </c>
      <c r="AQ52" s="28">
        <v>45516</v>
      </c>
      <c r="AR52" s="379">
        <v>8232</v>
      </c>
      <c r="AS52" s="380">
        <v>3850000</v>
      </c>
      <c r="AT52" s="392">
        <v>45655</v>
      </c>
      <c r="AU52" s="381">
        <v>45657</v>
      </c>
      <c r="AV52" s="382" t="s">
        <v>255</v>
      </c>
      <c r="AW52" s="383">
        <v>0</v>
      </c>
      <c r="AX52" s="383"/>
      <c r="AY52" s="383">
        <v>0</v>
      </c>
      <c r="AZ52" s="383"/>
      <c r="BA52" s="383">
        <v>0</v>
      </c>
      <c r="BB52" s="383"/>
      <c r="BC52" s="383">
        <v>0</v>
      </c>
      <c r="BD52" s="383"/>
      <c r="BE52" s="383">
        <f>AS52/30*2</f>
        <v>256666.66666666701</v>
      </c>
      <c r="BF52" s="384"/>
      <c r="BG52" s="60">
        <v>0</v>
      </c>
      <c r="BH52" s="385">
        <v>0</v>
      </c>
      <c r="BI52" s="386" t="s">
        <v>550</v>
      </c>
      <c r="BJ52" s="377">
        <v>0</v>
      </c>
      <c r="BK52" s="377">
        <v>0</v>
      </c>
      <c r="BL52" s="377">
        <v>0</v>
      </c>
      <c r="BM52" s="377"/>
      <c r="BN52" s="377"/>
      <c r="BO52" s="77">
        <f t="shared" si="6"/>
        <v>256666.66666666701</v>
      </c>
      <c r="BP52" s="77"/>
      <c r="BR52" s="70"/>
      <c r="BS52" s="70"/>
      <c r="BT52" s="70"/>
      <c r="BU52" s="70"/>
      <c r="BV52" s="70"/>
    </row>
    <row r="53" spans="1:74" s="18" customFormat="1" ht="12">
      <c r="A53" s="398">
        <v>2024</v>
      </c>
      <c r="B53" s="18">
        <v>8</v>
      </c>
      <c r="C53" s="30">
        <v>45292</v>
      </c>
      <c r="D53" s="30">
        <v>45535</v>
      </c>
      <c r="E53" s="18" t="s">
        <v>443</v>
      </c>
      <c r="F53" s="30">
        <v>45509</v>
      </c>
      <c r="G53" s="18" t="s">
        <v>444</v>
      </c>
      <c r="H53" s="18" t="s">
        <v>445</v>
      </c>
      <c r="I53" s="398" t="s">
        <v>471</v>
      </c>
      <c r="J53" s="30">
        <v>45509</v>
      </c>
      <c r="K53" s="30">
        <v>45657</v>
      </c>
      <c r="L53" s="18" t="s">
        <v>465</v>
      </c>
      <c r="M53" s="18" t="s">
        <v>448</v>
      </c>
      <c r="N53" s="18" t="s">
        <v>449</v>
      </c>
      <c r="O53" s="18">
        <v>1428</v>
      </c>
      <c r="P53" s="18">
        <v>1528</v>
      </c>
      <c r="Q53" s="398" t="s">
        <v>472</v>
      </c>
      <c r="R53" s="398" t="s">
        <v>451</v>
      </c>
      <c r="S53" s="398" t="s">
        <v>377</v>
      </c>
      <c r="T53" s="18" t="s">
        <v>452</v>
      </c>
      <c r="U53" s="18" t="s">
        <v>453</v>
      </c>
      <c r="V53" s="18" t="s">
        <v>454</v>
      </c>
      <c r="W53" s="18" t="s">
        <v>455</v>
      </c>
      <c r="X53" s="398" t="s">
        <v>456</v>
      </c>
      <c r="Y53" s="18" t="s">
        <v>457</v>
      </c>
      <c r="Z53" s="18" t="s">
        <v>377</v>
      </c>
      <c r="AA53" s="18" t="s">
        <v>458</v>
      </c>
      <c r="AB53" s="18" t="s">
        <v>459</v>
      </c>
      <c r="AC53" s="18" t="s">
        <v>473</v>
      </c>
      <c r="AD53" s="18" t="s">
        <v>461</v>
      </c>
      <c r="AE53" s="18" t="s">
        <v>474</v>
      </c>
      <c r="AF53" s="398" t="s">
        <v>475</v>
      </c>
      <c r="AG53" s="399">
        <v>13365000</v>
      </c>
      <c r="AH53" s="399">
        <v>0</v>
      </c>
      <c r="AI53" s="399">
        <v>0</v>
      </c>
      <c r="AJ53" s="399">
        <v>13365000</v>
      </c>
      <c r="AK53" s="399">
        <v>0</v>
      </c>
      <c r="AL53" s="399">
        <v>13365000</v>
      </c>
      <c r="AM53" s="18">
        <v>5000720525</v>
      </c>
      <c r="AN53" s="18">
        <v>1</v>
      </c>
      <c r="AO53" s="18">
        <v>590299</v>
      </c>
      <c r="AP53" s="18">
        <v>1</v>
      </c>
      <c r="AQ53" s="30">
        <v>45509</v>
      </c>
      <c r="AR53" s="400">
        <v>8232</v>
      </c>
      <c r="AS53" s="401">
        <v>2970000</v>
      </c>
      <c r="AT53" s="402">
        <v>45512</v>
      </c>
      <c r="AU53" s="402">
        <v>45648</v>
      </c>
      <c r="AV53" s="403" t="s">
        <v>255</v>
      </c>
      <c r="AW53" s="383">
        <v>0</v>
      </c>
      <c r="AX53" s="383"/>
      <c r="AY53" s="383">
        <v>0</v>
      </c>
      <c r="AZ53" s="383"/>
      <c r="BA53" s="383">
        <v>0</v>
      </c>
      <c r="BB53" s="383"/>
      <c r="BC53" s="383">
        <v>0</v>
      </c>
      <c r="BD53" s="383"/>
      <c r="BE53" s="404">
        <f>(9000000*33%)/30*8</f>
        <v>792000</v>
      </c>
      <c r="BF53" s="405"/>
      <c r="BG53" s="67">
        <v>0</v>
      </c>
      <c r="BH53" s="385">
        <v>0</v>
      </c>
      <c r="BI53" s="406" t="s">
        <v>550</v>
      </c>
      <c r="BJ53" s="407">
        <v>0</v>
      </c>
      <c r="BK53" s="407">
        <v>0</v>
      </c>
      <c r="BL53" s="407">
        <v>0</v>
      </c>
      <c r="BM53" s="398"/>
      <c r="BN53" s="398"/>
      <c r="BO53" s="77">
        <f t="shared" si="6"/>
        <v>792000</v>
      </c>
      <c r="BP53" s="20" t="s">
        <v>555</v>
      </c>
      <c r="BR53" s="74"/>
      <c r="BS53" s="74"/>
      <c r="BT53" s="74"/>
      <c r="BU53" s="74"/>
      <c r="BV53" s="74"/>
    </row>
    <row r="54" spans="1:74" s="18" customFormat="1" ht="12">
      <c r="A54" s="398">
        <v>2024</v>
      </c>
      <c r="B54" s="18">
        <v>8</v>
      </c>
      <c r="C54" s="30">
        <v>45292</v>
      </c>
      <c r="D54" s="30">
        <v>45535</v>
      </c>
      <c r="E54" s="18" t="s">
        <v>443</v>
      </c>
      <c r="F54" s="30">
        <v>45509</v>
      </c>
      <c r="G54" s="18" t="s">
        <v>444</v>
      </c>
      <c r="H54" s="18" t="s">
        <v>445</v>
      </c>
      <c r="I54" s="398" t="s">
        <v>471</v>
      </c>
      <c r="J54" s="30">
        <v>45509</v>
      </c>
      <c r="K54" s="30">
        <v>45657</v>
      </c>
      <c r="L54" s="18" t="s">
        <v>465</v>
      </c>
      <c r="M54" s="18" t="s">
        <v>448</v>
      </c>
      <c r="N54" s="18" t="s">
        <v>449</v>
      </c>
      <c r="O54" s="18">
        <v>1428</v>
      </c>
      <c r="P54" s="18">
        <v>1528</v>
      </c>
      <c r="Q54" s="398" t="s">
        <v>472</v>
      </c>
      <c r="R54" s="398" t="s">
        <v>451</v>
      </c>
      <c r="S54" s="398" t="s">
        <v>377</v>
      </c>
      <c r="T54" s="18" t="s">
        <v>452</v>
      </c>
      <c r="U54" s="18" t="s">
        <v>453</v>
      </c>
      <c r="V54" s="18" t="s">
        <v>454</v>
      </c>
      <c r="W54" s="18" t="s">
        <v>455</v>
      </c>
      <c r="X54" s="398" t="s">
        <v>456</v>
      </c>
      <c r="Y54" s="18" t="s">
        <v>457</v>
      </c>
      <c r="Z54" s="18" t="s">
        <v>377</v>
      </c>
      <c r="AA54" s="18" t="s">
        <v>458</v>
      </c>
      <c r="AB54" s="18" t="s">
        <v>459</v>
      </c>
      <c r="AC54" s="18" t="s">
        <v>473</v>
      </c>
      <c r="AD54" s="18" t="s">
        <v>461</v>
      </c>
      <c r="AE54" s="18" t="s">
        <v>474</v>
      </c>
      <c r="AF54" s="398" t="s">
        <v>475</v>
      </c>
      <c r="AG54" s="399">
        <v>13365000</v>
      </c>
      <c r="AH54" s="399">
        <v>0</v>
      </c>
      <c r="AI54" s="399">
        <v>0</v>
      </c>
      <c r="AJ54" s="399">
        <v>13365000</v>
      </c>
      <c r="AK54" s="399">
        <v>0</v>
      </c>
      <c r="AL54" s="399">
        <v>13365000</v>
      </c>
      <c r="AM54" s="18">
        <v>5000720525</v>
      </c>
      <c r="AN54" s="18">
        <v>2</v>
      </c>
      <c r="AO54" s="18">
        <v>590299</v>
      </c>
      <c r="AP54" s="18">
        <v>2</v>
      </c>
      <c r="AQ54" s="30">
        <v>45509</v>
      </c>
      <c r="AR54" s="400">
        <v>8232</v>
      </c>
      <c r="AS54" s="401">
        <v>2970000</v>
      </c>
      <c r="AT54" s="402">
        <v>45512</v>
      </c>
      <c r="AU54" s="402">
        <v>45648</v>
      </c>
      <c r="AV54" s="403" t="s">
        <v>255</v>
      </c>
      <c r="AW54" s="383">
        <v>0</v>
      </c>
      <c r="AX54" s="383"/>
      <c r="AY54" s="383">
        <v>0</v>
      </c>
      <c r="AZ54" s="383"/>
      <c r="BA54" s="383">
        <v>0</v>
      </c>
      <c r="BB54" s="383"/>
      <c r="BC54" s="383">
        <v>0</v>
      </c>
      <c r="BD54" s="383"/>
      <c r="BE54" s="404">
        <f>(9000000*33%)/30*8</f>
        <v>792000</v>
      </c>
      <c r="BF54" s="405"/>
      <c r="BG54" s="67">
        <v>0</v>
      </c>
      <c r="BH54" s="385">
        <v>0</v>
      </c>
      <c r="BI54" s="406" t="s">
        <v>550</v>
      </c>
      <c r="BJ54" s="398">
        <v>0</v>
      </c>
      <c r="BK54" s="398">
        <v>0</v>
      </c>
      <c r="BL54" s="398">
        <v>0</v>
      </c>
      <c r="BM54" s="398"/>
      <c r="BN54" s="398"/>
      <c r="BO54" s="77">
        <f t="shared" si="6"/>
        <v>792000</v>
      </c>
      <c r="BP54" s="20"/>
      <c r="BR54" s="74"/>
      <c r="BS54" s="74"/>
      <c r="BT54" s="74"/>
      <c r="BU54" s="74"/>
      <c r="BV54" s="74"/>
    </row>
    <row r="55" spans="1:74" s="18" customFormat="1" ht="12">
      <c r="A55" s="398">
        <v>2024</v>
      </c>
      <c r="B55" s="18">
        <v>8</v>
      </c>
      <c r="C55" s="30">
        <v>45292</v>
      </c>
      <c r="D55" s="30">
        <v>45535</v>
      </c>
      <c r="E55" s="18" t="s">
        <v>443</v>
      </c>
      <c r="F55" s="30">
        <v>45509</v>
      </c>
      <c r="G55" s="18" t="s">
        <v>444</v>
      </c>
      <c r="H55" s="18" t="s">
        <v>445</v>
      </c>
      <c r="I55" s="398" t="s">
        <v>471</v>
      </c>
      <c r="J55" s="30">
        <v>45509</v>
      </c>
      <c r="K55" s="30">
        <v>45657</v>
      </c>
      <c r="L55" s="18" t="s">
        <v>465</v>
      </c>
      <c r="M55" s="18" t="s">
        <v>448</v>
      </c>
      <c r="N55" s="18" t="s">
        <v>449</v>
      </c>
      <c r="O55" s="18">
        <v>1428</v>
      </c>
      <c r="P55" s="18">
        <v>1528</v>
      </c>
      <c r="Q55" s="398" t="s">
        <v>472</v>
      </c>
      <c r="R55" s="398" t="s">
        <v>451</v>
      </c>
      <c r="S55" s="398" t="s">
        <v>377</v>
      </c>
      <c r="T55" s="18" t="s">
        <v>452</v>
      </c>
      <c r="U55" s="18" t="s">
        <v>453</v>
      </c>
      <c r="V55" s="18" t="s">
        <v>454</v>
      </c>
      <c r="W55" s="18" t="s">
        <v>455</v>
      </c>
      <c r="X55" s="398" t="s">
        <v>456</v>
      </c>
      <c r="Y55" s="18" t="s">
        <v>457</v>
      </c>
      <c r="Z55" s="18" t="s">
        <v>377</v>
      </c>
      <c r="AA55" s="18" t="s">
        <v>458</v>
      </c>
      <c r="AB55" s="18" t="s">
        <v>459</v>
      </c>
      <c r="AC55" s="18" t="s">
        <v>473</v>
      </c>
      <c r="AD55" s="18" t="s">
        <v>461</v>
      </c>
      <c r="AE55" s="18" t="s">
        <v>474</v>
      </c>
      <c r="AF55" s="398" t="s">
        <v>475</v>
      </c>
      <c r="AG55" s="399">
        <v>13770000</v>
      </c>
      <c r="AH55" s="399">
        <v>0</v>
      </c>
      <c r="AI55" s="399">
        <v>0</v>
      </c>
      <c r="AJ55" s="399">
        <v>13770000</v>
      </c>
      <c r="AK55" s="399">
        <v>0</v>
      </c>
      <c r="AL55" s="399">
        <v>13770000</v>
      </c>
      <c r="AM55" s="18">
        <v>5000720525</v>
      </c>
      <c r="AN55" s="18">
        <v>3</v>
      </c>
      <c r="AO55" s="18">
        <v>590299</v>
      </c>
      <c r="AP55" s="18">
        <v>3</v>
      </c>
      <c r="AQ55" s="30">
        <v>45509</v>
      </c>
      <c r="AR55" s="400">
        <v>8232</v>
      </c>
      <c r="AS55" s="401">
        <v>3060000</v>
      </c>
      <c r="AT55" s="402">
        <v>45512</v>
      </c>
      <c r="AU55" s="402">
        <v>45648</v>
      </c>
      <c r="AV55" s="403" t="s">
        <v>255</v>
      </c>
      <c r="AW55" s="383">
        <v>0</v>
      </c>
      <c r="AX55" s="383"/>
      <c r="AY55" s="383">
        <v>0</v>
      </c>
      <c r="AZ55" s="383"/>
      <c r="BA55" s="383">
        <v>0</v>
      </c>
      <c r="BB55" s="383"/>
      <c r="BC55" s="383">
        <v>0</v>
      </c>
      <c r="BD55" s="383"/>
      <c r="BE55" s="404">
        <f>(9000000*34%)/30*8</f>
        <v>816000</v>
      </c>
      <c r="BF55" s="405"/>
      <c r="BG55" s="67">
        <v>0</v>
      </c>
      <c r="BH55" s="385">
        <v>0</v>
      </c>
      <c r="BI55" s="406" t="s">
        <v>550</v>
      </c>
      <c r="BJ55" s="398">
        <v>0</v>
      </c>
      <c r="BK55" s="398">
        <v>0</v>
      </c>
      <c r="BL55" s="398">
        <v>0</v>
      </c>
      <c r="BM55" s="398"/>
      <c r="BN55" s="398"/>
      <c r="BO55" s="77">
        <f t="shared" si="6"/>
        <v>816000</v>
      </c>
      <c r="BP55" s="20"/>
      <c r="BR55" s="74"/>
      <c r="BS55" s="74"/>
      <c r="BT55" s="74"/>
      <c r="BU55" s="74"/>
      <c r="BV55" s="74"/>
    </row>
    <row r="56" spans="1:74" s="21" customFormat="1" ht="12">
      <c r="AW56" s="54">
        <f>+AW42+AW46+AW47+AW48+AW49+AW50+AW51+AW52+AW53+AW54+AW55</f>
        <v>37696433.333333299</v>
      </c>
      <c r="AX56" s="55"/>
      <c r="AY56" s="54">
        <f>+AY42+AY46+AY47+AY48+AY49+AY50+AY51+AY52+AY53+AY54+AY55</f>
        <v>103247733.333333</v>
      </c>
      <c r="AZ56" s="54"/>
      <c r="BA56" s="54">
        <f>+BA42+BA46+BA47+BA48+BA49+BA50+BA51+BA52+BA53+BA54+BA55</f>
        <v>103955000</v>
      </c>
      <c r="BB56" s="54"/>
      <c r="BC56" s="54">
        <f>+BC42+BC46+BC47+BC48+BC49+BC50+BC51+BC52+BC53+BC54+BC55</f>
        <v>103955000</v>
      </c>
      <c r="BD56" s="54"/>
      <c r="BE56" s="54">
        <f>+BE42+BE46+BE47+BE48+BE49+BE50+BE51+BE52+BE53+BE54+BE55</f>
        <v>101120000</v>
      </c>
      <c r="BF56" s="54"/>
      <c r="BG56" s="54">
        <f>+BG42+BG46+BG47+BG48+BG49+BG50+BG51+BG52+BG53+BG54+BG55</f>
        <v>25140401.666666701</v>
      </c>
      <c r="BI56" s="68"/>
      <c r="BJ56" s="54">
        <f>+BJ46+BJ47+BJ48+BJ49+BJ50+BJ51+BJ52+BJ53+BJ54+BJ55</f>
        <v>1628806.66666667</v>
      </c>
      <c r="BK56" s="54">
        <f>+BK46+BK47+BK48+BK49+BK50+BK51+BK52+BK53+BK54+BK55</f>
        <v>1628806.66666667</v>
      </c>
      <c r="BL56" s="54">
        <f>+BL46+BL47+BL48+BL49+BL50+BL51+BL52+BL53+BL54+BL55</f>
        <v>6771720</v>
      </c>
      <c r="BM56" s="54"/>
      <c r="BN56" s="54"/>
      <c r="BO56" s="54">
        <f>+BO42+BO46+BO47+BO48+BO49+BO50+BO51+BO52</f>
        <v>473421833.33333302</v>
      </c>
      <c r="BP56" s="54"/>
      <c r="BR56" s="79"/>
      <c r="BS56" s="79"/>
      <c r="BT56" s="79"/>
      <c r="BU56" s="79"/>
      <c r="BV56" s="79"/>
    </row>
    <row r="57" spans="1:74">
      <c r="BJ57" s="37"/>
      <c r="BK57" s="37"/>
      <c r="BL57" s="37"/>
      <c r="BM57" s="37"/>
      <c r="BN57" s="37"/>
      <c r="BO57" s="37"/>
      <c r="BP57" s="22"/>
      <c r="BR57" s="25">
        <f>+BO46+BO47+BO48+BO49+BO50+BO51+BO52+BO53+BO54+BO55</f>
        <v>12429333.3333333</v>
      </c>
    </row>
    <row r="58" spans="1:74" s="16" customFormat="1" ht="12">
      <c r="A58" s="377">
        <v>2024</v>
      </c>
      <c r="B58" s="16">
        <v>8</v>
      </c>
      <c r="C58" s="28">
        <v>45292</v>
      </c>
      <c r="D58" s="28">
        <v>45535</v>
      </c>
      <c r="E58" s="16" t="s">
        <v>443</v>
      </c>
      <c r="F58" s="28">
        <v>45506</v>
      </c>
      <c r="G58" s="16" t="s">
        <v>444</v>
      </c>
      <c r="H58" s="16" t="s">
        <v>445</v>
      </c>
      <c r="I58" s="377" t="s">
        <v>446</v>
      </c>
      <c r="J58" s="28">
        <v>45506</v>
      </c>
      <c r="K58" s="28">
        <v>45657</v>
      </c>
      <c r="L58" s="16" t="s">
        <v>447</v>
      </c>
      <c r="M58" s="16" t="s">
        <v>448</v>
      </c>
      <c r="N58" s="16" t="s">
        <v>449</v>
      </c>
      <c r="O58" s="16">
        <v>1426</v>
      </c>
      <c r="P58" s="16">
        <v>1384</v>
      </c>
      <c r="Q58" s="377" t="s">
        <v>450</v>
      </c>
      <c r="R58" s="377" t="s">
        <v>451</v>
      </c>
      <c r="S58" s="377" t="s">
        <v>377</v>
      </c>
      <c r="T58" s="16" t="s">
        <v>452</v>
      </c>
      <c r="U58" s="16" t="s">
        <v>453</v>
      </c>
      <c r="V58" s="16" t="s">
        <v>454</v>
      </c>
      <c r="W58" s="16" t="s">
        <v>455</v>
      </c>
      <c r="X58" s="377" t="s">
        <v>456</v>
      </c>
      <c r="Y58" s="16" t="s">
        <v>457</v>
      </c>
      <c r="Z58" s="16" t="s">
        <v>377</v>
      </c>
      <c r="AA58" s="16" t="s">
        <v>458</v>
      </c>
      <c r="AB58" s="16" t="s">
        <v>459</v>
      </c>
      <c r="AC58" s="16" t="s">
        <v>460</v>
      </c>
      <c r="AD58" s="16" t="s">
        <v>461</v>
      </c>
      <c r="AE58" s="16" t="s">
        <v>462</v>
      </c>
      <c r="AF58" s="377" t="s">
        <v>463</v>
      </c>
      <c r="AG58" s="378">
        <v>0</v>
      </c>
      <c r="AH58" s="378">
        <v>0</v>
      </c>
      <c r="AI58" s="378">
        <v>0</v>
      </c>
      <c r="AJ58" s="378">
        <v>0</v>
      </c>
      <c r="AK58" s="378">
        <v>0</v>
      </c>
      <c r="AL58" s="380">
        <f>2706000/30*15</f>
        <v>1353000</v>
      </c>
      <c r="AM58" s="16">
        <v>5000718990</v>
      </c>
      <c r="AN58" s="16">
        <v>1</v>
      </c>
      <c r="AO58" s="16">
        <v>590297</v>
      </c>
      <c r="AP58" s="16">
        <v>1</v>
      </c>
      <c r="AQ58" s="28">
        <v>45506</v>
      </c>
      <c r="AR58" s="379">
        <v>8232</v>
      </c>
      <c r="AS58" s="380">
        <f t="shared" ref="AS58:AS64" si="7">+AL58</f>
        <v>1353000</v>
      </c>
      <c r="AT58" s="381">
        <v>45658</v>
      </c>
      <c r="AU58" s="381">
        <v>45677</v>
      </c>
      <c r="AV58" s="382" t="s">
        <v>255</v>
      </c>
      <c r="AW58" s="383">
        <v>0</v>
      </c>
      <c r="AX58" s="383"/>
      <c r="AY58" s="383">
        <v>0</v>
      </c>
      <c r="AZ58" s="383"/>
      <c r="BA58" s="383">
        <v>0</v>
      </c>
      <c r="BB58" s="383"/>
      <c r="BC58" s="383">
        <v>0</v>
      </c>
      <c r="BD58" s="383"/>
      <c r="BE58" s="383">
        <v>0</v>
      </c>
      <c r="BF58" s="384"/>
      <c r="BG58" s="60">
        <v>0</v>
      </c>
      <c r="BH58" s="385">
        <f t="shared" ref="BH58:BH64" si="8">+AS58</f>
        <v>1353000</v>
      </c>
      <c r="BI58" s="386" t="s">
        <v>556</v>
      </c>
      <c r="BJ58" s="387">
        <f>+AS58</f>
        <v>1353000</v>
      </c>
      <c r="BK58" s="387">
        <f>+AS59</f>
        <v>1353000</v>
      </c>
      <c r="BL58" s="387">
        <f>+AS60</f>
        <v>1394000</v>
      </c>
      <c r="BM58" s="377"/>
      <c r="BN58" s="377"/>
      <c r="BO58" s="76">
        <f>+BH58+BH59+BH60</f>
        <v>4100000</v>
      </c>
      <c r="BP58" s="18" t="s">
        <v>557</v>
      </c>
      <c r="BR58" s="70"/>
      <c r="BS58" s="70"/>
      <c r="BT58" s="70"/>
      <c r="BU58" s="70"/>
      <c r="BV58" s="70"/>
    </row>
    <row r="59" spans="1:74" s="16" customFormat="1" ht="12">
      <c r="A59" s="377">
        <v>2024</v>
      </c>
      <c r="B59" s="16">
        <v>8</v>
      </c>
      <c r="C59" s="28">
        <v>45292</v>
      </c>
      <c r="D59" s="28">
        <v>45535</v>
      </c>
      <c r="E59" s="16" t="s">
        <v>443</v>
      </c>
      <c r="F59" s="28">
        <v>45506</v>
      </c>
      <c r="G59" s="16" t="s">
        <v>444</v>
      </c>
      <c r="H59" s="16" t="s">
        <v>445</v>
      </c>
      <c r="I59" s="377" t="s">
        <v>446</v>
      </c>
      <c r="J59" s="28">
        <v>45506</v>
      </c>
      <c r="K59" s="28">
        <v>45657</v>
      </c>
      <c r="L59" s="16" t="s">
        <v>447</v>
      </c>
      <c r="M59" s="16" t="s">
        <v>448</v>
      </c>
      <c r="N59" s="16" t="s">
        <v>449</v>
      </c>
      <c r="O59" s="16">
        <v>1426</v>
      </c>
      <c r="P59" s="16">
        <v>1384</v>
      </c>
      <c r="Q59" s="377" t="s">
        <v>450</v>
      </c>
      <c r="R59" s="377" t="s">
        <v>451</v>
      </c>
      <c r="S59" s="377" t="s">
        <v>377</v>
      </c>
      <c r="T59" s="16" t="s">
        <v>452</v>
      </c>
      <c r="U59" s="16" t="s">
        <v>453</v>
      </c>
      <c r="V59" s="16" t="s">
        <v>454</v>
      </c>
      <c r="W59" s="16" t="s">
        <v>455</v>
      </c>
      <c r="X59" s="377" t="s">
        <v>456</v>
      </c>
      <c r="Y59" s="16" t="s">
        <v>457</v>
      </c>
      <c r="Z59" s="16" t="s">
        <v>377</v>
      </c>
      <c r="AA59" s="16" t="s">
        <v>458</v>
      </c>
      <c r="AB59" s="16" t="s">
        <v>459</v>
      </c>
      <c r="AC59" s="16" t="s">
        <v>460</v>
      </c>
      <c r="AD59" s="16" t="s">
        <v>461</v>
      </c>
      <c r="AE59" s="16" t="s">
        <v>462</v>
      </c>
      <c r="AF59" s="377" t="s">
        <v>463</v>
      </c>
      <c r="AG59" s="378">
        <v>0</v>
      </c>
      <c r="AH59" s="378">
        <v>0</v>
      </c>
      <c r="AI59" s="378">
        <v>0</v>
      </c>
      <c r="AJ59" s="378">
        <v>0</v>
      </c>
      <c r="AK59" s="378">
        <v>0</v>
      </c>
      <c r="AL59" s="380">
        <f>2706000/30*15</f>
        <v>1353000</v>
      </c>
      <c r="AM59" s="16">
        <v>5000718990</v>
      </c>
      <c r="AN59" s="16">
        <v>2</v>
      </c>
      <c r="AO59" s="16">
        <v>590297</v>
      </c>
      <c r="AP59" s="16">
        <v>2</v>
      </c>
      <c r="AQ59" s="28">
        <v>45506</v>
      </c>
      <c r="AR59" s="379">
        <v>8232</v>
      </c>
      <c r="AS59" s="380">
        <f t="shared" si="7"/>
        <v>1353000</v>
      </c>
      <c r="AT59" s="381">
        <v>45658</v>
      </c>
      <c r="AU59" s="381">
        <v>45677</v>
      </c>
      <c r="AV59" s="382" t="s">
        <v>255</v>
      </c>
      <c r="AW59" s="383">
        <v>0</v>
      </c>
      <c r="AX59" s="383"/>
      <c r="AY59" s="383">
        <v>0</v>
      </c>
      <c r="AZ59" s="383"/>
      <c r="BA59" s="383">
        <v>0</v>
      </c>
      <c r="BB59" s="383"/>
      <c r="BC59" s="383">
        <v>0</v>
      </c>
      <c r="BD59" s="383"/>
      <c r="BE59" s="383">
        <v>0</v>
      </c>
      <c r="BF59" s="384"/>
      <c r="BG59" s="60">
        <v>0</v>
      </c>
      <c r="BH59" s="385">
        <f t="shared" si="8"/>
        <v>1353000</v>
      </c>
      <c r="BI59" s="386" t="s">
        <v>556</v>
      </c>
      <c r="BJ59" s="377">
        <v>0</v>
      </c>
      <c r="BK59" s="377">
        <v>0</v>
      </c>
      <c r="BL59" s="377">
        <v>0</v>
      </c>
      <c r="BM59" s="377"/>
      <c r="BN59" s="377"/>
      <c r="BP59" s="18"/>
      <c r="BR59" s="70"/>
      <c r="BS59" s="70"/>
      <c r="BT59" s="70"/>
      <c r="BU59" s="70"/>
      <c r="BV59" s="70"/>
    </row>
    <row r="60" spans="1:74" s="16" customFormat="1" ht="12">
      <c r="A60" s="377">
        <v>2024</v>
      </c>
      <c r="B60" s="16">
        <v>8</v>
      </c>
      <c r="C60" s="28">
        <v>45292</v>
      </c>
      <c r="D60" s="28">
        <v>45535</v>
      </c>
      <c r="E60" s="16" t="s">
        <v>443</v>
      </c>
      <c r="F60" s="28">
        <v>45506</v>
      </c>
      <c r="G60" s="16" t="s">
        <v>444</v>
      </c>
      <c r="H60" s="16" t="s">
        <v>445</v>
      </c>
      <c r="I60" s="377" t="s">
        <v>446</v>
      </c>
      <c r="J60" s="28">
        <v>45506</v>
      </c>
      <c r="K60" s="28">
        <v>45657</v>
      </c>
      <c r="L60" s="16" t="s">
        <v>447</v>
      </c>
      <c r="M60" s="16" t="s">
        <v>448</v>
      </c>
      <c r="N60" s="16" t="s">
        <v>449</v>
      </c>
      <c r="O60" s="16">
        <v>1426</v>
      </c>
      <c r="P60" s="16">
        <v>1384</v>
      </c>
      <c r="Q60" s="377" t="s">
        <v>450</v>
      </c>
      <c r="R60" s="377" t="s">
        <v>451</v>
      </c>
      <c r="S60" s="377" t="s">
        <v>377</v>
      </c>
      <c r="T60" s="16" t="s">
        <v>452</v>
      </c>
      <c r="U60" s="16" t="s">
        <v>453</v>
      </c>
      <c r="V60" s="16" t="s">
        <v>454</v>
      </c>
      <c r="W60" s="16" t="s">
        <v>455</v>
      </c>
      <c r="X60" s="377" t="s">
        <v>456</v>
      </c>
      <c r="Y60" s="16" t="s">
        <v>457</v>
      </c>
      <c r="Z60" s="16" t="s">
        <v>377</v>
      </c>
      <c r="AA60" s="16" t="s">
        <v>458</v>
      </c>
      <c r="AB60" s="16" t="s">
        <v>459</v>
      </c>
      <c r="AC60" s="16" t="s">
        <v>460</v>
      </c>
      <c r="AD60" s="16" t="s">
        <v>461</v>
      </c>
      <c r="AE60" s="16" t="s">
        <v>462</v>
      </c>
      <c r="AF60" s="377" t="s">
        <v>463</v>
      </c>
      <c r="AG60" s="378">
        <v>0</v>
      </c>
      <c r="AH60" s="378">
        <v>0</v>
      </c>
      <c r="AI60" s="378">
        <v>0</v>
      </c>
      <c r="AJ60" s="378">
        <v>0</v>
      </c>
      <c r="AK60" s="378">
        <v>0</v>
      </c>
      <c r="AL60" s="380">
        <f>2788000/30*15</f>
        <v>1394000</v>
      </c>
      <c r="AM60" s="16">
        <v>5000718990</v>
      </c>
      <c r="AN60" s="16">
        <v>3</v>
      </c>
      <c r="AO60" s="16">
        <v>590297</v>
      </c>
      <c r="AP60" s="16">
        <v>3</v>
      </c>
      <c r="AQ60" s="28">
        <v>45506</v>
      </c>
      <c r="AR60" s="379">
        <v>8232</v>
      </c>
      <c r="AS60" s="380">
        <f t="shared" si="7"/>
        <v>1394000</v>
      </c>
      <c r="AT60" s="381">
        <v>45658</v>
      </c>
      <c r="AU60" s="381">
        <v>45677</v>
      </c>
      <c r="AV60" s="382" t="s">
        <v>255</v>
      </c>
      <c r="AW60" s="383">
        <v>0</v>
      </c>
      <c r="AX60" s="383"/>
      <c r="AY60" s="383">
        <v>0</v>
      </c>
      <c r="AZ60" s="383"/>
      <c r="BA60" s="383">
        <v>0</v>
      </c>
      <c r="BB60" s="383"/>
      <c r="BC60" s="383">
        <v>0</v>
      </c>
      <c r="BD60" s="383"/>
      <c r="BE60" s="383">
        <v>0</v>
      </c>
      <c r="BF60" s="384"/>
      <c r="BG60" s="60">
        <v>0</v>
      </c>
      <c r="BH60" s="385">
        <f t="shared" si="8"/>
        <v>1394000</v>
      </c>
      <c r="BI60" s="386" t="s">
        <v>556</v>
      </c>
      <c r="BJ60" s="377">
        <v>0</v>
      </c>
      <c r="BK60" s="377">
        <v>0</v>
      </c>
      <c r="BL60" s="377">
        <v>0</v>
      </c>
      <c r="BM60" s="377"/>
      <c r="BN60" s="377"/>
      <c r="BP60" s="18"/>
      <c r="BR60" s="70"/>
      <c r="BS60" s="70"/>
      <c r="BT60" s="70"/>
      <c r="BU60" s="70"/>
      <c r="BV60" s="70"/>
    </row>
    <row r="61" spans="1:74" s="16" customFormat="1" ht="12">
      <c r="A61" s="377">
        <v>2024</v>
      </c>
      <c r="B61" s="16">
        <v>8</v>
      </c>
      <c r="C61" s="28">
        <v>45292</v>
      </c>
      <c r="D61" s="28">
        <v>45535</v>
      </c>
      <c r="E61" s="16" t="s">
        <v>443</v>
      </c>
      <c r="F61" s="28">
        <v>45509</v>
      </c>
      <c r="G61" s="16" t="s">
        <v>444</v>
      </c>
      <c r="H61" s="16" t="s">
        <v>445</v>
      </c>
      <c r="I61" s="377" t="s">
        <v>471</v>
      </c>
      <c r="J61" s="28">
        <v>45509</v>
      </c>
      <c r="K61" s="28">
        <v>45657</v>
      </c>
      <c r="L61" s="16" t="s">
        <v>465</v>
      </c>
      <c r="M61" s="16" t="s">
        <v>448</v>
      </c>
      <c r="N61" s="16" t="s">
        <v>449</v>
      </c>
      <c r="O61" s="16">
        <v>1428</v>
      </c>
      <c r="P61" s="16">
        <v>1528</v>
      </c>
      <c r="Q61" s="377" t="s">
        <v>472</v>
      </c>
      <c r="R61" s="377" t="s">
        <v>451</v>
      </c>
      <c r="S61" s="377" t="s">
        <v>377</v>
      </c>
      <c r="T61" s="16" t="s">
        <v>452</v>
      </c>
      <c r="U61" s="16" t="s">
        <v>453</v>
      </c>
      <c r="V61" s="16" t="s">
        <v>454</v>
      </c>
      <c r="W61" s="16" t="s">
        <v>455</v>
      </c>
      <c r="X61" s="377" t="s">
        <v>456</v>
      </c>
      <c r="Y61" s="16" t="s">
        <v>457</v>
      </c>
      <c r="Z61" s="16" t="s">
        <v>377</v>
      </c>
      <c r="AA61" s="16" t="s">
        <v>458</v>
      </c>
      <c r="AB61" s="16" t="s">
        <v>459</v>
      </c>
      <c r="AC61" s="16" t="s">
        <v>473</v>
      </c>
      <c r="AD61" s="16" t="s">
        <v>461</v>
      </c>
      <c r="AE61" s="16" t="s">
        <v>474</v>
      </c>
      <c r="AF61" s="377" t="s">
        <v>475</v>
      </c>
      <c r="AG61" s="378">
        <v>0</v>
      </c>
      <c r="AH61" s="378">
        <v>0</v>
      </c>
      <c r="AI61" s="378">
        <v>0</v>
      </c>
      <c r="AJ61" s="378">
        <v>0</v>
      </c>
      <c r="AK61" s="378">
        <v>0</v>
      </c>
      <c r="AL61" s="380">
        <f>(9000000*33%)/30*15</f>
        <v>1485000</v>
      </c>
      <c r="AM61" s="16">
        <v>5000720525</v>
      </c>
      <c r="AN61" s="16">
        <v>1</v>
      </c>
      <c r="AO61" s="16">
        <v>590299</v>
      </c>
      <c r="AP61" s="16">
        <v>1</v>
      </c>
      <c r="AQ61" s="28">
        <v>45509</v>
      </c>
      <c r="AR61" s="379">
        <v>8232</v>
      </c>
      <c r="AS61" s="380">
        <f t="shared" si="7"/>
        <v>1485000</v>
      </c>
      <c r="AT61" s="381">
        <v>45658</v>
      </c>
      <c r="AU61" s="381">
        <v>45677</v>
      </c>
      <c r="AV61" s="382" t="s">
        <v>255</v>
      </c>
      <c r="AW61" s="383">
        <v>0</v>
      </c>
      <c r="AX61" s="383"/>
      <c r="AY61" s="383">
        <v>0</v>
      </c>
      <c r="AZ61" s="383"/>
      <c r="BA61" s="383">
        <v>0</v>
      </c>
      <c r="BB61" s="383"/>
      <c r="BC61" s="383">
        <v>0</v>
      </c>
      <c r="BD61" s="383"/>
      <c r="BE61" s="383">
        <v>0</v>
      </c>
      <c r="BF61" s="384"/>
      <c r="BG61" s="60">
        <v>0</v>
      </c>
      <c r="BH61" s="385">
        <f t="shared" si="8"/>
        <v>1485000</v>
      </c>
      <c r="BI61" s="386" t="s">
        <v>556</v>
      </c>
      <c r="BJ61" s="387">
        <f>+AL61</f>
        <v>1485000</v>
      </c>
      <c r="BK61" s="387">
        <f>+AL62</f>
        <v>1485000</v>
      </c>
      <c r="BL61" s="387">
        <f>+AS63</f>
        <v>1530000</v>
      </c>
      <c r="BM61" s="377"/>
      <c r="BN61" s="377"/>
      <c r="BO61" s="76">
        <f>+BH61+BH62+BH63</f>
        <v>4500000</v>
      </c>
      <c r="BP61" s="18" t="s">
        <v>555</v>
      </c>
      <c r="BR61" s="70"/>
      <c r="BS61" s="70"/>
      <c r="BT61" s="70"/>
      <c r="BU61" s="70"/>
      <c r="BV61" s="70"/>
    </row>
    <row r="62" spans="1:74" s="16" customFormat="1" ht="12">
      <c r="A62" s="377">
        <v>2024</v>
      </c>
      <c r="B62" s="16">
        <v>8</v>
      </c>
      <c r="C62" s="28">
        <v>45292</v>
      </c>
      <c r="D62" s="28">
        <v>45535</v>
      </c>
      <c r="E62" s="16" t="s">
        <v>443</v>
      </c>
      <c r="F62" s="28">
        <v>45509</v>
      </c>
      <c r="G62" s="16" t="s">
        <v>444</v>
      </c>
      <c r="H62" s="16" t="s">
        <v>445</v>
      </c>
      <c r="I62" s="377" t="s">
        <v>471</v>
      </c>
      <c r="J62" s="28">
        <v>45509</v>
      </c>
      <c r="K62" s="28">
        <v>45657</v>
      </c>
      <c r="L62" s="16" t="s">
        <v>465</v>
      </c>
      <c r="M62" s="16" t="s">
        <v>448</v>
      </c>
      <c r="N62" s="16" t="s">
        <v>449</v>
      </c>
      <c r="O62" s="16">
        <v>1428</v>
      </c>
      <c r="P62" s="16">
        <v>1528</v>
      </c>
      <c r="Q62" s="377" t="s">
        <v>472</v>
      </c>
      <c r="R62" s="377" t="s">
        <v>451</v>
      </c>
      <c r="S62" s="377" t="s">
        <v>377</v>
      </c>
      <c r="T62" s="16" t="s">
        <v>452</v>
      </c>
      <c r="U62" s="16" t="s">
        <v>453</v>
      </c>
      <c r="V62" s="16" t="s">
        <v>454</v>
      </c>
      <c r="W62" s="16" t="s">
        <v>455</v>
      </c>
      <c r="X62" s="377" t="s">
        <v>456</v>
      </c>
      <c r="Y62" s="16" t="s">
        <v>457</v>
      </c>
      <c r="Z62" s="16" t="s">
        <v>377</v>
      </c>
      <c r="AA62" s="16" t="s">
        <v>458</v>
      </c>
      <c r="AB62" s="16" t="s">
        <v>459</v>
      </c>
      <c r="AC62" s="16" t="s">
        <v>473</v>
      </c>
      <c r="AD62" s="16" t="s">
        <v>461</v>
      </c>
      <c r="AE62" s="16" t="s">
        <v>474</v>
      </c>
      <c r="AF62" s="377" t="s">
        <v>475</v>
      </c>
      <c r="AG62" s="378">
        <v>0</v>
      </c>
      <c r="AH62" s="378">
        <v>0</v>
      </c>
      <c r="AI62" s="378">
        <v>0</v>
      </c>
      <c r="AJ62" s="378">
        <v>0</v>
      </c>
      <c r="AK62" s="378">
        <v>0</v>
      </c>
      <c r="AL62" s="380">
        <f>(9000000*33%)/30*15</f>
        <v>1485000</v>
      </c>
      <c r="AM62" s="16">
        <v>5000720525</v>
      </c>
      <c r="AN62" s="16">
        <v>2</v>
      </c>
      <c r="AO62" s="16">
        <v>590299</v>
      </c>
      <c r="AP62" s="16">
        <v>2</v>
      </c>
      <c r="AQ62" s="28">
        <v>45509</v>
      </c>
      <c r="AR62" s="379">
        <v>8232</v>
      </c>
      <c r="AS62" s="380">
        <f t="shared" si="7"/>
        <v>1485000</v>
      </c>
      <c r="AT62" s="381">
        <v>45658</v>
      </c>
      <c r="AU62" s="381">
        <v>45677</v>
      </c>
      <c r="AV62" s="382" t="s">
        <v>255</v>
      </c>
      <c r="AW62" s="383">
        <v>0</v>
      </c>
      <c r="AX62" s="383"/>
      <c r="AY62" s="383">
        <v>0</v>
      </c>
      <c r="AZ62" s="383"/>
      <c r="BA62" s="383">
        <v>0</v>
      </c>
      <c r="BB62" s="383"/>
      <c r="BC62" s="383">
        <v>0</v>
      </c>
      <c r="BD62" s="383"/>
      <c r="BE62" s="383">
        <v>0</v>
      </c>
      <c r="BF62" s="384"/>
      <c r="BG62" s="60">
        <v>0</v>
      </c>
      <c r="BH62" s="385">
        <f t="shared" si="8"/>
        <v>1485000</v>
      </c>
      <c r="BI62" s="386" t="s">
        <v>556</v>
      </c>
      <c r="BJ62" s="377">
        <v>0</v>
      </c>
      <c r="BK62" s="377">
        <v>0</v>
      </c>
      <c r="BL62" s="377">
        <v>0</v>
      </c>
      <c r="BM62" s="377"/>
      <c r="BN62" s="377"/>
      <c r="BR62" s="70"/>
      <c r="BS62" s="70"/>
      <c r="BT62" s="70"/>
      <c r="BU62" s="70"/>
      <c r="BV62" s="70"/>
    </row>
    <row r="63" spans="1:74" s="16" customFormat="1" ht="12">
      <c r="A63" s="377">
        <v>2024</v>
      </c>
      <c r="B63" s="16">
        <v>8</v>
      </c>
      <c r="C63" s="28">
        <v>45292</v>
      </c>
      <c r="D63" s="28">
        <v>45535</v>
      </c>
      <c r="E63" s="16" t="s">
        <v>443</v>
      </c>
      <c r="F63" s="28">
        <v>45509</v>
      </c>
      <c r="G63" s="16" t="s">
        <v>444</v>
      </c>
      <c r="H63" s="16" t="s">
        <v>445</v>
      </c>
      <c r="I63" s="377" t="s">
        <v>471</v>
      </c>
      <c r="J63" s="28">
        <v>45509</v>
      </c>
      <c r="K63" s="28">
        <v>45657</v>
      </c>
      <c r="L63" s="16" t="s">
        <v>465</v>
      </c>
      <c r="M63" s="16" t="s">
        <v>448</v>
      </c>
      <c r="N63" s="16" t="s">
        <v>449</v>
      </c>
      <c r="O63" s="16">
        <v>1428</v>
      </c>
      <c r="P63" s="16">
        <v>1528</v>
      </c>
      <c r="Q63" s="377" t="s">
        <v>472</v>
      </c>
      <c r="R63" s="377" t="s">
        <v>451</v>
      </c>
      <c r="S63" s="377" t="s">
        <v>377</v>
      </c>
      <c r="T63" s="16" t="s">
        <v>452</v>
      </c>
      <c r="U63" s="16" t="s">
        <v>453</v>
      </c>
      <c r="V63" s="16" t="s">
        <v>454</v>
      </c>
      <c r="W63" s="16" t="s">
        <v>455</v>
      </c>
      <c r="X63" s="377" t="s">
        <v>456</v>
      </c>
      <c r="Y63" s="16" t="s">
        <v>457</v>
      </c>
      <c r="Z63" s="16" t="s">
        <v>377</v>
      </c>
      <c r="AA63" s="16" t="s">
        <v>458</v>
      </c>
      <c r="AB63" s="16" t="s">
        <v>459</v>
      </c>
      <c r="AC63" s="16" t="s">
        <v>473</v>
      </c>
      <c r="AD63" s="16" t="s">
        <v>461</v>
      </c>
      <c r="AE63" s="16" t="s">
        <v>474</v>
      </c>
      <c r="AF63" s="377" t="s">
        <v>475</v>
      </c>
      <c r="AG63" s="378">
        <v>0</v>
      </c>
      <c r="AH63" s="378">
        <v>0</v>
      </c>
      <c r="AI63" s="378">
        <v>0</v>
      </c>
      <c r="AJ63" s="378">
        <v>0</v>
      </c>
      <c r="AK63" s="378">
        <v>0</v>
      </c>
      <c r="AL63" s="380">
        <f>(9000000*34%)/30*15</f>
        <v>1530000</v>
      </c>
      <c r="AM63" s="16">
        <v>5000720525</v>
      </c>
      <c r="AN63" s="16">
        <v>3</v>
      </c>
      <c r="AO63" s="16">
        <v>590299</v>
      </c>
      <c r="AP63" s="16">
        <v>3</v>
      </c>
      <c r="AQ63" s="28">
        <v>45509</v>
      </c>
      <c r="AR63" s="379">
        <v>8232</v>
      </c>
      <c r="AS63" s="380">
        <f t="shared" si="7"/>
        <v>1530000</v>
      </c>
      <c r="AT63" s="381">
        <v>45658</v>
      </c>
      <c r="AU63" s="381">
        <v>45677</v>
      </c>
      <c r="AV63" s="382" t="s">
        <v>255</v>
      </c>
      <c r="AW63" s="383">
        <v>0</v>
      </c>
      <c r="AX63" s="383"/>
      <c r="AY63" s="383">
        <v>0</v>
      </c>
      <c r="AZ63" s="383"/>
      <c r="BA63" s="383">
        <v>0</v>
      </c>
      <c r="BB63" s="383"/>
      <c r="BC63" s="383">
        <v>0</v>
      </c>
      <c r="BD63" s="383"/>
      <c r="BE63" s="383">
        <v>0</v>
      </c>
      <c r="BF63" s="384"/>
      <c r="BG63" s="60">
        <v>0</v>
      </c>
      <c r="BH63" s="385">
        <f t="shared" si="8"/>
        <v>1530000</v>
      </c>
      <c r="BI63" s="386" t="s">
        <v>556</v>
      </c>
      <c r="BJ63" s="377">
        <v>0</v>
      </c>
      <c r="BK63" s="377">
        <v>0</v>
      </c>
      <c r="BL63" s="377">
        <v>0</v>
      </c>
      <c r="BM63" s="377"/>
      <c r="BN63" s="377"/>
      <c r="BR63" s="70"/>
      <c r="BS63" s="70"/>
      <c r="BT63" s="70"/>
      <c r="BU63" s="70"/>
      <c r="BV63" s="70"/>
    </row>
    <row r="64" spans="1:74" s="19" customFormat="1" ht="12">
      <c r="A64" s="408">
        <v>2024</v>
      </c>
      <c r="B64" s="16">
        <v>8</v>
      </c>
      <c r="C64" s="28">
        <v>45292</v>
      </c>
      <c r="D64" s="28">
        <v>45535</v>
      </c>
      <c r="E64" s="16" t="s">
        <v>443</v>
      </c>
      <c r="F64" s="28">
        <v>45513</v>
      </c>
      <c r="G64" s="16" t="s">
        <v>444</v>
      </c>
      <c r="H64" s="16" t="s">
        <v>445</v>
      </c>
      <c r="I64" s="408" t="s">
        <v>481</v>
      </c>
      <c r="J64" s="28">
        <v>45513</v>
      </c>
      <c r="K64" s="28">
        <v>45657</v>
      </c>
      <c r="L64" s="16" t="s">
        <v>482</v>
      </c>
      <c r="M64" s="16" t="s">
        <v>448</v>
      </c>
      <c r="N64" s="16" t="s">
        <v>449</v>
      </c>
      <c r="O64" s="16">
        <v>1420</v>
      </c>
      <c r="P64" s="16">
        <v>1625</v>
      </c>
      <c r="Q64" s="408" t="s">
        <v>483</v>
      </c>
      <c r="R64" s="408" t="s">
        <v>451</v>
      </c>
      <c r="S64" s="408" t="s">
        <v>377</v>
      </c>
      <c r="T64" s="16" t="s">
        <v>452</v>
      </c>
      <c r="U64" s="16" t="s">
        <v>453</v>
      </c>
      <c r="V64" s="16" t="s">
        <v>454</v>
      </c>
      <c r="W64" s="16" t="s">
        <v>455</v>
      </c>
      <c r="X64" s="408" t="s">
        <v>456</v>
      </c>
      <c r="Y64" s="16" t="s">
        <v>457</v>
      </c>
      <c r="Z64" s="16" t="s">
        <v>377</v>
      </c>
      <c r="AA64" s="16" t="s">
        <v>458</v>
      </c>
      <c r="AB64" s="16" t="s">
        <v>459</v>
      </c>
      <c r="AC64" s="16" t="s">
        <v>484</v>
      </c>
      <c r="AD64" s="16" t="s">
        <v>461</v>
      </c>
      <c r="AE64" s="16" t="s">
        <v>485</v>
      </c>
      <c r="AF64" s="408" t="s">
        <v>486</v>
      </c>
      <c r="AG64" s="409">
        <v>0</v>
      </c>
      <c r="AH64" s="409">
        <v>0</v>
      </c>
      <c r="AI64" s="409">
        <v>0</v>
      </c>
      <c r="AJ64" s="409">
        <v>0</v>
      </c>
      <c r="AK64" s="409">
        <v>0</v>
      </c>
      <c r="AL64" s="380">
        <f>9000000/30*15</f>
        <v>4500000</v>
      </c>
      <c r="AM64" s="16">
        <v>5000721703</v>
      </c>
      <c r="AN64" s="16">
        <v>1</v>
      </c>
      <c r="AO64" s="16">
        <v>590288</v>
      </c>
      <c r="AP64" s="16">
        <v>1</v>
      </c>
      <c r="AQ64" s="28">
        <v>45513</v>
      </c>
      <c r="AR64" s="410">
        <v>8232</v>
      </c>
      <c r="AS64" s="380">
        <f t="shared" si="7"/>
        <v>4500000</v>
      </c>
      <c r="AT64" s="381">
        <v>45658</v>
      </c>
      <c r="AU64" s="381">
        <v>45677</v>
      </c>
      <c r="AV64" s="413" t="s">
        <v>255</v>
      </c>
      <c r="AW64" s="383">
        <v>0</v>
      </c>
      <c r="AX64" s="383"/>
      <c r="AY64" s="383">
        <v>0</v>
      </c>
      <c r="AZ64" s="383"/>
      <c r="BA64" s="383">
        <v>0</v>
      </c>
      <c r="BB64" s="383"/>
      <c r="BC64" s="383">
        <v>0</v>
      </c>
      <c r="BD64" s="383"/>
      <c r="BE64" s="383">
        <v>0</v>
      </c>
      <c r="BF64" s="384"/>
      <c r="BG64" s="60">
        <v>0</v>
      </c>
      <c r="BH64" s="385">
        <f t="shared" si="8"/>
        <v>4500000</v>
      </c>
      <c r="BI64" s="386" t="s">
        <v>556</v>
      </c>
      <c r="BJ64" s="408">
        <v>0</v>
      </c>
      <c r="BK64" s="408">
        <v>0</v>
      </c>
      <c r="BL64" s="387">
        <f>+BH64</f>
        <v>4500000</v>
      </c>
      <c r="BM64" s="408"/>
      <c r="BN64" s="408"/>
      <c r="BO64" s="76">
        <f>+BH64+BH65+BH66</f>
        <v>4500000</v>
      </c>
      <c r="BP64" s="18" t="s">
        <v>553</v>
      </c>
      <c r="BR64" s="78"/>
      <c r="BS64" s="78"/>
      <c r="BT64" s="78"/>
      <c r="BU64" s="78"/>
      <c r="BV64" s="78"/>
    </row>
    <row r="65" spans="33:74">
      <c r="BJ65" s="54">
        <f>SUBTOTAL(9,BJ58:BJ64)</f>
        <v>2838000</v>
      </c>
      <c r="BK65" s="54">
        <f>SUBTOTAL(9,BK58:BK64)</f>
        <v>2838000</v>
      </c>
      <c r="BL65" s="54">
        <f>SUBTOTAL(9,BL58:BL64)</f>
        <v>7424000</v>
      </c>
      <c r="BM65" s="54"/>
      <c r="BN65" s="54"/>
    </row>
    <row r="66" spans="33:74">
      <c r="BO66" s="82" t="s">
        <v>558</v>
      </c>
      <c r="BP66" s="83">
        <v>463421869</v>
      </c>
    </row>
    <row r="67" spans="33:74">
      <c r="AG67" s="23">
        <v>463392500</v>
      </c>
      <c r="AH67" s="23">
        <v>0</v>
      </c>
      <c r="AI67" s="23">
        <v>0</v>
      </c>
      <c r="AJ67" s="23">
        <v>463392500</v>
      </c>
      <c r="AK67" s="23">
        <v>104508064</v>
      </c>
      <c r="AL67" s="23">
        <v>358884436</v>
      </c>
      <c r="BA67" s="23">
        <f>8200000/30*15</f>
        <v>4100000</v>
      </c>
      <c r="BC67" s="385">
        <f>+BA67*33%</f>
        <v>1353000</v>
      </c>
      <c r="BD67" s="399"/>
      <c r="BJ67" s="37">
        <f>+BJ56+BJ65</f>
        <v>4466806.6666666698</v>
      </c>
      <c r="BK67" s="37">
        <f>+BK56+BK65</f>
        <v>4466806.6666666698</v>
      </c>
      <c r="BL67" s="37">
        <f>+BL56+BL65</f>
        <v>14195720</v>
      </c>
      <c r="BO67" s="22" t="s">
        <v>559</v>
      </c>
      <c r="BP67" s="84">
        <f>+BO42</f>
        <v>463392500</v>
      </c>
    </row>
    <row r="68" spans="33:74">
      <c r="BC68" s="385">
        <f>+BA67*33%</f>
        <v>1353000</v>
      </c>
      <c r="BD68" s="399"/>
      <c r="BO68" s="22"/>
      <c r="BP68" s="76"/>
    </row>
    <row r="69" spans="33:74">
      <c r="BC69" s="385">
        <f>+BA67*34%</f>
        <v>1394000</v>
      </c>
      <c r="BD69" s="399"/>
      <c r="BJ69" s="37">
        <f>+BJ51+BK51</f>
        <v>513333.33333333302</v>
      </c>
      <c r="BO69" s="22" t="s">
        <v>560</v>
      </c>
      <c r="BP69" s="84">
        <f>+BP66-BP67</f>
        <v>29369</v>
      </c>
    </row>
    <row r="70" spans="33:74">
      <c r="BJ70" s="23">
        <v>0.33333333300000001</v>
      </c>
      <c r="BO70" s="76" t="s">
        <v>561</v>
      </c>
      <c r="BP70" s="85">
        <f>+BG2+BG3+BG4+BG5+BG6+BG7+BG8+BG9+BG10+BG11+BG12+BG13+BG14+BG15+BG16+BG17+BG18+BG19+BG20+BG21+BG24+BG25+BG26+BG27+BG30+BG31+BG34+BG35</f>
        <v>13824135</v>
      </c>
    </row>
    <row r="71" spans="33:74">
      <c r="BO71" s="76" t="s">
        <v>562</v>
      </c>
      <c r="BP71" s="85">
        <f>+BG22+BG23+BG28+BG29+BG32+BG33+BG36+BG37</f>
        <v>11316266.6666667</v>
      </c>
      <c r="BQ71" s="37">
        <f>+BP70+BP71</f>
        <v>25140401.666666701</v>
      </c>
    </row>
    <row r="72" spans="33:74">
      <c r="BA72" s="23">
        <f>9000000/30*15</f>
        <v>4500000</v>
      </c>
      <c r="BC72" s="385">
        <f>+BA72*33%</f>
        <v>1485000</v>
      </c>
      <c r="BD72" s="399"/>
      <c r="BO72" s="22" t="s">
        <v>563</v>
      </c>
      <c r="BP72" s="86">
        <f>+BP69+BP70+BP71</f>
        <v>25169770.666666701</v>
      </c>
    </row>
    <row r="73" spans="33:74">
      <c r="BC73" s="385">
        <f>+BA72*33%</f>
        <v>1485000</v>
      </c>
      <c r="BD73" s="399"/>
      <c r="BO73" s="22" t="s">
        <v>564</v>
      </c>
      <c r="BP73" s="86">
        <v>26000000</v>
      </c>
    </row>
    <row r="74" spans="33:74">
      <c r="BC74" s="385">
        <f>+BA72*34%</f>
        <v>1530000</v>
      </c>
      <c r="BD74" s="399"/>
    </row>
    <row r="75" spans="33:74" s="22" customFormat="1">
      <c r="AX75" s="18"/>
      <c r="BA75" s="23"/>
      <c r="BB75" s="23"/>
      <c r="BC75" s="23"/>
      <c r="BD75" s="23"/>
      <c r="BI75" s="81"/>
      <c r="BO75" s="82" t="s">
        <v>565</v>
      </c>
      <c r="BP75" s="87">
        <f>+BP72+BP73</f>
        <v>51169770.666666701</v>
      </c>
      <c r="BR75" s="75"/>
      <c r="BS75" s="75"/>
      <c r="BT75" s="75"/>
      <c r="BU75" s="75"/>
      <c r="BV75" s="75"/>
    </row>
    <row r="76" spans="33:74" s="22" customFormat="1">
      <c r="AX76" s="18"/>
      <c r="AY76" s="23"/>
      <c r="AZ76" s="23"/>
      <c r="BA76" s="23"/>
      <c r="BB76" s="23"/>
      <c r="BC76" s="23"/>
      <c r="BD76" s="23"/>
      <c r="BE76" s="23"/>
      <c r="BF76" s="23"/>
      <c r="BI76" s="81"/>
      <c r="BP76" s="88"/>
      <c r="BR76" s="75"/>
      <c r="BS76" s="75"/>
      <c r="BT76" s="75"/>
      <c r="BU76" s="75"/>
      <c r="BV76" s="75"/>
    </row>
    <row r="77" spans="33:74" s="22" customFormat="1">
      <c r="AX77" s="18"/>
      <c r="AY77" s="23"/>
      <c r="AZ77" s="23"/>
      <c r="BA77" s="23">
        <f>9000000/30*15</f>
        <v>4500000</v>
      </c>
      <c r="BB77" s="23"/>
      <c r="BC77" s="385">
        <f>+BA77*33%</f>
        <v>1485000</v>
      </c>
      <c r="BD77" s="23"/>
      <c r="BE77" s="23"/>
      <c r="BF77" s="23"/>
      <c r="BI77" s="81"/>
      <c r="BP77" s="88"/>
      <c r="BQ77" s="85"/>
      <c r="BR77" s="75">
        <f>BP81/2950</f>
        <v>8691.6736723163904</v>
      </c>
      <c r="BS77" s="75">
        <v>11745</v>
      </c>
      <c r="BT77" s="75"/>
      <c r="BU77" s="75"/>
      <c r="BV77" s="75"/>
    </row>
    <row r="78" spans="33:74">
      <c r="BC78" s="385">
        <f>+BA77*33%</f>
        <v>1485000</v>
      </c>
      <c r="BH78" s="23">
        <f>8+15</f>
        <v>23</v>
      </c>
      <c r="BO78" s="22" t="s">
        <v>566</v>
      </c>
      <c r="BP78" s="76">
        <f>+BO46+BO47+BO48+BO49+BO50+BO51+BO52+BO53+BO54+BO55</f>
        <v>12429333.3333333</v>
      </c>
    </row>
    <row r="79" spans="33:74" ht="14.45">
      <c r="BC79" s="385">
        <f>+BA77*34%</f>
        <v>1530000</v>
      </c>
      <c r="BO79" s="22" t="s">
        <v>567</v>
      </c>
      <c r="BP79" s="76">
        <f>+BO58+BO61+BO64</f>
        <v>13100000</v>
      </c>
      <c r="BQ79" s="85"/>
      <c r="BR79" s="89">
        <f>+BP79/(BP67+BP73)</f>
        <v>2.6767880586645702E-2</v>
      </c>
    </row>
    <row r="81" spans="62:72" ht="14.45">
      <c r="BO81" s="90" t="s">
        <v>568</v>
      </c>
      <c r="BP81" s="91">
        <f>+BP75-BP77-BP78-BP79</f>
        <v>25640437.333333299</v>
      </c>
      <c r="BQ81" s="89">
        <f>+BP81/(BP66+BP73)</f>
        <v>5.2389235049350301E-2</v>
      </c>
    </row>
    <row r="82" spans="62:72">
      <c r="BJ82" s="37"/>
      <c r="BK82" s="37"/>
    </row>
    <row r="83" spans="62:72" ht="14.45">
      <c r="BO83" s="22" t="s">
        <v>569</v>
      </c>
      <c r="BP83" s="92">
        <v>26347702</v>
      </c>
    </row>
    <row r="84" spans="62:72" ht="14.45">
      <c r="BO84" s="93" t="s">
        <v>570</v>
      </c>
      <c r="BP84" s="94">
        <f>+BP81-BP83</f>
        <v>-707264.66666665697</v>
      </c>
      <c r="BQ84" s="89">
        <f>+BP84/(BP66+BP73)</f>
        <v>-1.4451022961269799E-3</v>
      </c>
      <c r="BS84" s="95">
        <f>+BP79/BP95</f>
        <v>2.6766274312110899E-2</v>
      </c>
    </row>
    <row r="85" spans="62:72">
      <c r="BO85" s="96"/>
      <c r="BP85" s="96"/>
    </row>
    <row r="88" spans="62:72" ht="14.45">
      <c r="BS88" s="97" t="s">
        <v>571</v>
      </c>
      <c r="BT88" s="98" t="s">
        <v>572</v>
      </c>
    </row>
    <row r="89" spans="62:72" ht="14.45">
      <c r="BO89" s="23" t="s">
        <v>564</v>
      </c>
      <c r="BP89" s="37">
        <v>26000000</v>
      </c>
      <c r="BS89" s="99" t="s">
        <v>573</v>
      </c>
      <c r="BT89" s="100">
        <v>463421869</v>
      </c>
    </row>
    <row r="90" spans="62:72" ht="14.45">
      <c r="BO90" s="23" t="s">
        <v>574</v>
      </c>
      <c r="BP90" s="37">
        <f>+BO46+BO47+BO48+BO49+BO50+BO51+BO52+BO53+BO54+BO55</f>
        <v>12429333.3333333</v>
      </c>
      <c r="BS90" s="99" t="s">
        <v>575</v>
      </c>
      <c r="BT90" s="100">
        <v>463392500</v>
      </c>
    </row>
    <row r="91" spans="62:72" ht="14.45">
      <c r="BO91" s="23" t="s">
        <v>576</v>
      </c>
      <c r="BP91" s="37">
        <f>+BP79</f>
        <v>13100000</v>
      </c>
      <c r="BS91" s="101" t="s">
        <v>577</v>
      </c>
      <c r="BT91" s="102">
        <f>+BT89-BT90</f>
        <v>29369</v>
      </c>
    </row>
    <row r="92" spans="62:72" ht="14.45">
      <c r="BP92" s="37">
        <f>+BP89-BP90-BP91</f>
        <v>470666.66666666802</v>
      </c>
      <c r="BS92" s="103" t="s">
        <v>578</v>
      </c>
      <c r="BT92" s="104">
        <f>+BP70+BP71</f>
        <v>25140401.666666701</v>
      </c>
    </row>
    <row r="93" spans="62:72" ht="14.45">
      <c r="BS93" s="99" t="s">
        <v>579</v>
      </c>
      <c r="BT93" s="100">
        <f>+BT91+BT92</f>
        <v>25169770.666666701</v>
      </c>
    </row>
    <row r="94" spans="62:72" ht="24">
      <c r="BO94" s="105" t="s">
        <v>580</v>
      </c>
      <c r="BP94" s="105" t="s">
        <v>581</v>
      </c>
      <c r="BQ94" s="105" t="s">
        <v>366</v>
      </c>
      <c r="BS94" s="101" t="s">
        <v>582</v>
      </c>
      <c r="BT94" s="102">
        <v>26000000</v>
      </c>
    </row>
    <row r="95" spans="62:72" ht="14.45">
      <c r="BO95" s="105" t="s">
        <v>583</v>
      </c>
      <c r="BP95" s="106">
        <f>+BP73+BP66</f>
        <v>489421869</v>
      </c>
      <c r="BQ95" s="107">
        <v>1</v>
      </c>
      <c r="BS95" s="108" t="s">
        <v>584</v>
      </c>
      <c r="BT95" s="109">
        <f>+BT93+BT94</f>
        <v>51169770.666666701</v>
      </c>
    </row>
    <row r="96" spans="62:72" ht="14.45">
      <c r="BO96" s="105" t="s">
        <v>585</v>
      </c>
      <c r="BP96" s="110">
        <f>+AW56</f>
        <v>37696433.333333299</v>
      </c>
      <c r="BQ96" s="95">
        <f>+BP96/$BP$95</f>
        <v>7.7022372151771101E-2</v>
      </c>
      <c r="BS96" s="111" t="s">
        <v>586</v>
      </c>
      <c r="BT96" s="112">
        <v>12105333</v>
      </c>
    </row>
    <row r="97" spans="67:73" ht="14.45">
      <c r="BO97" s="105" t="s">
        <v>587</v>
      </c>
      <c r="BP97" s="110">
        <f>+AY56</f>
        <v>103247733.333333</v>
      </c>
      <c r="BQ97" s="95">
        <f>+BP97/$BP$95</f>
        <v>0.21095856125982301</v>
      </c>
      <c r="BS97" s="108" t="s">
        <v>588</v>
      </c>
      <c r="BT97" s="109">
        <f>+BT95-BT96</f>
        <v>39064437.666666701</v>
      </c>
    </row>
    <row r="98" spans="67:73" ht="14.45">
      <c r="BO98" s="105" t="s">
        <v>589</v>
      </c>
      <c r="BP98" s="110">
        <f>+BA56</f>
        <v>103955000</v>
      </c>
      <c r="BQ98" s="95">
        <f>+BP98/$BP$95</f>
        <v>0.21240366764240401</v>
      </c>
      <c r="BS98" s="113" t="s">
        <v>590</v>
      </c>
      <c r="BT98" s="114">
        <v>13100225</v>
      </c>
    </row>
    <row r="99" spans="67:73" ht="14.45">
      <c r="BO99" s="105" t="s">
        <v>591</v>
      </c>
      <c r="BP99" s="110">
        <f>+BC56</f>
        <v>103955000</v>
      </c>
      <c r="BQ99" s="95">
        <f>+BP99/$BP$95</f>
        <v>0.21240366764240401</v>
      </c>
      <c r="BS99" s="115" t="s">
        <v>592</v>
      </c>
      <c r="BT99" s="116">
        <f>+BT97-BT98</f>
        <v>25964212.666666701</v>
      </c>
    </row>
    <row r="100" spans="67:73" ht="14.45">
      <c r="BO100" s="105" t="s">
        <v>593</v>
      </c>
      <c r="BP100" s="110">
        <f>+BE56</f>
        <v>101120000</v>
      </c>
      <c r="BQ100" s="95">
        <f>+BP100/$BP$95</f>
        <v>0.206611118964935</v>
      </c>
      <c r="BS100" s="117" t="s">
        <v>594</v>
      </c>
      <c r="BT100" s="118">
        <f>+BT99</f>
        <v>25964212.666666701</v>
      </c>
    </row>
    <row r="101" spans="67:73">
      <c r="BP101" s="37">
        <f>SUM(BP96:BP100)</f>
        <v>449974166.66666698</v>
      </c>
      <c r="BQ101" s="23">
        <f>+BP101/BP95</f>
        <v>0.919399387661336</v>
      </c>
    </row>
    <row r="103" spans="67:73" ht="14.45">
      <c r="BP103" s="37">
        <f ca="1">SUM(BP96:BP104)</f>
        <v>479675202.66666698</v>
      </c>
      <c r="BQ103" s="119">
        <f ca="1">SUM(BQ96:BQ104)</f>
        <v>0.98008534773231903</v>
      </c>
    </row>
    <row r="104" spans="67:73" ht="14.45">
      <c r="BO104" s="105" t="s">
        <v>595</v>
      </c>
      <c r="BP104" s="110">
        <f>+BP79+30025036</f>
        <v>43125036</v>
      </c>
      <c r="BQ104" s="95">
        <f>+BP104/$BP$95</f>
        <v>8.8114239946233394E-2</v>
      </c>
      <c r="BS104" s="97" t="s">
        <v>571</v>
      </c>
      <c r="BT104" s="98" t="s">
        <v>596</v>
      </c>
      <c r="BU104" s="98" t="s">
        <v>597</v>
      </c>
    </row>
    <row r="105" spans="67:73" ht="14.45">
      <c r="BO105" s="105" t="s">
        <v>598</v>
      </c>
      <c r="BP105" s="110">
        <f>+BP80+30025036</f>
        <v>30025036</v>
      </c>
      <c r="BQ105" s="95">
        <f>+BP105/$BP$95</f>
        <v>6.1347965634122502E-2</v>
      </c>
      <c r="BS105" s="120" t="s">
        <v>599</v>
      </c>
      <c r="BT105" s="121">
        <v>22</v>
      </c>
      <c r="BU105" s="112">
        <v>4158000</v>
      </c>
    </row>
    <row r="106" spans="67:73" ht="14.45">
      <c r="BS106" s="120" t="s">
        <v>600</v>
      </c>
      <c r="BT106" s="121">
        <v>22</v>
      </c>
      <c r="BU106" s="112">
        <v>4158000</v>
      </c>
    </row>
    <row r="107" spans="67:73" ht="14.45">
      <c r="BS107" s="120" t="s">
        <v>601</v>
      </c>
      <c r="BT107" s="121">
        <v>2</v>
      </c>
      <c r="BU107" s="112">
        <v>900000</v>
      </c>
    </row>
    <row r="108" spans="67:73" ht="14.45">
      <c r="BS108" s="120" t="s">
        <v>602</v>
      </c>
      <c r="BT108" s="121">
        <v>2</v>
      </c>
      <c r="BU108" s="112">
        <v>513333</v>
      </c>
    </row>
    <row r="109" spans="67:73" ht="14.45">
      <c r="BS109" s="120" t="s">
        <v>603</v>
      </c>
      <c r="BT109" s="121">
        <v>8</v>
      </c>
      <c r="BU109" s="112">
        <v>2376000</v>
      </c>
    </row>
    <row r="110" spans="67:73" ht="14.45">
      <c r="BS110" s="741" t="s">
        <v>604</v>
      </c>
      <c r="BT110" s="742"/>
      <c r="BU110" s="109">
        <f>SUBTOTAL(9,BU105:BU109)</f>
        <v>12105333</v>
      </c>
    </row>
  </sheetData>
  <mergeCells count="1">
    <mergeCell ref="BS110:BT110"/>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48"/>
  <sheetViews>
    <sheetView workbookViewId="0">
      <selection activeCell="B12" sqref="B12"/>
    </sheetView>
  </sheetViews>
  <sheetFormatPr defaultColWidth="11.375" defaultRowHeight="14.45"/>
  <cols>
    <col min="1" max="1" width="15.875" customWidth="1"/>
    <col min="2" max="2" width="70.625" customWidth="1"/>
    <col min="3" max="3" width="45.875" customWidth="1"/>
    <col min="4" max="4" width="77.875" customWidth="1"/>
    <col min="5" max="5" width="15.625" customWidth="1"/>
    <col min="6" max="6" width="53.625" customWidth="1"/>
    <col min="7" max="7" width="32.875" style="1" customWidth="1"/>
    <col min="8" max="8" width="19" style="2" customWidth="1"/>
    <col min="9" max="9" width="29.375" style="2" customWidth="1"/>
    <col min="10" max="10" width="36.375" style="2" customWidth="1"/>
  </cols>
  <sheetData>
    <row r="1" spans="1:10" ht="26.45">
      <c r="A1" s="3" t="s">
        <v>605</v>
      </c>
      <c r="B1" s="3" t="s">
        <v>14</v>
      </c>
      <c r="C1" s="3" t="s">
        <v>606</v>
      </c>
      <c r="D1" s="3" t="s">
        <v>607</v>
      </c>
      <c r="E1" s="3" t="s">
        <v>608</v>
      </c>
      <c r="F1" s="4" t="s">
        <v>609</v>
      </c>
      <c r="G1" s="4" t="s">
        <v>86</v>
      </c>
      <c r="H1" s="4" t="s">
        <v>610</v>
      </c>
      <c r="I1" s="4" t="s">
        <v>610</v>
      </c>
      <c r="J1" s="4" t="s">
        <v>308</v>
      </c>
    </row>
    <row r="2" spans="1:10">
      <c r="A2" s="5"/>
      <c r="B2" s="5"/>
      <c r="C2" s="5"/>
      <c r="D2" s="5"/>
      <c r="E2" s="5"/>
      <c r="F2" s="6"/>
      <c r="G2" s="7" t="s">
        <v>611</v>
      </c>
      <c r="H2" s="8" t="s">
        <v>612</v>
      </c>
      <c r="I2" s="8" t="s">
        <v>613</v>
      </c>
      <c r="J2" s="8" t="s">
        <v>614</v>
      </c>
    </row>
    <row r="3" spans="1:10">
      <c r="A3" s="8" t="s">
        <v>615</v>
      </c>
      <c r="B3" s="9" t="s">
        <v>616</v>
      </c>
      <c r="C3" s="10" t="s">
        <v>617</v>
      </c>
      <c r="D3" s="8" t="s">
        <v>618</v>
      </c>
      <c r="E3" s="8" t="s">
        <v>619</v>
      </c>
      <c r="F3" s="8" t="s">
        <v>620</v>
      </c>
      <c r="G3" s="8" t="s">
        <v>621</v>
      </c>
      <c r="H3" s="8" t="s">
        <v>622</v>
      </c>
      <c r="I3" s="8" t="s">
        <v>623</v>
      </c>
      <c r="J3" s="8" t="s">
        <v>317</v>
      </c>
    </row>
    <row r="4" spans="1:10">
      <c r="A4" s="8" t="s">
        <v>624</v>
      </c>
      <c r="B4" s="9" t="s">
        <v>625</v>
      </c>
      <c r="C4" s="10" t="s">
        <v>626</v>
      </c>
      <c r="D4" s="8" t="s">
        <v>627</v>
      </c>
      <c r="E4" s="8" t="s">
        <v>628</v>
      </c>
      <c r="F4" s="8" t="s">
        <v>629</v>
      </c>
      <c r="G4" s="8" t="s">
        <v>630</v>
      </c>
      <c r="H4" s="8" t="s">
        <v>252</v>
      </c>
      <c r="I4" s="8" t="s">
        <v>631</v>
      </c>
      <c r="J4" s="8" t="s">
        <v>632</v>
      </c>
    </row>
    <row r="5" spans="1:10">
      <c r="A5" s="8" t="s">
        <v>633</v>
      </c>
      <c r="B5" s="9" t="s">
        <v>634</v>
      </c>
      <c r="C5" s="10" t="s">
        <v>635</v>
      </c>
      <c r="D5" s="8" t="s">
        <v>636</v>
      </c>
      <c r="E5" s="8" t="s">
        <v>637</v>
      </c>
      <c r="F5" s="8" t="s">
        <v>638</v>
      </c>
      <c r="G5" s="8" t="s">
        <v>639</v>
      </c>
      <c r="H5" s="8" t="s">
        <v>263</v>
      </c>
      <c r="I5" s="8" t="s">
        <v>640</v>
      </c>
      <c r="J5" s="8" t="s">
        <v>313</v>
      </c>
    </row>
    <row r="6" spans="1:10">
      <c r="A6" s="8" t="s">
        <v>641</v>
      </c>
      <c r="B6" s="9" t="s">
        <v>642</v>
      </c>
      <c r="C6" s="10" t="s">
        <v>643</v>
      </c>
      <c r="D6" s="8" t="s">
        <v>644</v>
      </c>
      <c r="E6" s="8" t="s">
        <v>645</v>
      </c>
      <c r="F6" s="8" t="s">
        <v>377</v>
      </c>
      <c r="G6" s="8" t="s">
        <v>646</v>
      </c>
      <c r="H6" s="8"/>
      <c r="I6" s="8" t="s">
        <v>647</v>
      </c>
      <c r="J6" s="8" t="s">
        <v>314</v>
      </c>
    </row>
    <row r="7" spans="1:10">
      <c r="A7" s="8"/>
      <c r="B7" s="9" t="s">
        <v>135</v>
      </c>
      <c r="C7" s="10" t="s">
        <v>648</v>
      </c>
      <c r="D7" s="8" t="s">
        <v>649</v>
      </c>
      <c r="E7" s="8" t="s">
        <v>458</v>
      </c>
      <c r="F7" s="8" t="s">
        <v>650</v>
      </c>
      <c r="G7" s="8" t="s">
        <v>651</v>
      </c>
      <c r="H7" s="8"/>
      <c r="I7" s="8" t="s">
        <v>323</v>
      </c>
      <c r="J7" s="8" t="s">
        <v>315</v>
      </c>
    </row>
    <row r="8" spans="1:10">
      <c r="A8" s="8"/>
      <c r="B8" s="9" t="s">
        <v>652</v>
      </c>
      <c r="C8" s="10" t="s">
        <v>653</v>
      </c>
      <c r="D8" s="8" t="s">
        <v>133</v>
      </c>
      <c r="E8" s="8" t="s">
        <v>654</v>
      </c>
      <c r="F8" s="8" t="s">
        <v>655</v>
      </c>
      <c r="G8" s="8" t="s">
        <v>656</v>
      </c>
      <c r="H8" s="8"/>
      <c r="I8" s="8"/>
      <c r="J8" s="8"/>
    </row>
    <row r="9" spans="1:10">
      <c r="C9" s="10" t="s">
        <v>657</v>
      </c>
      <c r="D9" s="8" t="s">
        <v>658</v>
      </c>
      <c r="E9" s="8"/>
      <c r="F9" s="8"/>
      <c r="G9" s="8" t="s">
        <v>659</v>
      </c>
    </row>
    <row r="10" spans="1:10">
      <c r="C10" s="10" t="s">
        <v>660</v>
      </c>
      <c r="D10" s="8" t="s">
        <v>661</v>
      </c>
      <c r="E10" s="8"/>
      <c r="F10" s="8"/>
      <c r="G10" s="8" t="s">
        <v>662</v>
      </c>
    </row>
    <row r="11" spans="1:10">
      <c r="C11" s="10" t="s">
        <v>663</v>
      </c>
      <c r="D11" s="8" t="s">
        <v>664</v>
      </c>
      <c r="E11" s="8"/>
      <c r="F11" s="8"/>
      <c r="G11" s="8" t="s">
        <v>665</v>
      </c>
    </row>
    <row r="12" spans="1:10">
      <c r="C12" s="10" t="s">
        <v>666</v>
      </c>
      <c r="D12" s="8" t="s">
        <v>667</v>
      </c>
      <c r="E12" s="8"/>
      <c r="F12" s="8"/>
      <c r="G12" s="8" t="s">
        <v>668</v>
      </c>
    </row>
    <row r="13" spans="1:10">
      <c r="C13" s="10" t="s">
        <v>669</v>
      </c>
      <c r="D13" s="8" t="s">
        <v>670</v>
      </c>
      <c r="E13" s="8"/>
      <c r="F13" s="8"/>
      <c r="G13" s="8" t="s">
        <v>671</v>
      </c>
    </row>
    <row r="14" spans="1:10">
      <c r="B14" s="11"/>
      <c r="C14" s="10" t="s">
        <v>672</v>
      </c>
      <c r="D14" s="8" t="s">
        <v>673</v>
      </c>
      <c r="E14" s="8"/>
      <c r="F14" s="8"/>
      <c r="G14" s="8" t="s">
        <v>674</v>
      </c>
    </row>
    <row r="15" spans="1:10">
      <c r="B15" s="11"/>
      <c r="C15" s="10" t="s">
        <v>136</v>
      </c>
      <c r="D15" s="8" t="s">
        <v>675</v>
      </c>
      <c r="E15" s="8"/>
      <c r="F15" s="8"/>
      <c r="G15" s="8" t="s">
        <v>361</v>
      </c>
    </row>
    <row r="16" spans="1:10">
      <c r="C16" s="10" t="s">
        <v>676</v>
      </c>
      <c r="D16" s="8"/>
      <c r="E16" s="11"/>
      <c r="G16" s="12"/>
    </row>
    <row r="17" spans="2:7">
      <c r="C17" s="10" t="s">
        <v>677</v>
      </c>
      <c r="D17" s="8"/>
      <c r="E17" s="11"/>
      <c r="G17" s="12"/>
    </row>
    <row r="18" spans="2:7">
      <c r="C18" s="10" t="s">
        <v>678</v>
      </c>
      <c r="D18" s="8"/>
      <c r="E18" s="11"/>
      <c r="G18" s="12"/>
    </row>
    <row r="19" spans="2:7">
      <c r="C19" s="10" t="s">
        <v>679</v>
      </c>
      <c r="D19" s="8"/>
      <c r="E19" s="11"/>
      <c r="G19" s="12"/>
    </row>
    <row r="20" spans="2:7">
      <c r="B20" s="11"/>
      <c r="C20" s="10" t="s">
        <v>680</v>
      </c>
      <c r="D20" s="8"/>
      <c r="E20" s="11"/>
      <c r="G20" s="12"/>
    </row>
    <row r="21" spans="2:7">
      <c r="E21" s="11"/>
      <c r="G21" s="12"/>
    </row>
    <row r="22" spans="2:7">
      <c r="E22" s="11"/>
      <c r="G22" s="12"/>
    </row>
    <row r="23" spans="2:7">
      <c r="G23" s="12"/>
    </row>
    <row r="24" spans="2:7">
      <c r="G24" s="13" t="s">
        <v>681</v>
      </c>
    </row>
    <row r="25" spans="2:7">
      <c r="G25" s="14" t="s">
        <v>682</v>
      </c>
    </row>
    <row r="26" spans="2:7">
      <c r="G26" s="14" t="s">
        <v>683</v>
      </c>
    </row>
    <row r="27" spans="2:7">
      <c r="G27" s="14" t="s">
        <v>684</v>
      </c>
    </row>
    <row r="28" spans="2:7">
      <c r="G28" s="14" t="s">
        <v>685</v>
      </c>
    </row>
    <row r="29" spans="2:7">
      <c r="G29" s="14" t="s">
        <v>686</v>
      </c>
    </row>
    <row r="30" spans="2:7">
      <c r="G30" s="14" t="s">
        <v>687</v>
      </c>
    </row>
    <row r="31" spans="2:7">
      <c r="G31" s="14" t="s">
        <v>688</v>
      </c>
    </row>
    <row r="32" spans="2:7">
      <c r="G32" s="14" t="s">
        <v>689</v>
      </c>
    </row>
    <row r="33" spans="7:7">
      <c r="G33" s="14" t="s">
        <v>690</v>
      </c>
    </row>
    <row r="34" spans="7:7">
      <c r="G34" s="14" t="s">
        <v>691</v>
      </c>
    </row>
    <row r="35" spans="7:7">
      <c r="G35" s="14" t="s">
        <v>692</v>
      </c>
    </row>
    <row r="36" spans="7:7">
      <c r="G36" s="14" t="s">
        <v>693</v>
      </c>
    </row>
    <row r="37" spans="7:7">
      <c r="G37" s="14" t="s">
        <v>694</v>
      </c>
    </row>
    <row r="38" spans="7:7">
      <c r="G38" s="14" t="s">
        <v>695</v>
      </c>
    </row>
    <row r="39" spans="7:7">
      <c r="G39" s="14" t="s">
        <v>696</v>
      </c>
    </row>
    <row r="40" spans="7:7">
      <c r="G40" s="14" t="s">
        <v>697</v>
      </c>
    </row>
    <row r="41" spans="7:7">
      <c r="G41" s="14" t="s">
        <v>698</v>
      </c>
    </row>
    <row r="42" spans="7:7">
      <c r="G42" s="14" t="s">
        <v>699</v>
      </c>
    </row>
    <row r="43" spans="7:7">
      <c r="G43" s="14" t="s">
        <v>700</v>
      </c>
    </row>
    <row r="44" spans="7:7">
      <c r="G44" s="14" t="s">
        <v>701</v>
      </c>
    </row>
    <row r="45" spans="7:7">
      <c r="G45" s="14" t="s">
        <v>702</v>
      </c>
    </row>
    <row r="46" spans="7:7">
      <c r="G46" s="14" t="s">
        <v>703</v>
      </c>
    </row>
    <row r="47" spans="7:7">
      <c r="G47" s="14" t="s">
        <v>704</v>
      </c>
    </row>
    <row r="48" spans="7:7">
      <c r="G48" s="14" t="s">
        <v>705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O76"/>
  <sheetViews>
    <sheetView showGridLines="0" tabSelected="1" view="pageBreakPreview" topLeftCell="V15" zoomScale="50" zoomScaleNormal="50" zoomScaleSheetLayoutView="50" workbookViewId="0">
      <selection activeCell="U35" sqref="U35:X36"/>
    </sheetView>
  </sheetViews>
  <sheetFormatPr defaultColWidth="10.875" defaultRowHeight="13.9"/>
  <cols>
    <col min="1" max="1" width="38.375" style="163" customWidth="1"/>
    <col min="2" max="15" width="20.625" style="163" customWidth="1"/>
    <col min="16" max="16" width="32.375" style="163" customWidth="1"/>
    <col min="17" max="27" width="18.125" style="163" customWidth="1"/>
    <col min="28" max="28" width="22.625" style="163" customWidth="1"/>
    <col min="29" max="29" width="19" style="163" customWidth="1"/>
    <col min="30" max="30" width="19.375" style="163" customWidth="1"/>
    <col min="31" max="31" width="20.625" style="163" customWidth="1"/>
    <col min="32" max="32" width="22.875" style="163" customWidth="1"/>
    <col min="33" max="33" width="18.375" style="163" customWidth="1"/>
    <col min="34" max="34" width="14.75" style="163" customWidth="1"/>
    <col min="35" max="35" width="18.375" style="163" customWidth="1"/>
    <col min="36" max="36" width="5.625" style="163" customWidth="1"/>
    <col min="37" max="37" width="18.375" style="163" customWidth="1"/>
    <col min="38" max="38" width="4.625" style="163" customWidth="1"/>
    <col min="39" max="39" width="23" style="163" customWidth="1"/>
    <col min="40" max="40" width="10.875" style="163"/>
    <col min="41" max="41" width="18.375" style="163" customWidth="1"/>
    <col min="42" max="42" width="16.125" style="163" customWidth="1"/>
    <col min="43" max="16384" width="10.875" style="163"/>
  </cols>
  <sheetData>
    <row r="1" spans="1:31" ht="32.25" customHeight="1">
      <c r="A1" s="575"/>
      <c r="B1" s="453" t="s">
        <v>121</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456" t="s">
        <v>122</v>
      </c>
      <c r="AC1" s="457"/>
      <c r="AD1" s="457"/>
      <c r="AE1" s="458"/>
    </row>
    <row r="2" spans="1:31" ht="30.75" customHeight="1">
      <c r="A2" s="576"/>
      <c r="B2" s="453" t="s">
        <v>123</v>
      </c>
      <c r="C2" s="454"/>
      <c r="D2" s="454"/>
      <c r="E2" s="454"/>
      <c r="F2" s="454"/>
      <c r="G2" s="454"/>
      <c r="H2" s="454"/>
      <c r="I2" s="454"/>
      <c r="J2" s="454"/>
      <c r="K2" s="454"/>
      <c r="L2" s="454"/>
      <c r="M2" s="454"/>
      <c r="N2" s="454"/>
      <c r="O2" s="454"/>
      <c r="P2" s="454"/>
      <c r="Q2" s="454"/>
      <c r="R2" s="454"/>
      <c r="S2" s="454"/>
      <c r="T2" s="454"/>
      <c r="U2" s="454"/>
      <c r="V2" s="454"/>
      <c r="W2" s="454"/>
      <c r="X2" s="454"/>
      <c r="Y2" s="454"/>
      <c r="Z2" s="454"/>
      <c r="AA2" s="455"/>
      <c r="AB2" s="456" t="s">
        <v>124</v>
      </c>
      <c r="AC2" s="457"/>
      <c r="AD2" s="457"/>
      <c r="AE2" s="458"/>
    </row>
    <row r="3" spans="1:31" ht="24" customHeight="1">
      <c r="A3" s="576"/>
      <c r="B3" s="467" t="s">
        <v>125</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456" t="s">
        <v>126</v>
      </c>
      <c r="AC3" s="457"/>
      <c r="AD3" s="457"/>
      <c r="AE3" s="458"/>
    </row>
    <row r="4" spans="1:31" ht="21.75" customHeight="1">
      <c r="A4" s="577"/>
      <c r="B4" s="470"/>
      <c r="C4" s="471"/>
      <c r="D4" s="471"/>
      <c r="E4" s="471"/>
      <c r="F4" s="471"/>
      <c r="G4" s="471"/>
      <c r="H4" s="471"/>
      <c r="I4" s="471"/>
      <c r="J4" s="471"/>
      <c r="K4" s="471"/>
      <c r="L4" s="471"/>
      <c r="M4" s="471"/>
      <c r="N4" s="471"/>
      <c r="O4" s="471"/>
      <c r="P4" s="471"/>
      <c r="Q4" s="471"/>
      <c r="R4" s="471"/>
      <c r="S4" s="471"/>
      <c r="T4" s="471"/>
      <c r="U4" s="471"/>
      <c r="V4" s="471"/>
      <c r="W4" s="471"/>
      <c r="X4" s="471"/>
      <c r="Y4" s="471"/>
      <c r="Z4" s="471"/>
      <c r="AA4" s="472"/>
      <c r="AB4" s="456" t="s">
        <v>127</v>
      </c>
      <c r="AC4" s="457"/>
      <c r="AD4" s="457"/>
      <c r="AE4" s="458"/>
    </row>
    <row r="5" spans="1:31" ht="9" customHeight="1">
      <c r="A5" s="242"/>
      <c r="B5" s="243"/>
      <c r="C5" s="244"/>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D5" s="318"/>
      <c r="AE5" s="319"/>
    </row>
    <row r="6" spans="1:31" ht="9" customHeight="1">
      <c r="A6" s="246"/>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D6" s="318"/>
      <c r="AE6" s="319"/>
    </row>
    <row r="7" spans="1:31">
      <c r="A7" s="506" t="s">
        <v>4</v>
      </c>
      <c r="B7" s="507"/>
      <c r="C7" s="488" t="s">
        <v>128</v>
      </c>
      <c r="D7" s="506" t="s">
        <v>6</v>
      </c>
      <c r="E7" s="512"/>
      <c r="F7" s="512"/>
      <c r="G7" s="512"/>
      <c r="H7" s="507"/>
      <c r="I7" s="500">
        <v>45664</v>
      </c>
      <c r="J7" s="501"/>
      <c r="K7" s="506" t="s">
        <v>8</v>
      </c>
      <c r="L7" s="507"/>
      <c r="M7" s="459" t="s">
        <v>129</v>
      </c>
      <c r="N7" s="460"/>
      <c r="O7" s="461"/>
      <c r="P7" s="462"/>
      <c r="Q7" s="245"/>
      <c r="R7" s="245"/>
      <c r="S7" s="245"/>
      <c r="T7" s="245"/>
      <c r="U7" s="245"/>
      <c r="V7" s="245"/>
      <c r="W7" s="245"/>
      <c r="X7" s="245"/>
      <c r="Y7" s="245"/>
      <c r="Z7" s="245"/>
      <c r="AA7" s="245"/>
      <c r="AB7" s="245"/>
      <c r="AD7" s="318"/>
      <c r="AE7" s="319"/>
    </row>
    <row r="8" spans="1:31">
      <c r="A8" s="508"/>
      <c r="B8" s="509"/>
      <c r="C8" s="489"/>
      <c r="D8" s="508"/>
      <c r="E8" s="513"/>
      <c r="F8" s="513"/>
      <c r="G8" s="513"/>
      <c r="H8" s="509"/>
      <c r="I8" s="502"/>
      <c r="J8" s="503"/>
      <c r="K8" s="508"/>
      <c r="L8" s="509"/>
      <c r="M8" s="463" t="s">
        <v>130</v>
      </c>
      <c r="N8" s="464"/>
      <c r="O8" s="465"/>
      <c r="P8" s="466"/>
      <c r="Q8" s="245"/>
      <c r="R8" s="245"/>
      <c r="S8" s="245"/>
      <c r="T8" s="245"/>
      <c r="U8" s="245"/>
      <c r="V8" s="245"/>
      <c r="W8" s="245"/>
      <c r="X8" s="245"/>
      <c r="Y8" s="245"/>
      <c r="Z8" s="245"/>
      <c r="AA8" s="245"/>
      <c r="AB8" s="245"/>
      <c r="AD8" s="318"/>
      <c r="AE8" s="319"/>
    </row>
    <row r="9" spans="1:31">
      <c r="A9" s="510"/>
      <c r="B9" s="511"/>
      <c r="C9" s="490"/>
      <c r="D9" s="510"/>
      <c r="E9" s="514"/>
      <c r="F9" s="514"/>
      <c r="G9" s="514"/>
      <c r="H9" s="511"/>
      <c r="I9" s="504"/>
      <c r="J9" s="505"/>
      <c r="K9" s="510"/>
      <c r="L9" s="511"/>
      <c r="M9" s="478" t="s">
        <v>131</v>
      </c>
      <c r="N9" s="479"/>
      <c r="O9" s="480" t="s">
        <v>132</v>
      </c>
      <c r="P9" s="481"/>
      <c r="Q9" s="245"/>
      <c r="R9" s="245"/>
      <c r="S9" s="245"/>
      <c r="T9" s="245"/>
      <c r="U9" s="245"/>
      <c r="V9" s="245"/>
      <c r="W9" s="245"/>
      <c r="X9" s="245"/>
      <c r="Y9" s="245"/>
      <c r="Z9" s="245"/>
      <c r="AA9" s="245"/>
      <c r="AB9" s="245"/>
      <c r="AD9" s="318"/>
      <c r="AE9" s="319"/>
    </row>
    <row r="10" spans="1:31" ht="15" customHeight="1">
      <c r="A10" s="247"/>
      <c r="B10" s="248"/>
      <c r="C10" s="248"/>
      <c r="D10" s="249"/>
      <c r="E10" s="249"/>
      <c r="F10" s="249"/>
      <c r="G10" s="249"/>
      <c r="H10" s="249"/>
      <c r="I10" s="289"/>
      <c r="J10" s="289"/>
      <c r="K10" s="249"/>
      <c r="L10" s="249"/>
      <c r="M10" s="290"/>
      <c r="N10" s="290"/>
      <c r="O10" s="164"/>
      <c r="P10" s="164"/>
      <c r="Q10" s="248"/>
      <c r="R10" s="248"/>
      <c r="S10" s="248"/>
      <c r="T10" s="248"/>
      <c r="U10" s="248"/>
      <c r="V10" s="248"/>
      <c r="W10" s="248"/>
      <c r="X10" s="248"/>
      <c r="Y10" s="248"/>
      <c r="Z10" s="248"/>
      <c r="AA10" s="248"/>
      <c r="AB10" s="248"/>
      <c r="AD10" s="320"/>
      <c r="AE10" s="321"/>
    </row>
    <row r="11" spans="1:31" ht="15" customHeight="1">
      <c r="A11" s="506" t="s">
        <v>10</v>
      </c>
      <c r="B11" s="507"/>
      <c r="C11" s="491" t="s">
        <v>133</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3"/>
    </row>
    <row r="12" spans="1:31" ht="15" customHeight="1">
      <c r="A12" s="508"/>
      <c r="B12" s="509"/>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6"/>
    </row>
    <row r="13" spans="1:31" ht="15" customHeight="1">
      <c r="A13" s="510"/>
      <c r="B13" s="511"/>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9"/>
    </row>
    <row r="14" spans="1:31" ht="9" customHeight="1">
      <c r="A14" s="250"/>
      <c r="B14" s="251"/>
      <c r="C14" s="252"/>
      <c r="D14" s="252"/>
      <c r="E14" s="252"/>
      <c r="F14" s="252"/>
      <c r="G14" s="252"/>
      <c r="H14" s="252"/>
      <c r="I14" s="252"/>
      <c r="J14" s="252"/>
      <c r="K14" s="252"/>
      <c r="L14" s="252"/>
      <c r="M14" s="291"/>
      <c r="N14" s="291"/>
      <c r="O14" s="291"/>
      <c r="P14" s="291"/>
      <c r="Q14" s="291"/>
      <c r="R14" s="308"/>
      <c r="S14" s="308"/>
      <c r="T14" s="308"/>
      <c r="U14" s="308"/>
      <c r="V14" s="308"/>
      <c r="W14" s="308"/>
      <c r="X14" s="308"/>
      <c r="Y14" s="249"/>
      <c r="Z14" s="249"/>
      <c r="AA14" s="249"/>
      <c r="AB14" s="249"/>
      <c r="AD14" s="249"/>
      <c r="AE14" s="322"/>
    </row>
    <row r="15" spans="1:31" ht="39" customHeight="1">
      <c r="A15" s="473" t="s">
        <v>12</v>
      </c>
      <c r="B15" s="474"/>
      <c r="C15" s="482" t="s">
        <v>134</v>
      </c>
      <c r="D15" s="483"/>
      <c r="E15" s="483"/>
      <c r="F15" s="483"/>
      <c r="G15" s="483"/>
      <c r="H15" s="483"/>
      <c r="I15" s="483"/>
      <c r="J15" s="483"/>
      <c r="K15" s="484"/>
      <c r="L15" s="485" t="s">
        <v>14</v>
      </c>
      <c r="M15" s="486"/>
      <c r="N15" s="486"/>
      <c r="O15" s="486"/>
      <c r="P15" s="486"/>
      <c r="Q15" s="487"/>
      <c r="R15" s="517" t="s">
        <v>135</v>
      </c>
      <c r="S15" s="518"/>
      <c r="T15" s="518"/>
      <c r="U15" s="518"/>
      <c r="V15" s="518"/>
      <c r="W15" s="518"/>
      <c r="X15" s="519"/>
      <c r="Y15" s="485" t="s">
        <v>15</v>
      </c>
      <c r="Z15" s="487"/>
      <c r="AA15" s="475" t="s">
        <v>136</v>
      </c>
      <c r="AB15" s="476"/>
      <c r="AC15" s="476"/>
      <c r="AD15" s="476"/>
      <c r="AE15" s="477"/>
    </row>
    <row r="16" spans="1:31" ht="9" customHeight="1">
      <c r="A16" s="246"/>
      <c r="B16" s="245"/>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D16" s="318"/>
      <c r="AE16" s="319"/>
    </row>
    <row r="17" spans="1:34" s="238" customFormat="1" ht="37.5" customHeight="1">
      <c r="A17" s="473" t="s">
        <v>17</v>
      </c>
      <c r="B17" s="474"/>
      <c r="C17" s="475" t="s">
        <v>137</v>
      </c>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7"/>
    </row>
    <row r="18" spans="1:34" ht="16.5" customHeight="1">
      <c r="A18" s="253"/>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D18" s="167"/>
      <c r="AE18" s="323"/>
    </row>
    <row r="19" spans="1:34" ht="32.1" customHeight="1">
      <c r="A19" s="485" t="s">
        <v>138</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7"/>
      <c r="AF19" s="324"/>
    </row>
    <row r="20" spans="1:34" ht="32.1" customHeight="1">
      <c r="A20" s="254" t="s">
        <v>19</v>
      </c>
      <c r="B20" s="583" t="s">
        <v>139</v>
      </c>
      <c r="C20" s="584"/>
      <c r="D20" s="584"/>
      <c r="E20" s="584"/>
      <c r="F20" s="584"/>
      <c r="G20" s="584"/>
      <c r="H20" s="584"/>
      <c r="I20" s="584"/>
      <c r="J20" s="584"/>
      <c r="K20" s="584"/>
      <c r="L20" s="584"/>
      <c r="M20" s="584"/>
      <c r="N20" s="584"/>
      <c r="O20" s="585"/>
      <c r="P20" s="485" t="s">
        <v>140</v>
      </c>
      <c r="Q20" s="486"/>
      <c r="R20" s="486"/>
      <c r="S20" s="486"/>
      <c r="T20" s="486"/>
      <c r="U20" s="486"/>
      <c r="V20" s="486"/>
      <c r="W20" s="486"/>
      <c r="X20" s="486"/>
      <c r="Y20" s="486"/>
      <c r="Z20" s="486"/>
      <c r="AA20" s="486"/>
      <c r="AB20" s="486"/>
      <c r="AC20" s="486"/>
      <c r="AD20" s="486"/>
      <c r="AE20" s="487"/>
      <c r="AF20" s="324"/>
    </row>
    <row r="21" spans="1:34" ht="32.1" customHeight="1">
      <c r="A21" s="247"/>
      <c r="B21" s="255" t="s">
        <v>141</v>
      </c>
      <c r="C21" s="256" t="s">
        <v>142</v>
      </c>
      <c r="D21" s="256" t="s">
        <v>143</v>
      </c>
      <c r="E21" s="256" t="s">
        <v>144</v>
      </c>
      <c r="F21" s="256" t="s">
        <v>145</v>
      </c>
      <c r="G21" s="256" t="s">
        <v>146</v>
      </c>
      <c r="H21" s="256" t="s">
        <v>147</v>
      </c>
      <c r="I21" s="256" t="s">
        <v>148</v>
      </c>
      <c r="J21" s="256" t="s">
        <v>149</v>
      </c>
      <c r="K21" s="256" t="s">
        <v>150</v>
      </c>
      <c r="L21" s="256" t="s">
        <v>151</v>
      </c>
      <c r="M21" s="256" t="s">
        <v>128</v>
      </c>
      <c r="N21" s="256" t="s">
        <v>102</v>
      </c>
      <c r="O21" s="292" t="s">
        <v>100</v>
      </c>
      <c r="P21" s="293"/>
      <c r="Q21" s="254" t="s">
        <v>141</v>
      </c>
      <c r="R21" s="309" t="s">
        <v>142</v>
      </c>
      <c r="S21" s="309" t="s">
        <v>143</v>
      </c>
      <c r="T21" s="309" t="s">
        <v>144</v>
      </c>
      <c r="U21" s="309" t="s">
        <v>145</v>
      </c>
      <c r="V21" s="309" t="s">
        <v>146</v>
      </c>
      <c r="W21" s="309" t="s">
        <v>147</v>
      </c>
      <c r="X21" s="309" t="s">
        <v>148</v>
      </c>
      <c r="Y21" s="309" t="s">
        <v>149</v>
      </c>
      <c r="Z21" s="309" t="s">
        <v>150</v>
      </c>
      <c r="AA21" s="309" t="s">
        <v>151</v>
      </c>
      <c r="AB21" s="309" t="s">
        <v>128</v>
      </c>
      <c r="AC21" s="309" t="s">
        <v>102</v>
      </c>
      <c r="AD21" s="325" t="s">
        <v>152</v>
      </c>
      <c r="AE21" s="325" t="s">
        <v>153</v>
      </c>
      <c r="AF21" s="326"/>
    </row>
    <row r="22" spans="1:34" ht="32.1" customHeight="1">
      <c r="A22" s="257" t="s">
        <v>31</v>
      </c>
      <c r="B22" s="258">
        <v>0</v>
      </c>
      <c r="C22" s="259">
        <v>0</v>
      </c>
      <c r="D22" s="259">
        <v>0</v>
      </c>
      <c r="E22" s="259">
        <v>0</v>
      </c>
      <c r="F22" s="259">
        <v>0</v>
      </c>
      <c r="G22" s="259">
        <v>0</v>
      </c>
      <c r="H22" s="259">
        <v>0</v>
      </c>
      <c r="I22" s="259">
        <v>0</v>
      </c>
      <c r="J22" s="259">
        <v>0</v>
      </c>
      <c r="K22" s="259">
        <v>0</v>
      </c>
      <c r="L22" s="259">
        <v>0</v>
      </c>
      <c r="M22" s="259">
        <v>0</v>
      </c>
      <c r="N22" s="259">
        <f>SUM(B22:M22)</f>
        <v>0</v>
      </c>
      <c r="O22" s="294"/>
      <c r="P22" s="257" t="s">
        <v>27</v>
      </c>
      <c r="Q22" s="310">
        <v>0</v>
      </c>
      <c r="R22" s="311">
        <v>0</v>
      </c>
      <c r="S22" s="311">
        <v>0</v>
      </c>
      <c r="T22" s="311">
        <v>0</v>
      </c>
      <c r="U22" s="311">
        <v>0</v>
      </c>
      <c r="V22" s="311">
        <v>0</v>
      </c>
      <c r="W22" s="311">
        <v>0</v>
      </c>
      <c r="X22" s="311">
        <v>178540050</v>
      </c>
      <c r="Y22" s="311">
        <v>0</v>
      </c>
      <c r="Z22" s="311">
        <v>0</v>
      </c>
      <c r="AA22" s="311">
        <v>0</v>
      </c>
      <c r="AB22" s="311">
        <f>4466807-11213930</f>
        <v>-6747123</v>
      </c>
      <c r="AC22" s="443">
        <f>SUM(X22:AB22)</f>
        <v>171792927</v>
      </c>
      <c r="AE22" s="327"/>
      <c r="AF22" s="326"/>
    </row>
    <row r="23" spans="1:34" ht="32.1" customHeight="1">
      <c r="A23" s="260" t="s">
        <v>21</v>
      </c>
      <c r="B23" s="261">
        <v>0</v>
      </c>
      <c r="C23" s="262">
        <v>0</v>
      </c>
      <c r="D23" s="262">
        <v>0</v>
      </c>
      <c r="E23" s="262">
        <v>0</v>
      </c>
      <c r="F23" s="262">
        <v>0</v>
      </c>
      <c r="G23" s="262">
        <v>0</v>
      </c>
      <c r="H23" s="262">
        <v>0</v>
      </c>
      <c r="I23" s="262">
        <v>0</v>
      </c>
      <c r="J23" s="262">
        <v>0</v>
      </c>
      <c r="K23" s="262">
        <v>0</v>
      </c>
      <c r="L23" s="262">
        <v>0</v>
      </c>
      <c r="M23" s="262">
        <v>0</v>
      </c>
      <c r="N23" s="262">
        <f>SUM(B23:M23)</f>
        <v>0</v>
      </c>
      <c r="O23" s="295" t="str">
        <f>IFERROR(N23/(SUMIF(B23:M23,"&gt;0",B22:M22))," ")</f>
        <v/>
      </c>
      <c r="P23" s="260" t="s">
        <v>29</v>
      </c>
      <c r="Q23" s="261">
        <v>0</v>
      </c>
      <c r="R23" s="262">
        <v>0</v>
      </c>
      <c r="S23" s="262">
        <v>0</v>
      </c>
      <c r="T23" s="262">
        <v>0</v>
      </c>
      <c r="U23" s="262">
        <v>0</v>
      </c>
      <c r="V23" s="262">
        <v>0</v>
      </c>
      <c r="W23" s="262">
        <v>0</v>
      </c>
      <c r="X23" s="262">
        <v>178540050</v>
      </c>
      <c r="Y23" s="262">
        <v>0</v>
      </c>
      <c r="Z23" s="262">
        <v>-6726198</v>
      </c>
      <c r="AA23" s="262">
        <v>-5658132</v>
      </c>
      <c r="AB23" s="262">
        <v>5637207</v>
      </c>
      <c r="AC23" s="354">
        <f t="shared" ref="AC23:AC25" si="0">SUM(Q23:AB23)</f>
        <v>171792927</v>
      </c>
      <c r="AD23" s="236">
        <f>AC23/SUM(Q22:AB22)</f>
        <v>1</v>
      </c>
      <c r="AE23" s="329">
        <f>AC23/AC22</f>
        <v>1</v>
      </c>
      <c r="AF23" s="326"/>
      <c r="AG23" s="440">
        <f>+AC22-AC23</f>
        <v>0</v>
      </c>
      <c r="AH23" s="440"/>
    </row>
    <row r="24" spans="1:34" ht="32.1" customHeight="1">
      <c r="A24" s="260" t="s">
        <v>23</v>
      </c>
      <c r="B24" s="261">
        <v>0</v>
      </c>
      <c r="C24" s="262">
        <v>0</v>
      </c>
      <c r="D24" s="262">
        <v>0</v>
      </c>
      <c r="E24" s="262">
        <v>0</v>
      </c>
      <c r="F24" s="262">
        <v>0</v>
      </c>
      <c r="G24" s="262">
        <v>0</v>
      </c>
      <c r="H24" s="262">
        <v>0</v>
      </c>
      <c r="I24" s="262">
        <v>0</v>
      </c>
      <c r="J24" s="262">
        <v>0</v>
      </c>
      <c r="K24" s="262">
        <v>0</v>
      </c>
      <c r="L24" s="262">
        <v>0</v>
      </c>
      <c r="M24" s="262">
        <v>0</v>
      </c>
      <c r="N24" s="262">
        <f>SUM(B24:M24)</f>
        <v>0</v>
      </c>
      <c r="O24" s="296"/>
      <c r="P24" s="260" t="s">
        <v>31</v>
      </c>
      <c r="Q24" s="261">
        <v>0</v>
      </c>
      <c r="R24" s="262">
        <v>0</v>
      </c>
      <c r="S24" s="262">
        <v>0</v>
      </c>
      <c r="T24" s="262">
        <v>0</v>
      </c>
      <c r="U24" s="262">
        <v>0</v>
      </c>
      <c r="V24" s="262">
        <v>0</v>
      </c>
      <c r="W24" s="262">
        <v>0</v>
      </c>
      <c r="X24" s="262">
        <v>0</v>
      </c>
      <c r="Y24" s="262">
        <v>21248350</v>
      </c>
      <c r="Z24" s="262">
        <v>39790700</v>
      </c>
      <c r="AA24" s="262">
        <v>39790700</v>
      </c>
      <c r="AB24" s="262">
        <v>70963177</v>
      </c>
      <c r="AC24" s="444">
        <v>168576526</v>
      </c>
      <c r="AD24" s="262"/>
      <c r="AE24" s="330"/>
      <c r="AF24" s="326"/>
      <c r="AG24" s="440"/>
    </row>
    <row r="25" spans="1:34" ht="32.1" customHeight="1">
      <c r="A25" s="263" t="s">
        <v>25</v>
      </c>
      <c r="B25" s="264">
        <v>0</v>
      </c>
      <c r="C25" s="265">
        <v>0</v>
      </c>
      <c r="D25" s="265">
        <v>0</v>
      </c>
      <c r="E25" s="265">
        <v>0</v>
      </c>
      <c r="F25" s="265">
        <v>0</v>
      </c>
      <c r="G25" s="265">
        <v>0</v>
      </c>
      <c r="H25" s="265">
        <v>0</v>
      </c>
      <c r="I25" s="265">
        <v>0</v>
      </c>
      <c r="J25" s="265">
        <v>0</v>
      </c>
      <c r="K25" s="265">
        <v>0</v>
      </c>
      <c r="L25" s="265">
        <v>0</v>
      </c>
      <c r="M25" s="265">
        <v>0</v>
      </c>
      <c r="N25" s="265">
        <f>SUM(B25:M25)</f>
        <v>0</v>
      </c>
      <c r="O25" s="297" t="str">
        <f>IFERROR(N25/(SUMIF(B25:M25,"&gt;0",B24:M24))," ")</f>
        <v/>
      </c>
      <c r="P25" s="263" t="s">
        <v>25</v>
      </c>
      <c r="Q25" s="264">
        <v>0</v>
      </c>
      <c r="R25" s="265">
        <v>0</v>
      </c>
      <c r="S25" s="265">
        <v>0</v>
      </c>
      <c r="T25" s="265">
        <v>0</v>
      </c>
      <c r="U25" s="265">
        <v>0</v>
      </c>
      <c r="V25" s="265">
        <v>0</v>
      </c>
      <c r="W25" s="265">
        <v>0</v>
      </c>
      <c r="X25" s="265">
        <v>0</v>
      </c>
      <c r="Y25" s="265">
        <v>10702902</v>
      </c>
      <c r="Z25" s="265">
        <v>39437064</v>
      </c>
      <c r="AA25" s="265">
        <v>39790700</v>
      </c>
      <c r="AB25" s="265">
        <v>78645860</v>
      </c>
      <c r="AC25" s="355">
        <f t="shared" si="0"/>
        <v>168576526</v>
      </c>
      <c r="AD25" s="332">
        <f>AC25/SUM(Q24:AB24)</f>
        <v>0.98127745387329013</v>
      </c>
      <c r="AE25" s="333">
        <f>AC25/AC24</f>
        <v>1</v>
      </c>
      <c r="AF25" s="326"/>
      <c r="AG25" s="440">
        <f>+AC24-AC25</f>
        <v>0</v>
      </c>
    </row>
    <row r="26" spans="1:34" s="239" customFormat="1" ht="16.5" customHeight="1">
      <c r="AG26" s="441"/>
    </row>
    <row r="27" spans="1:34" ht="33.950000000000003" customHeight="1">
      <c r="A27" s="586" t="s">
        <v>154</v>
      </c>
      <c r="B27" s="587"/>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8"/>
    </row>
    <row r="28" spans="1:34" ht="15" customHeight="1">
      <c r="A28" s="578" t="s">
        <v>34</v>
      </c>
      <c r="B28" s="515" t="s">
        <v>36</v>
      </c>
      <c r="C28" s="515"/>
      <c r="D28" s="515" t="s">
        <v>155</v>
      </c>
      <c r="E28" s="515"/>
      <c r="F28" s="515"/>
      <c r="G28" s="515"/>
      <c r="H28" s="515"/>
      <c r="I28" s="515"/>
      <c r="J28" s="515"/>
      <c r="K28" s="515"/>
      <c r="L28" s="515"/>
      <c r="M28" s="515"/>
      <c r="N28" s="515"/>
      <c r="O28" s="515"/>
      <c r="P28" s="515" t="s">
        <v>102</v>
      </c>
      <c r="Q28" s="515" t="s">
        <v>156</v>
      </c>
      <c r="R28" s="515"/>
      <c r="S28" s="515"/>
      <c r="T28" s="515"/>
      <c r="U28" s="515"/>
      <c r="V28" s="515"/>
      <c r="W28" s="515"/>
      <c r="X28" s="515"/>
      <c r="Y28" s="515" t="s">
        <v>157</v>
      </c>
      <c r="Z28" s="515"/>
      <c r="AA28" s="515"/>
      <c r="AB28" s="515"/>
      <c r="AC28" s="515"/>
      <c r="AD28" s="515"/>
      <c r="AE28" s="516"/>
    </row>
    <row r="29" spans="1:34" ht="27" customHeight="1">
      <c r="A29" s="578"/>
      <c r="B29" s="515"/>
      <c r="C29" s="515"/>
      <c r="D29" s="266" t="s">
        <v>141</v>
      </c>
      <c r="E29" s="266" t="s">
        <v>142</v>
      </c>
      <c r="F29" s="266" t="s">
        <v>143</v>
      </c>
      <c r="G29" s="266" t="s">
        <v>144</v>
      </c>
      <c r="H29" s="266" t="s">
        <v>145</v>
      </c>
      <c r="I29" s="266" t="s">
        <v>146</v>
      </c>
      <c r="J29" s="266" t="s">
        <v>147</v>
      </c>
      <c r="K29" s="266" t="s">
        <v>148</v>
      </c>
      <c r="L29" s="266" t="s">
        <v>149</v>
      </c>
      <c r="M29" s="266" t="s">
        <v>150</v>
      </c>
      <c r="N29" s="266" t="s">
        <v>151</v>
      </c>
      <c r="O29" s="266" t="s">
        <v>128</v>
      </c>
      <c r="P29" s="515"/>
      <c r="Q29" s="515"/>
      <c r="R29" s="515"/>
      <c r="S29" s="515"/>
      <c r="T29" s="515"/>
      <c r="U29" s="515"/>
      <c r="V29" s="515"/>
      <c r="W29" s="515"/>
      <c r="X29" s="515"/>
      <c r="Y29" s="515"/>
      <c r="Z29" s="515"/>
      <c r="AA29" s="515"/>
      <c r="AB29" s="515"/>
      <c r="AC29" s="515"/>
      <c r="AD29" s="515"/>
      <c r="AE29" s="516"/>
    </row>
    <row r="30" spans="1:34" ht="42" customHeight="1">
      <c r="A30" s="267"/>
      <c r="B30" s="582"/>
      <c r="C30" s="582"/>
      <c r="D30" s="241"/>
      <c r="E30" s="241"/>
      <c r="F30" s="241"/>
      <c r="G30" s="241"/>
      <c r="H30" s="241"/>
      <c r="I30" s="241"/>
      <c r="J30" s="241"/>
      <c r="K30" s="241"/>
      <c r="L30" s="241"/>
      <c r="M30" s="241"/>
      <c r="N30" s="241"/>
      <c r="O30" s="241"/>
      <c r="P30" s="298">
        <f>SUM(D30:O30)</f>
        <v>0</v>
      </c>
      <c r="Q30" s="521" t="s">
        <v>158</v>
      </c>
      <c r="R30" s="521"/>
      <c r="S30" s="521"/>
      <c r="T30" s="521"/>
      <c r="U30" s="521"/>
      <c r="V30" s="521"/>
      <c r="W30" s="521"/>
      <c r="X30" s="521"/>
      <c r="Y30" s="521" t="s">
        <v>43</v>
      </c>
      <c r="Z30" s="521"/>
      <c r="AA30" s="521"/>
      <c r="AB30" s="521"/>
      <c r="AC30" s="521"/>
      <c r="AD30" s="521"/>
      <c r="AE30" s="522"/>
    </row>
    <row r="31" spans="1:34" ht="12" customHeight="1">
      <c r="A31" s="268"/>
      <c r="B31" s="269"/>
      <c r="C31" s="269"/>
      <c r="D31" s="249"/>
      <c r="E31" s="249"/>
      <c r="F31" s="249"/>
      <c r="G31" s="249"/>
      <c r="H31" s="249"/>
      <c r="I31" s="249"/>
      <c r="J31" s="249"/>
      <c r="K31" s="249"/>
      <c r="L31" s="249"/>
      <c r="M31" s="249"/>
      <c r="N31" s="249"/>
      <c r="O31" s="249"/>
      <c r="P31" s="299"/>
      <c r="Q31" s="312"/>
      <c r="R31" s="312"/>
      <c r="S31" s="312"/>
      <c r="T31" s="312"/>
      <c r="U31" s="312"/>
      <c r="V31" s="312"/>
      <c r="W31" s="312"/>
      <c r="X31" s="312"/>
      <c r="Y31" s="312"/>
      <c r="Z31" s="312"/>
      <c r="AA31" s="312"/>
      <c r="AB31" s="312"/>
      <c r="AC31" s="312"/>
      <c r="AD31" s="312"/>
      <c r="AE31" s="334"/>
    </row>
    <row r="32" spans="1:34" ht="45" customHeight="1">
      <c r="A32" s="491" t="s">
        <v>159</v>
      </c>
      <c r="B32" s="492"/>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3"/>
    </row>
    <row r="33" spans="1:41" ht="23.1" customHeight="1">
      <c r="A33" s="578" t="s">
        <v>44</v>
      </c>
      <c r="B33" s="515" t="s">
        <v>46</v>
      </c>
      <c r="C33" s="515" t="s">
        <v>36</v>
      </c>
      <c r="D33" s="515" t="s">
        <v>160</v>
      </c>
      <c r="E33" s="515"/>
      <c r="F33" s="515"/>
      <c r="G33" s="515"/>
      <c r="H33" s="515"/>
      <c r="I33" s="515"/>
      <c r="J33" s="515"/>
      <c r="K33" s="515"/>
      <c r="L33" s="515"/>
      <c r="M33" s="515"/>
      <c r="N33" s="515"/>
      <c r="O33" s="515"/>
      <c r="P33" s="515"/>
      <c r="Q33" s="515" t="s">
        <v>161</v>
      </c>
      <c r="R33" s="515"/>
      <c r="S33" s="515"/>
      <c r="T33" s="515"/>
      <c r="U33" s="515"/>
      <c r="V33" s="515"/>
      <c r="W33" s="515"/>
      <c r="X33" s="515"/>
      <c r="Y33" s="515"/>
      <c r="Z33" s="515"/>
      <c r="AA33" s="515"/>
      <c r="AB33" s="515"/>
      <c r="AC33" s="515"/>
      <c r="AD33" s="515"/>
      <c r="AE33" s="516"/>
      <c r="AG33" s="335"/>
      <c r="AH33" s="335"/>
      <c r="AI33" s="335"/>
      <c r="AJ33" s="335"/>
      <c r="AK33" s="335"/>
      <c r="AL33" s="335"/>
      <c r="AM33" s="335"/>
      <c r="AN33" s="335"/>
      <c r="AO33" s="335"/>
    </row>
    <row r="34" spans="1:41" ht="27" customHeight="1">
      <c r="A34" s="578"/>
      <c r="B34" s="515"/>
      <c r="C34" s="526"/>
      <c r="D34" s="266" t="s">
        <v>141</v>
      </c>
      <c r="E34" s="266" t="s">
        <v>142</v>
      </c>
      <c r="F34" s="266" t="s">
        <v>143</v>
      </c>
      <c r="G34" s="266" t="s">
        <v>144</v>
      </c>
      <c r="H34" s="266" t="s">
        <v>145</v>
      </c>
      <c r="I34" s="266" t="s">
        <v>146</v>
      </c>
      <c r="J34" s="266" t="s">
        <v>147</v>
      </c>
      <c r="K34" s="266" t="s">
        <v>148</v>
      </c>
      <c r="L34" s="266" t="s">
        <v>149</v>
      </c>
      <c r="M34" s="266" t="s">
        <v>150</v>
      </c>
      <c r="N34" s="266" t="s">
        <v>151</v>
      </c>
      <c r="O34" s="266" t="s">
        <v>128</v>
      </c>
      <c r="P34" s="266" t="s">
        <v>102</v>
      </c>
      <c r="Q34" s="523" t="s">
        <v>52</v>
      </c>
      <c r="R34" s="524"/>
      <c r="S34" s="524"/>
      <c r="T34" s="525"/>
      <c r="U34" s="515" t="s">
        <v>54</v>
      </c>
      <c r="V34" s="515"/>
      <c r="W34" s="515"/>
      <c r="X34" s="515"/>
      <c r="Y34" s="515" t="s">
        <v>56</v>
      </c>
      <c r="Z34" s="515"/>
      <c r="AA34" s="515"/>
      <c r="AB34" s="515"/>
      <c r="AC34" s="515" t="s">
        <v>58</v>
      </c>
      <c r="AD34" s="515"/>
      <c r="AE34" s="516"/>
      <c r="AG34" s="335"/>
      <c r="AH34" s="335"/>
      <c r="AI34" s="335"/>
      <c r="AJ34" s="335"/>
      <c r="AK34" s="335"/>
      <c r="AL34" s="335"/>
      <c r="AM34" s="335"/>
      <c r="AN34" s="335"/>
      <c r="AO34" s="335"/>
    </row>
    <row r="35" spans="1:41" ht="169.9" customHeight="1">
      <c r="A35" s="579" t="str">
        <f>+C17</f>
        <v>Desarrollar 1 estrategia para potenciar las habilidades y capacidades de las mujeres en sus diversidades que aporten a su empoderamiento y autonomía económica. (Producto MGA - Servicio de educación informal)</v>
      </c>
      <c r="B35" s="596">
        <v>0.39</v>
      </c>
      <c r="C35" s="270" t="s">
        <v>48</v>
      </c>
      <c r="D35" s="271">
        <f>D73</f>
        <v>0</v>
      </c>
      <c r="E35" s="271">
        <f t="shared" ref="E35" si="1">E73</f>
        <v>0</v>
      </c>
      <c r="F35" s="271">
        <f t="shared" ref="F35:O35" si="2">F73</f>
        <v>0</v>
      </c>
      <c r="G35" s="271">
        <f t="shared" si="2"/>
        <v>0</v>
      </c>
      <c r="H35" s="271">
        <f t="shared" si="2"/>
        <v>0</v>
      </c>
      <c r="I35" s="271">
        <f t="shared" si="2"/>
        <v>0</v>
      </c>
      <c r="J35" s="271">
        <f t="shared" si="2"/>
        <v>0</v>
      </c>
      <c r="K35" s="271">
        <f t="shared" si="2"/>
        <v>4.1025641025640998E-2</v>
      </c>
      <c r="L35" s="271">
        <f t="shared" si="2"/>
        <v>0.256410256410256</v>
      </c>
      <c r="M35" s="271">
        <f t="shared" si="2"/>
        <v>0.16666666666666699</v>
      </c>
      <c r="N35" s="271">
        <f t="shared" si="2"/>
        <v>0</v>
      </c>
      <c r="O35" s="271">
        <f t="shared" si="2"/>
        <v>0.53589743589743599</v>
      </c>
      <c r="P35" s="357">
        <f>SUM(D35:O35)</f>
        <v>1</v>
      </c>
      <c r="Q35" s="532" t="s">
        <v>162</v>
      </c>
      <c r="R35" s="533"/>
      <c r="S35" s="533"/>
      <c r="T35" s="534"/>
      <c r="U35" s="538" t="s">
        <v>163</v>
      </c>
      <c r="V35" s="538"/>
      <c r="W35" s="538"/>
      <c r="X35" s="538"/>
      <c r="Y35" s="528" t="s">
        <v>164</v>
      </c>
      <c r="Z35" s="528"/>
      <c r="AA35" s="528"/>
      <c r="AB35" s="528"/>
      <c r="AC35" s="527" t="s">
        <v>165</v>
      </c>
      <c r="AD35" s="528"/>
      <c r="AE35" s="529"/>
      <c r="AG35" s="335"/>
      <c r="AH35" s="335"/>
      <c r="AI35" s="335"/>
      <c r="AJ35" s="335"/>
      <c r="AK35" s="335"/>
      <c r="AL35" s="335"/>
      <c r="AM35" s="335"/>
      <c r="AN35" s="335"/>
      <c r="AO35" s="335"/>
    </row>
    <row r="36" spans="1:41" ht="162.6" customHeight="1">
      <c r="A36" s="580"/>
      <c r="B36" s="597"/>
      <c r="C36" s="272" t="s">
        <v>50</v>
      </c>
      <c r="D36" s="273">
        <f>D70</f>
        <v>0</v>
      </c>
      <c r="E36" s="273">
        <f t="shared" ref="E36" si="3">E70</f>
        <v>0</v>
      </c>
      <c r="F36" s="273">
        <f t="shared" ref="F36:N36" si="4">F70</f>
        <v>0</v>
      </c>
      <c r="G36" s="273">
        <f t="shared" si="4"/>
        <v>0</v>
      </c>
      <c r="H36" s="273">
        <f t="shared" si="4"/>
        <v>0</v>
      </c>
      <c r="I36" s="273">
        <f t="shared" si="4"/>
        <v>0</v>
      </c>
      <c r="J36" s="273">
        <f t="shared" si="4"/>
        <v>0</v>
      </c>
      <c r="K36" s="273">
        <f t="shared" si="4"/>
        <v>0.29743589743589699</v>
      </c>
      <c r="L36" s="273">
        <v>0</v>
      </c>
      <c r="M36" s="273">
        <v>0.17</v>
      </c>
      <c r="N36" s="273">
        <f t="shared" si="4"/>
        <v>0</v>
      </c>
      <c r="O36" s="273">
        <v>0.54</v>
      </c>
      <c r="P36" s="442">
        <f>SUM(D36:O36)</f>
        <v>1.007435897435897</v>
      </c>
      <c r="Q36" s="535"/>
      <c r="R36" s="536"/>
      <c r="S36" s="536"/>
      <c r="T36" s="537"/>
      <c r="U36" s="539"/>
      <c r="V36" s="539"/>
      <c r="W36" s="539"/>
      <c r="X36" s="539"/>
      <c r="Y36" s="530"/>
      <c r="Z36" s="530"/>
      <c r="AA36" s="530"/>
      <c r="AB36" s="530"/>
      <c r="AC36" s="530"/>
      <c r="AD36" s="530"/>
      <c r="AE36" s="531"/>
      <c r="AG36" s="335"/>
      <c r="AH36" s="335"/>
      <c r="AI36" s="335"/>
      <c r="AJ36" s="335"/>
      <c r="AK36" s="335"/>
      <c r="AL36" s="335"/>
      <c r="AM36" s="335"/>
      <c r="AN36" s="335"/>
      <c r="AO36" s="335"/>
    </row>
    <row r="37" spans="1:41" s="239" customFormat="1" ht="17.25" customHeight="1"/>
    <row r="38" spans="1:41" ht="45" customHeight="1">
      <c r="A38" s="491" t="s">
        <v>166</v>
      </c>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3"/>
      <c r="AG38" s="335"/>
      <c r="AH38" s="335"/>
      <c r="AI38" s="335"/>
      <c r="AJ38" s="335"/>
      <c r="AK38" s="335"/>
      <c r="AL38" s="335"/>
      <c r="AM38" s="335"/>
      <c r="AN38" s="335"/>
      <c r="AO38" s="335"/>
    </row>
    <row r="39" spans="1:41" ht="26.1" customHeight="1">
      <c r="A39" s="581" t="s">
        <v>60</v>
      </c>
      <c r="B39" s="543" t="s">
        <v>167</v>
      </c>
      <c r="C39" s="549" t="s">
        <v>168</v>
      </c>
      <c r="D39" s="540" t="s">
        <v>169</v>
      </c>
      <c r="E39" s="541"/>
      <c r="F39" s="541"/>
      <c r="G39" s="541"/>
      <c r="H39" s="541"/>
      <c r="I39" s="541"/>
      <c r="J39" s="541"/>
      <c r="K39" s="541"/>
      <c r="L39" s="541"/>
      <c r="M39" s="541"/>
      <c r="N39" s="541"/>
      <c r="O39" s="541"/>
      <c r="P39" s="542"/>
      <c r="Q39" s="543" t="s">
        <v>170</v>
      </c>
      <c r="R39" s="543"/>
      <c r="S39" s="543"/>
      <c r="T39" s="543"/>
      <c r="U39" s="543"/>
      <c r="V39" s="543"/>
      <c r="W39" s="543"/>
      <c r="X39" s="543"/>
      <c r="Y39" s="543"/>
      <c r="Z39" s="543"/>
      <c r="AA39" s="543"/>
      <c r="AB39" s="543"/>
      <c r="AC39" s="543"/>
      <c r="AD39" s="543"/>
      <c r="AE39" s="544"/>
      <c r="AG39" s="335"/>
      <c r="AH39" s="335"/>
      <c r="AI39" s="335"/>
      <c r="AJ39" s="335"/>
      <c r="AK39" s="335"/>
      <c r="AL39" s="335"/>
      <c r="AM39" s="335"/>
      <c r="AN39" s="335"/>
      <c r="AO39" s="335"/>
    </row>
    <row r="40" spans="1:41" ht="26.1" customHeight="1">
      <c r="A40" s="578"/>
      <c r="B40" s="515"/>
      <c r="C40" s="550"/>
      <c r="D40" s="266" t="s">
        <v>171</v>
      </c>
      <c r="E40" s="266" t="s">
        <v>172</v>
      </c>
      <c r="F40" s="266" t="s">
        <v>173</v>
      </c>
      <c r="G40" s="266" t="s">
        <v>174</v>
      </c>
      <c r="H40" s="266" t="s">
        <v>175</v>
      </c>
      <c r="I40" s="266" t="s">
        <v>176</v>
      </c>
      <c r="J40" s="266" t="s">
        <v>177</v>
      </c>
      <c r="K40" s="266" t="s">
        <v>178</v>
      </c>
      <c r="L40" s="266" t="s">
        <v>179</v>
      </c>
      <c r="M40" s="266" t="s">
        <v>180</v>
      </c>
      <c r="N40" s="266" t="s">
        <v>181</v>
      </c>
      <c r="O40" s="266" t="s">
        <v>182</v>
      </c>
      <c r="P40" s="266" t="s">
        <v>183</v>
      </c>
      <c r="Q40" s="523" t="s">
        <v>184</v>
      </c>
      <c r="R40" s="524"/>
      <c r="S40" s="524"/>
      <c r="T40" s="524"/>
      <c r="U40" s="524"/>
      <c r="V40" s="524"/>
      <c r="W40" s="524"/>
      <c r="X40" s="525"/>
      <c r="Y40" s="523" t="s">
        <v>68</v>
      </c>
      <c r="Z40" s="524"/>
      <c r="AA40" s="524"/>
      <c r="AB40" s="524"/>
      <c r="AC40" s="524"/>
      <c r="AD40" s="524"/>
      <c r="AE40" s="545"/>
      <c r="AG40" s="336"/>
      <c r="AH40" s="336"/>
      <c r="AI40" s="336"/>
      <c r="AJ40" s="336"/>
      <c r="AK40" s="336"/>
      <c r="AL40" s="336"/>
      <c r="AM40" s="336"/>
      <c r="AN40" s="336"/>
      <c r="AO40" s="336"/>
    </row>
    <row r="41" spans="1:41" ht="60.6" customHeight="1">
      <c r="A41" s="593" t="s">
        <v>185</v>
      </c>
      <c r="B41" s="598">
        <v>0.16</v>
      </c>
      <c r="C41" s="275" t="s">
        <v>48</v>
      </c>
      <c r="D41" s="276">
        <v>0</v>
      </c>
      <c r="E41" s="276">
        <v>0</v>
      </c>
      <c r="F41" s="276">
        <v>0</v>
      </c>
      <c r="G41" s="276">
        <v>0</v>
      </c>
      <c r="H41" s="276">
        <v>0</v>
      </c>
      <c r="I41" s="276">
        <v>0</v>
      </c>
      <c r="J41" s="276">
        <v>0</v>
      </c>
      <c r="K41" s="276">
        <v>0.1</v>
      </c>
      <c r="L41" s="276">
        <v>0</v>
      </c>
      <c r="M41" s="276">
        <v>0</v>
      </c>
      <c r="N41" s="276">
        <v>0</v>
      </c>
      <c r="O41" s="276">
        <v>0.9</v>
      </c>
      <c r="P41" s="274">
        <f t="shared" ref="P41:P46" si="5">SUM(D41:O41)</f>
        <v>1</v>
      </c>
      <c r="Q41" s="551" t="s">
        <v>186</v>
      </c>
      <c r="R41" s="552"/>
      <c r="S41" s="552"/>
      <c r="T41" s="552"/>
      <c r="U41" s="552"/>
      <c r="V41" s="552"/>
      <c r="W41" s="552"/>
      <c r="X41" s="553"/>
      <c r="Y41" s="557" t="s">
        <v>187</v>
      </c>
      <c r="Z41" s="558"/>
      <c r="AA41" s="558"/>
      <c r="AB41" s="558"/>
      <c r="AC41" s="558"/>
      <c r="AD41" s="558"/>
      <c r="AE41" s="559"/>
      <c r="AG41" s="337"/>
      <c r="AH41" s="337"/>
      <c r="AI41" s="337"/>
      <c r="AJ41" s="337"/>
      <c r="AK41" s="337"/>
      <c r="AL41" s="337"/>
      <c r="AM41" s="337"/>
      <c r="AN41" s="337"/>
      <c r="AO41" s="337"/>
    </row>
    <row r="42" spans="1:41" ht="60.6" customHeight="1">
      <c r="A42" s="593"/>
      <c r="B42" s="598"/>
      <c r="C42" s="277" t="s">
        <v>50</v>
      </c>
      <c r="D42" s="278">
        <v>0</v>
      </c>
      <c r="E42" s="278">
        <v>0</v>
      </c>
      <c r="F42" s="278">
        <v>0</v>
      </c>
      <c r="G42" s="278">
        <v>0</v>
      </c>
      <c r="H42" s="278">
        <v>0</v>
      </c>
      <c r="I42" s="278">
        <v>0</v>
      </c>
      <c r="J42" s="278">
        <v>0</v>
      </c>
      <c r="K42" s="278">
        <v>0.1</v>
      </c>
      <c r="L42" s="278">
        <v>0</v>
      </c>
      <c r="M42" s="278">
        <v>0</v>
      </c>
      <c r="N42" s="278">
        <v>0</v>
      </c>
      <c r="O42" s="278">
        <v>0.9</v>
      </c>
      <c r="P42" s="358">
        <f t="shared" si="5"/>
        <v>1</v>
      </c>
      <c r="Q42" s="554"/>
      <c r="R42" s="555"/>
      <c r="S42" s="555"/>
      <c r="T42" s="555"/>
      <c r="U42" s="555"/>
      <c r="V42" s="555"/>
      <c r="W42" s="555"/>
      <c r="X42" s="556"/>
      <c r="Y42" s="560"/>
      <c r="Z42" s="561"/>
      <c r="AA42" s="561"/>
      <c r="AB42" s="561"/>
      <c r="AC42" s="561"/>
      <c r="AD42" s="561"/>
      <c r="AE42" s="562"/>
    </row>
    <row r="43" spans="1:41" ht="46.35" customHeight="1">
      <c r="A43" s="593" t="s">
        <v>188</v>
      </c>
      <c r="B43" s="598">
        <v>0.13</v>
      </c>
      <c r="C43" s="275" t="s">
        <v>48</v>
      </c>
      <c r="D43" s="276">
        <v>0</v>
      </c>
      <c r="E43" s="276">
        <v>0</v>
      </c>
      <c r="F43" s="276">
        <v>0</v>
      </c>
      <c r="G43" s="276">
        <v>0</v>
      </c>
      <c r="H43" s="276">
        <v>0</v>
      </c>
      <c r="I43" s="276">
        <v>0</v>
      </c>
      <c r="J43" s="276">
        <v>0</v>
      </c>
      <c r="K43" s="276">
        <v>0</v>
      </c>
      <c r="L43" s="276">
        <v>0</v>
      </c>
      <c r="M43" s="302">
        <v>0.5</v>
      </c>
      <c r="N43" s="276">
        <v>0</v>
      </c>
      <c r="O43" s="276">
        <v>0.5</v>
      </c>
      <c r="P43" s="351">
        <f t="shared" si="5"/>
        <v>1</v>
      </c>
      <c r="Q43" s="551" t="s">
        <v>189</v>
      </c>
      <c r="R43" s="552"/>
      <c r="S43" s="552"/>
      <c r="T43" s="552"/>
      <c r="U43" s="552"/>
      <c r="V43" s="552"/>
      <c r="W43" s="552"/>
      <c r="X43" s="553"/>
      <c r="Y43" s="557" t="s">
        <v>190</v>
      </c>
      <c r="Z43" s="558"/>
      <c r="AA43" s="558"/>
      <c r="AB43" s="558"/>
      <c r="AC43" s="558"/>
      <c r="AD43" s="558"/>
      <c r="AE43" s="559"/>
    </row>
    <row r="44" spans="1:41" ht="77.25" customHeight="1">
      <c r="A44" s="593"/>
      <c r="B44" s="598"/>
      <c r="C44" s="277" t="s">
        <v>50</v>
      </c>
      <c r="D44" s="278">
        <v>0</v>
      </c>
      <c r="E44" s="278">
        <v>0</v>
      </c>
      <c r="F44" s="278">
        <v>0</v>
      </c>
      <c r="G44" s="278">
        <v>0</v>
      </c>
      <c r="H44" s="278">
        <v>0</v>
      </c>
      <c r="I44" s="278">
        <v>0</v>
      </c>
      <c r="J44" s="278">
        <v>0</v>
      </c>
      <c r="K44" s="278">
        <v>0</v>
      </c>
      <c r="L44" s="278">
        <v>0</v>
      </c>
      <c r="M44" s="278">
        <v>0.5</v>
      </c>
      <c r="N44" s="278">
        <v>0</v>
      </c>
      <c r="O44" s="278">
        <v>0.5</v>
      </c>
      <c r="P44" s="358">
        <f t="shared" si="5"/>
        <v>1</v>
      </c>
      <c r="Q44" s="554"/>
      <c r="R44" s="555"/>
      <c r="S44" s="555"/>
      <c r="T44" s="555"/>
      <c r="U44" s="555"/>
      <c r="V44" s="555"/>
      <c r="W44" s="555"/>
      <c r="X44" s="556"/>
      <c r="Y44" s="560"/>
      <c r="Z44" s="561"/>
      <c r="AA44" s="561"/>
      <c r="AB44" s="561"/>
      <c r="AC44" s="561"/>
      <c r="AD44" s="561"/>
      <c r="AE44" s="562"/>
    </row>
    <row r="45" spans="1:41" ht="64.349999999999994" customHeight="1">
      <c r="A45" s="593" t="s">
        <v>191</v>
      </c>
      <c r="B45" s="598">
        <v>0.1</v>
      </c>
      <c r="C45" s="275" t="s">
        <v>48</v>
      </c>
      <c r="D45" s="276">
        <v>0</v>
      </c>
      <c r="E45" s="276">
        <v>0</v>
      </c>
      <c r="F45" s="276">
        <v>0</v>
      </c>
      <c r="G45" s="276">
        <v>0</v>
      </c>
      <c r="H45" s="276">
        <v>0</v>
      </c>
      <c r="I45" s="276">
        <v>0</v>
      </c>
      <c r="J45" s="276">
        <v>0</v>
      </c>
      <c r="K45" s="276">
        <v>0</v>
      </c>
      <c r="L45" s="276">
        <v>1</v>
      </c>
      <c r="M45" s="276">
        <v>0</v>
      </c>
      <c r="N45" s="276">
        <v>0</v>
      </c>
      <c r="O45" s="276">
        <v>0</v>
      </c>
      <c r="P45" s="274">
        <f t="shared" si="5"/>
        <v>1</v>
      </c>
      <c r="Q45" s="563" t="s">
        <v>192</v>
      </c>
      <c r="R45" s="564"/>
      <c r="S45" s="564"/>
      <c r="T45" s="564"/>
      <c r="U45" s="564"/>
      <c r="V45" s="564"/>
      <c r="W45" s="564"/>
      <c r="X45" s="565"/>
      <c r="Y45" s="569" t="s">
        <v>164</v>
      </c>
      <c r="Z45" s="570"/>
      <c r="AA45" s="570"/>
      <c r="AB45" s="570"/>
      <c r="AC45" s="570"/>
      <c r="AD45" s="570"/>
      <c r="AE45" s="571"/>
    </row>
    <row r="46" spans="1:41" ht="64.349999999999994" customHeight="1">
      <c r="A46" s="593"/>
      <c r="B46" s="598"/>
      <c r="C46" s="277" t="s">
        <v>50</v>
      </c>
      <c r="D46" s="278">
        <v>0</v>
      </c>
      <c r="E46" s="278">
        <v>0</v>
      </c>
      <c r="F46" s="278">
        <v>0</v>
      </c>
      <c r="G46" s="278">
        <v>0</v>
      </c>
      <c r="H46" s="278">
        <v>0</v>
      </c>
      <c r="I46" s="278">
        <v>0</v>
      </c>
      <c r="J46" s="278">
        <v>0</v>
      </c>
      <c r="K46" s="278">
        <v>1</v>
      </c>
      <c r="L46" s="278">
        <v>0</v>
      </c>
      <c r="M46" s="278">
        <v>0</v>
      </c>
      <c r="N46" s="278">
        <v>0</v>
      </c>
      <c r="O46" s="278">
        <v>0</v>
      </c>
      <c r="P46" s="358">
        <f t="shared" si="5"/>
        <v>1</v>
      </c>
      <c r="Q46" s="566"/>
      <c r="R46" s="567"/>
      <c r="S46" s="567"/>
      <c r="T46" s="567"/>
      <c r="U46" s="567"/>
      <c r="V46" s="567"/>
      <c r="W46" s="567"/>
      <c r="X46" s="568"/>
      <c r="Y46" s="572"/>
      <c r="Z46" s="573"/>
      <c r="AA46" s="573"/>
      <c r="AB46" s="573"/>
      <c r="AC46" s="573"/>
      <c r="AD46" s="573"/>
      <c r="AE46" s="574"/>
    </row>
    <row r="47" spans="1:41" s="240" customFormat="1" ht="15" customHeight="1">
      <c r="A47" s="356" t="s">
        <v>193</v>
      </c>
    </row>
    <row r="48" spans="1:41" s="240" customFormat="1" ht="14.45">
      <c r="A48" s="356"/>
    </row>
    <row r="49" spans="1:30" s="240" customFormat="1" ht="14.45">
      <c r="A49" s="356"/>
    </row>
    <row r="50" spans="1:30" s="240" customFormat="1" ht="14.45">
      <c r="A50" s="356"/>
    </row>
    <row r="51" spans="1:30" s="240" customFormat="1" ht="14.45">
      <c r="A51" s="356"/>
    </row>
    <row r="52" spans="1:30" s="240" customFormat="1" ht="14.45">
      <c r="A52" s="356"/>
    </row>
    <row r="53" spans="1:30" s="240" customFormat="1" ht="14.45" hidden="1">
      <c r="A53" s="594" t="s">
        <v>44</v>
      </c>
      <c r="B53" s="599" t="s">
        <v>167</v>
      </c>
      <c r="C53" s="546" t="s">
        <v>169</v>
      </c>
      <c r="D53" s="547"/>
      <c r="E53" s="547"/>
      <c r="F53" s="547"/>
      <c r="G53" s="547"/>
      <c r="H53" s="547"/>
      <c r="I53" s="547"/>
      <c r="J53" s="547"/>
      <c r="K53" s="547"/>
      <c r="L53" s="547"/>
      <c r="M53" s="547"/>
      <c r="N53" s="547"/>
      <c r="O53" s="547"/>
      <c r="P53" s="548"/>
      <c r="Q53" s="313"/>
      <c r="R53" s="313"/>
      <c r="S53" s="314"/>
      <c r="T53" s="314"/>
      <c r="U53" s="314"/>
      <c r="V53" s="314"/>
      <c r="W53" s="314"/>
      <c r="X53" s="314"/>
      <c r="Y53" s="314"/>
      <c r="Z53" s="314"/>
      <c r="AA53" s="314"/>
      <c r="AB53" s="314"/>
      <c r="AC53" s="314"/>
      <c r="AD53" s="314"/>
    </row>
    <row r="54" spans="1:30" s="240" customFormat="1" ht="14.45" hidden="1">
      <c r="A54" s="595"/>
      <c r="B54" s="600"/>
      <c r="C54" s="279" t="s">
        <v>168</v>
      </c>
      <c r="D54" s="279" t="s">
        <v>171</v>
      </c>
      <c r="E54" s="279" t="s">
        <v>172</v>
      </c>
      <c r="F54" s="279" t="s">
        <v>173</v>
      </c>
      <c r="G54" s="279" t="s">
        <v>174</v>
      </c>
      <c r="H54" s="279" t="s">
        <v>175</v>
      </c>
      <c r="I54" s="279" t="s">
        <v>176</v>
      </c>
      <c r="J54" s="279" t="s">
        <v>177</v>
      </c>
      <c r="K54" s="279" t="s">
        <v>178</v>
      </c>
      <c r="L54" s="279" t="s">
        <v>179</v>
      </c>
      <c r="M54" s="279" t="s">
        <v>180</v>
      </c>
      <c r="N54" s="279" t="s">
        <v>181</v>
      </c>
      <c r="O54" s="279" t="s">
        <v>182</v>
      </c>
      <c r="P54" s="303" t="s">
        <v>183</v>
      </c>
      <c r="Q54" s="313"/>
      <c r="R54" s="313"/>
      <c r="S54" s="314"/>
      <c r="T54" s="314"/>
      <c r="U54" s="314"/>
      <c r="V54" s="314"/>
      <c r="W54" s="314"/>
      <c r="X54" s="314"/>
      <c r="Y54" s="314"/>
      <c r="Z54" s="314"/>
      <c r="AA54" s="314"/>
      <c r="AB54" s="314"/>
      <c r="AC54" s="314"/>
      <c r="AD54" s="314"/>
    </row>
    <row r="55" spans="1:30" s="240" customFormat="1" ht="18" hidden="1" customHeight="1">
      <c r="A55" s="589" t="str">
        <f>A41</f>
        <v>1. Diseñar un documento orientador de la Estrategia de Empoderamiento y autonomía económica para las mujeres en sus diversidades.</v>
      </c>
      <c r="B55" s="601">
        <f>B41</f>
        <v>0.16</v>
      </c>
      <c r="C55" s="280" t="s">
        <v>48</v>
      </c>
      <c r="D55" s="281">
        <f t="shared" ref="D55:O55" si="6">D41*$B$41/$P$41</f>
        <v>0</v>
      </c>
      <c r="E55" s="281">
        <f t="shared" si="6"/>
        <v>0</v>
      </c>
      <c r="F55" s="281">
        <f t="shared" si="6"/>
        <v>0</v>
      </c>
      <c r="G55" s="281">
        <f t="shared" si="6"/>
        <v>0</v>
      </c>
      <c r="H55" s="281">
        <f t="shared" si="6"/>
        <v>0</v>
      </c>
      <c r="I55" s="281">
        <f t="shared" si="6"/>
        <v>0</v>
      </c>
      <c r="J55" s="281">
        <f t="shared" si="6"/>
        <v>0</v>
      </c>
      <c r="K55" s="281">
        <f t="shared" si="6"/>
        <v>1.6E-2</v>
      </c>
      <c r="L55" s="281">
        <f t="shared" si="6"/>
        <v>0</v>
      </c>
      <c r="M55" s="281">
        <f t="shared" si="6"/>
        <v>0</v>
      </c>
      <c r="N55" s="281">
        <f t="shared" si="6"/>
        <v>0</v>
      </c>
      <c r="O55" s="281">
        <f t="shared" si="6"/>
        <v>0.14399999999999999</v>
      </c>
      <c r="P55" s="304">
        <f>SUM(D55:O55)</f>
        <v>0.16</v>
      </c>
      <c r="Q55" s="315">
        <v>0.05</v>
      </c>
      <c r="R55" s="316">
        <f t="shared" ref="R55:R69" si="7">+P55-Q55</f>
        <v>0.11</v>
      </c>
      <c r="S55" s="314"/>
      <c r="T55" s="314"/>
      <c r="U55" s="314"/>
      <c r="V55" s="314"/>
      <c r="W55" s="314"/>
      <c r="X55" s="314"/>
      <c r="Y55" s="314"/>
      <c r="Z55" s="314"/>
      <c r="AA55" s="314"/>
      <c r="AB55" s="314"/>
      <c r="AC55" s="314"/>
      <c r="AD55" s="314"/>
    </row>
    <row r="56" spans="1:30" s="240" customFormat="1" ht="18" hidden="1" customHeight="1">
      <c r="A56" s="590"/>
      <c r="B56" s="602"/>
      <c r="C56" s="282" t="s">
        <v>50</v>
      </c>
      <c r="D56" s="283">
        <f t="shared" ref="D56:O56" si="8">D42*$B$41/$P$41</f>
        <v>0</v>
      </c>
      <c r="E56" s="283">
        <f t="shared" si="8"/>
        <v>0</v>
      </c>
      <c r="F56" s="283">
        <f t="shared" si="8"/>
        <v>0</v>
      </c>
      <c r="G56" s="283">
        <f t="shared" si="8"/>
        <v>0</v>
      </c>
      <c r="H56" s="283">
        <f t="shared" si="8"/>
        <v>0</v>
      </c>
      <c r="I56" s="283">
        <f t="shared" si="8"/>
        <v>0</v>
      </c>
      <c r="J56" s="283">
        <f t="shared" si="8"/>
        <v>0</v>
      </c>
      <c r="K56" s="283">
        <f t="shared" si="8"/>
        <v>1.6E-2</v>
      </c>
      <c r="L56" s="283">
        <f t="shared" si="8"/>
        <v>0</v>
      </c>
      <c r="M56" s="283">
        <f t="shared" si="8"/>
        <v>0</v>
      </c>
      <c r="N56" s="283">
        <f t="shared" si="8"/>
        <v>0</v>
      </c>
      <c r="O56" s="283">
        <f t="shared" si="8"/>
        <v>0.14400000000000002</v>
      </c>
      <c r="P56" s="305">
        <f t="shared" ref="P56:P60" si="9">SUM(D56:O56)</f>
        <v>0.16000000000000003</v>
      </c>
      <c r="Q56" s="317">
        <f>+P56</f>
        <v>0.16000000000000003</v>
      </c>
      <c r="R56" s="316">
        <f t="shared" si="7"/>
        <v>0</v>
      </c>
      <c r="S56" s="314"/>
      <c r="T56" s="314"/>
      <c r="U56" s="314"/>
      <c r="V56" s="314"/>
      <c r="W56" s="314"/>
      <c r="X56" s="314"/>
      <c r="Y56" s="314"/>
      <c r="Z56" s="314"/>
      <c r="AA56" s="314"/>
      <c r="AB56" s="314"/>
      <c r="AC56" s="314"/>
      <c r="AD56" s="314"/>
    </row>
    <row r="57" spans="1:30" s="240" customFormat="1" ht="18" hidden="1" customHeight="1">
      <c r="A57" s="589" t="str">
        <f>A43</f>
        <v>2. Elaborar un documento de diseño de la ruta de acompañamiento para las mujeres en sus diversidades en el marco la estrategia para el empoderamiento económico</v>
      </c>
      <c r="B57" s="601">
        <f>B43</f>
        <v>0.13</v>
      </c>
      <c r="C57" s="280" t="s">
        <v>48</v>
      </c>
      <c r="D57" s="281">
        <f t="shared" ref="D57:O57" si="10">D43*$B$43/$P$43</f>
        <v>0</v>
      </c>
      <c r="E57" s="281">
        <f t="shared" si="10"/>
        <v>0</v>
      </c>
      <c r="F57" s="281">
        <f t="shared" si="10"/>
        <v>0</v>
      </c>
      <c r="G57" s="281">
        <f t="shared" si="10"/>
        <v>0</v>
      </c>
      <c r="H57" s="281">
        <f t="shared" si="10"/>
        <v>0</v>
      </c>
      <c r="I57" s="281">
        <f t="shared" si="10"/>
        <v>0</v>
      </c>
      <c r="J57" s="281">
        <f t="shared" si="10"/>
        <v>0</v>
      </c>
      <c r="K57" s="281">
        <f t="shared" si="10"/>
        <v>0</v>
      </c>
      <c r="L57" s="281">
        <f t="shared" si="10"/>
        <v>0</v>
      </c>
      <c r="M57" s="281">
        <f t="shared" si="10"/>
        <v>6.5000000000000002E-2</v>
      </c>
      <c r="N57" s="281">
        <f t="shared" si="10"/>
        <v>0</v>
      </c>
      <c r="O57" s="281">
        <f t="shared" si="10"/>
        <v>6.5000000000000002E-2</v>
      </c>
      <c r="P57" s="304">
        <f t="shared" si="9"/>
        <v>0.13</v>
      </c>
      <c r="Q57" s="315">
        <v>2.5000000000000001E-2</v>
      </c>
      <c r="R57" s="316">
        <f t="shared" si="7"/>
        <v>0.105</v>
      </c>
      <c r="S57" s="314"/>
      <c r="T57" s="314"/>
      <c r="U57" s="314"/>
      <c r="V57" s="314"/>
      <c r="W57" s="314"/>
      <c r="X57" s="314"/>
      <c r="Y57" s="314"/>
      <c r="Z57" s="314"/>
      <c r="AA57" s="314"/>
      <c r="AB57" s="314"/>
      <c r="AC57" s="314"/>
      <c r="AD57" s="314"/>
    </row>
    <row r="58" spans="1:30" s="240" customFormat="1" ht="18" hidden="1" customHeight="1">
      <c r="A58" s="590"/>
      <c r="B58" s="602"/>
      <c r="C58" s="282" t="s">
        <v>50</v>
      </c>
      <c r="D58" s="283">
        <f t="shared" ref="D58:O58" si="11">D44*$B$43/$P$43</f>
        <v>0</v>
      </c>
      <c r="E58" s="283">
        <f t="shared" si="11"/>
        <v>0</v>
      </c>
      <c r="F58" s="283">
        <f t="shared" si="11"/>
        <v>0</v>
      </c>
      <c r="G58" s="283">
        <f t="shared" si="11"/>
        <v>0</v>
      </c>
      <c r="H58" s="283">
        <f t="shared" si="11"/>
        <v>0</v>
      </c>
      <c r="I58" s="283">
        <f t="shared" si="11"/>
        <v>0</v>
      </c>
      <c r="J58" s="283">
        <f t="shared" si="11"/>
        <v>0</v>
      </c>
      <c r="K58" s="283">
        <f t="shared" si="11"/>
        <v>0</v>
      </c>
      <c r="L58" s="283">
        <f t="shared" si="11"/>
        <v>0</v>
      </c>
      <c r="M58" s="283">
        <f t="shared" si="11"/>
        <v>6.5000000000000002E-2</v>
      </c>
      <c r="N58" s="283">
        <f t="shared" si="11"/>
        <v>0</v>
      </c>
      <c r="O58" s="283">
        <f t="shared" si="11"/>
        <v>6.5000000000000002E-2</v>
      </c>
      <c r="P58" s="305">
        <f t="shared" si="9"/>
        <v>0.13</v>
      </c>
      <c r="Q58" s="317">
        <f>+P58</f>
        <v>0.13</v>
      </c>
      <c r="R58" s="316">
        <f t="shared" si="7"/>
        <v>0</v>
      </c>
      <c r="S58" s="314"/>
      <c r="T58" s="314"/>
      <c r="U58" s="314"/>
      <c r="V58" s="314"/>
      <c r="W58" s="314"/>
      <c r="X58" s="314"/>
      <c r="Y58" s="314"/>
      <c r="Z58" s="314"/>
      <c r="AA58" s="314"/>
      <c r="AB58" s="314"/>
      <c r="AC58" s="314"/>
      <c r="AD58" s="314"/>
    </row>
    <row r="59" spans="1:30" s="240" customFormat="1" ht="18" hidden="1" customHeight="1">
      <c r="A59" s="589" t="str">
        <f>A45</f>
        <v>3. Elaborar el informe consolidado de los reportes enviados por las entidades y organismos Distritales en cumplimiento del Decreto 332 de 2020.</v>
      </c>
      <c r="B59" s="601">
        <f>B45</f>
        <v>0.1</v>
      </c>
      <c r="C59" s="280" t="s">
        <v>48</v>
      </c>
      <c r="D59" s="281">
        <f t="shared" ref="D59:O59" si="12">D45*$B$45/$P$45</f>
        <v>0</v>
      </c>
      <c r="E59" s="281">
        <f t="shared" si="12"/>
        <v>0</v>
      </c>
      <c r="F59" s="281">
        <f t="shared" si="12"/>
        <v>0</v>
      </c>
      <c r="G59" s="281">
        <f t="shared" si="12"/>
        <v>0</v>
      </c>
      <c r="H59" s="281">
        <f t="shared" si="12"/>
        <v>0</v>
      </c>
      <c r="I59" s="281">
        <f t="shared" si="12"/>
        <v>0</v>
      </c>
      <c r="J59" s="281">
        <f t="shared" si="12"/>
        <v>0</v>
      </c>
      <c r="K59" s="281">
        <f t="shared" si="12"/>
        <v>0</v>
      </c>
      <c r="L59" s="281">
        <f t="shared" si="12"/>
        <v>0.1</v>
      </c>
      <c r="M59" s="281">
        <f t="shared" si="12"/>
        <v>0</v>
      </c>
      <c r="N59" s="281">
        <f t="shared" si="12"/>
        <v>0</v>
      </c>
      <c r="O59" s="281">
        <f t="shared" si="12"/>
        <v>0</v>
      </c>
      <c r="P59" s="304">
        <f t="shared" si="9"/>
        <v>0.1</v>
      </c>
      <c r="Q59" s="315">
        <v>2.5000000000000001E-2</v>
      </c>
      <c r="R59" s="316">
        <f t="shared" si="7"/>
        <v>7.4999999999999997E-2</v>
      </c>
      <c r="S59" s="314"/>
      <c r="T59" s="314"/>
      <c r="U59" s="314"/>
      <c r="V59" s="314"/>
      <c r="W59" s="314"/>
      <c r="X59" s="314"/>
      <c r="Y59" s="314"/>
      <c r="Z59" s="314"/>
      <c r="AA59" s="314"/>
      <c r="AB59" s="314"/>
      <c r="AC59" s="314"/>
      <c r="AD59" s="314"/>
    </row>
    <row r="60" spans="1:30" s="240" customFormat="1" ht="18" hidden="1" customHeight="1">
      <c r="A60" s="590"/>
      <c r="B60" s="602"/>
      <c r="C60" s="282" t="s">
        <v>50</v>
      </c>
      <c r="D60" s="284">
        <f t="shared" ref="D60:O60" si="13">D46*$B$45/$P$45</f>
        <v>0</v>
      </c>
      <c r="E60" s="284">
        <f t="shared" si="13"/>
        <v>0</v>
      </c>
      <c r="F60" s="284">
        <f t="shared" si="13"/>
        <v>0</v>
      </c>
      <c r="G60" s="284">
        <f t="shared" si="13"/>
        <v>0</v>
      </c>
      <c r="H60" s="284">
        <f t="shared" si="13"/>
        <v>0</v>
      </c>
      <c r="I60" s="284">
        <f t="shared" si="13"/>
        <v>0</v>
      </c>
      <c r="J60" s="284">
        <f t="shared" si="13"/>
        <v>0</v>
      </c>
      <c r="K60" s="284">
        <f t="shared" si="13"/>
        <v>0.1</v>
      </c>
      <c r="L60" s="284">
        <f t="shared" si="13"/>
        <v>0</v>
      </c>
      <c r="M60" s="284">
        <f t="shared" si="13"/>
        <v>0</v>
      </c>
      <c r="N60" s="284">
        <f t="shared" si="13"/>
        <v>0</v>
      </c>
      <c r="O60" s="284">
        <f t="shared" si="13"/>
        <v>0</v>
      </c>
      <c r="P60" s="305">
        <f t="shared" si="9"/>
        <v>0.1</v>
      </c>
      <c r="Q60" s="317">
        <f>+P60</f>
        <v>0.1</v>
      </c>
      <c r="R60" s="316">
        <f t="shared" si="7"/>
        <v>0</v>
      </c>
      <c r="S60" s="314"/>
      <c r="T60" s="314"/>
      <c r="U60" s="314"/>
      <c r="V60" s="314"/>
      <c r="W60" s="314"/>
      <c r="X60" s="314"/>
      <c r="Y60" s="314"/>
      <c r="Z60" s="314"/>
      <c r="AA60" s="314"/>
      <c r="AB60" s="314"/>
      <c r="AC60" s="314"/>
      <c r="AD60" s="314"/>
    </row>
    <row r="61" spans="1:30" s="240" customFormat="1" ht="18" hidden="1" customHeight="1">
      <c r="A61" s="589" t="e">
        <f>#REF!</f>
        <v>#REF!</v>
      </c>
      <c r="B61" s="601" t="e">
        <f>#REF!</f>
        <v>#REF!</v>
      </c>
      <c r="C61" s="280" t="s">
        <v>48</v>
      </c>
      <c r="D61" s="281"/>
      <c r="E61" s="281"/>
      <c r="F61" s="281"/>
      <c r="G61" s="281"/>
      <c r="H61" s="281"/>
      <c r="I61" s="281"/>
      <c r="J61" s="281"/>
      <c r="K61" s="281"/>
      <c r="L61" s="281"/>
      <c r="M61" s="281"/>
      <c r="N61" s="281"/>
      <c r="O61" s="281"/>
      <c r="P61" s="304"/>
      <c r="Q61" s="315"/>
      <c r="R61" s="316">
        <f t="shared" si="7"/>
        <v>0</v>
      </c>
      <c r="S61" s="314"/>
      <c r="T61" s="314"/>
      <c r="U61" s="314"/>
      <c r="V61" s="314"/>
      <c r="W61" s="314"/>
      <c r="X61" s="314"/>
      <c r="Y61" s="314"/>
      <c r="Z61" s="314"/>
      <c r="AA61" s="314"/>
      <c r="AB61" s="314"/>
      <c r="AC61" s="314"/>
      <c r="AD61" s="314"/>
    </row>
    <row r="62" spans="1:30" s="240" customFormat="1" ht="18" hidden="1" customHeight="1">
      <c r="A62" s="590"/>
      <c r="B62" s="602"/>
      <c r="C62" s="285" t="s">
        <v>50</v>
      </c>
      <c r="D62" s="286"/>
      <c r="E62" s="286"/>
      <c r="F62" s="286"/>
      <c r="G62" s="286"/>
      <c r="H62" s="286"/>
      <c r="I62" s="286"/>
      <c r="J62" s="286"/>
      <c r="K62" s="286"/>
      <c r="L62" s="286"/>
      <c r="M62" s="286"/>
      <c r="N62" s="286"/>
      <c r="O62" s="286"/>
      <c r="P62" s="306"/>
      <c r="Q62" s="317"/>
      <c r="R62" s="316">
        <f t="shared" si="7"/>
        <v>0</v>
      </c>
      <c r="S62" s="314"/>
      <c r="T62" s="314"/>
      <c r="U62" s="314"/>
      <c r="V62" s="314"/>
      <c r="W62" s="314"/>
      <c r="X62" s="314"/>
      <c r="Y62" s="314"/>
      <c r="Z62" s="314"/>
      <c r="AA62" s="314"/>
      <c r="AB62" s="314"/>
      <c r="AC62" s="314"/>
      <c r="AD62" s="314"/>
    </row>
    <row r="63" spans="1:30" s="240" customFormat="1" ht="14.45" hidden="1">
      <c r="A63" s="591"/>
      <c r="B63" s="603"/>
      <c r="C63" s="287"/>
      <c r="D63" s="281"/>
      <c r="E63" s="281"/>
      <c r="F63" s="281"/>
      <c r="G63" s="281"/>
      <c r="H63" s="281"/>
      <c r="I63" s="281"/>
      <c r="J63" s="281"/>
      <c r="K63" s="281"/>
      <c r="L63" s="281"/>
      <c r="M63" s="281"/>
      <c r="N63" s="281"/>
      <c r="O63" s="281"/>
      <c r="P63" s="307"/>
      <c r="Q63" s="315"/>
      <c r="R63" s="316">
        <f t="shared" si="7"/>
        <v>0</v>
      </c>
      <c r="S63" s="314"/>
      <c r="T63" s="314"/>
      <c r="U63" s="314"/>
      <c r="V63" s="314"/>
      <c r="W63" s="314"/>
      <c r="X63" s="314"/>
      <c r="Y63" s="314"/>
      <c r="Z63" s="314"/>
      <c r="AA63" s="314"/>
      <c r="AB63" s="314"/>
      <c r="AC63" s="314"/>
      <c r="AD63" s="314"/>
    </row>
    <row r="64" spans="1:30" s="240" customFormat="1" ht="14.45" hidden="1">
      <c r="A64" s="592"/>
      <c r="B64" s="604"/>
      <c r="C64" s="287"/>
      <c r="D64" s="288"/>
      <c r="E64" s="288"/>
      <c r="F64" s="288"/>
      <c r="G64" s="288"/>
      <c r="H64" s="288"/>
      <c r="I64" s="288"/>
      <c r="J64" s="288"/>
      <c r="K64" s="288"/>
      <c r="L64" s="288"/>
      <c r="M64" s="288"/>
      <c r="N64" s="288"/>
      <c r="O64" s="288"/>
      <c r="P64" s="307"/>
      <c r="Q64" s="317"/>
      <c r="R64" s="316">
        <f t="shared" si="7"/>
        <v>0</v>
      </c>
      <c r="S64" s="314"/>
      <c r="T64" s="314"/>
      <c r="U64" s="314"/>
      <c r="V64" s="314"/>
      <c r="W64" s="314"/>
      <c r="X64" s="314"/>
      <c r="Y64" s="314"/>
      <c r="Z64" s="314"/>
      <c r="AA64" s="314"/>
      <c r="AB64" s="314"/>
      <c r="AC64" s="314"/>
      <c r="AD64" s="314"/>
    </row>
    <row r="65" spans="1:30" s="240" customFormat="1" ht="14.45" hidden="1">
      <c r="A65" s="591"/>
      <c r="B65" s="603"/>
      <c r="C65" s="287"/>
      <c r="D65" s="281"/>
      <c r="E65" s="281"/>
      <c r="F65" s="281"/>
      <c r="G65" s="281"/>
      <c r="H65" s="281"/>
      <c r="I65" s="281"/>
      <c r="J65" s="281"/>
      <c r="K65" s="281"/>
      <c r="L65" s="281"/>
      <c r="M65" s="281"/>
      <c r="N65" s="281"/>
      <c r="O65" s="281"/>
      <c r="P65" s="307"/>
      <c r="Q65" s="315"/>
      <c r="R65" s="316">
        <f t="shared" si="7"/>
        <v>0</v>
      </c>
      <c r="S65" s="314"/>
      <c r="T65" s="314"/>
      <c r="U65" s="314"/>
      <c r="V65" s="314"/>
      <c r="W65" s="314"/>
      <c r="X65" s="314"/>
      <c r="Y65" s="314"/>
      <c r="Z65" s="314"/>
      <c r="AA65" s="314"/>
      <c r="AB65" s="314"/>
      <c r="AC65" s="314"/>
      <c r="AD65" s="314"/>
    </row>
    <row r="66" spans="1:30" s="240" customFormat="1" ht="14.45" hidden="1">
      <c r="A66" s="592"/>
      <c r="B66" s="604"/>
      <c r="C66" s="287"/>
      <c r="D66" s="288"/>
      <c r="E66" s="288"/>
      <c r="F66" s="288"/>
      <c r="G66" s="288"/>
      <c r="H66" s="288"/>
      <c r="I66" s="288"/>
      <c r="J66" s="288"/>
      <c r="K66" s="288"/>
      <c r="L66" s="288"/>
      <c r="M66" s="288"/>
      <c r="N66" s="288"/>
      <c r="O66" s="288"/>
      <c r="P66" s="307"/>
      <c r="Q66" s="317"/>
      <c r="R66" s="316">
        <f t="shared" si="7"/>
        <v>0</v>
      </c>
      <c r="S66" s="314"/>
      <c r="T66" s="314"/>
      <c r="U66" s="314"/>
      <c r="V66" s="314"/>
      <c r="W66" s="314"/>
      <c r="X66" s="314"/>
      <c r="Y66" s="314"/>
      <c r="Z66" s="314"/>
      <c r="AA66" s="314"/>
      <c r="AB66" s="314"/>
      <c r="AC66" s="314"/>
      <c r="AD66" s="314"/>
    </row>
    <row r="67" spans="1:30" s="240" customFormat="1" ht="14.45" hidden="1">
      <c r="A67" s="591"/>
      <c r="B67" s="603"/>
      <c r="C67" s="287"/>
      <c r="D67" s="281"/>
      <c r="E67" s="281"/>
      <c r="F67" s="281"/>
      <c r="G67" s="281"/>
      <c r="H67" s="281"/>
      <c r="I67" s="281"/>
      <c r="J67" s="281"/>
      <c r="K67" s="281"/>
      <c r="L67" s="281"/>
      <c r="M67" s="281"/>
      <c r="N67" s="281"/>
      <c r="O67" s="281"/>
      <c r="P67" s="307"/>
      <c r="Q67" s="315"/>
      <c r="R67" s="316"/>
      <c r="S67" s="314"/>
      <c r="T67" s="314"/>
      <c r="U67" s="314"/>
      <c r="V67" s="314"/>
      <c r="W67" s="314"/>
      <c r="X67" s="314"/>
      <c r="Y67" s="314"/>
      <c r="Z67" s="314"/>
      <c r="AA67" s="314"/>
      <c r="AB67" s="314"/>
      <c r="AC67" s="314"/>
      <c r="AD67" s="314"/>
    </row>
    <row r="68" spans="1:30" s="240" customFormat="1" ht="14.45" hidden="1">
      <c r="A68" s="592"/>
      <c r="B68" s="604"/>
      <c r="C68" s="287"/>
      <c r="D68" s="288"/>
      <c r="E68" s="288"/>
      <c r="F68" s="288"/>
      <c r="G68" s="288"/>
      <c r="H68" s="288"/>
      <c r="I68" s="288"/>
      <c r="J68" s="288"/>
      <c r="K68" s="288"/>
      <c r="L68" s="288"/>
      <c r="M68" s="288"/>
      <c r="N68" s="288"/>
      <c r="O68" s="288"/>
      <c r="P68" s="307"/>
      <c r="Q68" s="317"/>
      <c r="R68" s="316"/>
      <c r="S68" s="314"/>
      <c r="T68" s="314"/>
      <c r="U68" s="314"/>
      <c r="V68" s="314"/>
      <c r="W68" s="314"/>
      <c r="X68" s="314"/>
      <c r="Y68" s="314"/>
      <c r="Z68" s="314"/>
      <c r="AA68" s="314"/>
      <c r="AB68" s="314"/>
      <c r="AC68" s="314"/>
      <c r="AD68" s="314"/>
    </row>
    <row r="69" spans="1:30" s="240" customFormat="1" ht="14.45" hidden="1">
      <c r="A69" s="313"/>
      <c r="B69" s="338"/>
      <c r="C69" s="339"/>
      <c r="D69" s="340">
        <f t="shared" ref="D69:O69" si="14">D56+D58+D60</f>
        <v>0</v>
      </c>
      <c r="E69" s="340">
        <f t="shared" si="14"/>
        <v>0</v>
      </c>
      <c r="F69" s="340">
        <f t="shared" si="14"/>
        <v>0</v>
      </c>
      <c r="G69" s="340">
        <f t="shared" si="14"/>
        <v>0</v>
      </c>
      <c r="H69" s="340">
        <f t="shared" si="14"/>
        <v>0</v>
      </c>
      <c r="I69" s="340">
        <f t="shared" si="14"/>
        <v>0</v>
      </c>
      <c r="J69" s="340">
        <f t="shared" si="14"/>
        <v>0</v>
      </c>
      <c r="K69" s="340">
        <f t="shared" si="14"/>
        <v>0.11600000000000001</v>
      </c>
      <c r="L69" s="340">
        <f t="shared" si="14"/>
        <v>0</v>
      </c>
      <c r="M69" s="340">
        <f t="shared" si="14"/>
        <v>6.5000000000000002E-2</v>
      </c>
      <c r="N69" s="340">
        <f t="shared" si="14"/>
        <v>0</v>
      </c>
      <c r="O69" s="340">
        <f t="shared" si="14"/>
        <v>0.20900000000000002</v>
      </c>
      <c r="P69" s="340">
        <f>P56+P58+P60+P62</f>
        <v>0.39</v>
      </c>
      <c r="Q69" s="313"/>
      <c r="R69" s="316">
        <f t="shared" si="7"/>
        <v>0.39</v>
      </c>
      <c r="S69" s="314"/>
      <c r="T69" s="314"/>
      <c r="U69" s="314"/>
      <c r="V69" s="314"/>
      <c r="W69" s="314"/>
      <c r="X69" s="314"/>
      <c r="Y69" s="314"/>
      <c r="Z69" s="314"/>
      <c r="AA69" s="314"/>
      <c r="AB69" s="314"/>
      <c r="AC69" s="314"/>
      <c r="AD69" s="314"/>
    </row>
    <row r="70" spans="1:30" s="240" customFormat="1" ht="14.45" hidden="1">
      <c r="A70" s="313"/>
      <c r="B70" s="341"/>
      <c r="C70" s="342" t="s">
        <v>50</v>
      </c>
      <c r="D70" s="343">
        <f>D69*1/$B$35</f>
        <v>0</v>
      </c>
      <c r="E70" s="343">
        <f t="shared" ref="E70:O70" si="15">E69*1/$B$35</f>
        <v>0</v>
      </c>
      <c r="F70" s="343">
        <f t="shared" si="15"/>
        <v>0</v>
      </c>
      <c r="G70" s="343">
        <f t="shared" si="15"/>
        <v>0</v>
      </c>
      <c r="H70" s="343">
        <f t="shared" si="15"/>
        <v>0</v>
      </c>
      <c r="I70" s="343">
        <f t="shared" si="15"/>
        <v>0</v>
      </c>
      <c r="J70" s="343">
        <f t="shared" si="15"/>
        <v>0</v>
      </c>
      <c r="K70" s="343">
        <f t="shared" si="15"/>
        <v>0.29743589743589699</v>
      </c>
      <c r="L70" s="343">
        <f t="shared" si="15"/>
        <v>0</v>
      </c>
      <c r="M70" s="343">
        <f t="shared" si="15"/>
        <v>0.16666666666666699</v>
      </c>
      <c r="N70" s="343">
        <f t="shared" si="15"/>
        <v>0</v>
      </c>
      <c r="O70" s="343">
        <f t="shared" si="15"/>
        <v>0.53589743589743588</v>
      </c>
      <c r="P70" s="347">
        <f>SUM(D70:O70)</f>
        <v>0.99999999999999989</v>
      </c>
      <c r="Q70" s="344"/>
      <c r="R70" s="313"/>
      <c r="S70" s="314"/>
      <c r="T70" s="314"/>
      <c r="U70" s="314"/>
      <c r="V70" s="314"/>
      <c r="W70" s="314"/>
      <c r="X70" s="314"/>
      <c r="Y70" s="314"/>
      <c r="Z70" s="314"/>
      <c r="AA70" s="314"/>
      <c r="AB70" s="314"/>
      <c r="AC70" s="314"/>
      <c r="AD70" s="314"/>
    </row>
    <row r="71" spans="1:30" s="240" customFormat="1" ht="14.45" hidden="1">
      <c r="A71" s="344"/>
      <c r="B71" s="345"/>
      <c r="C71" s="345"/>
      <c r="D71" s="345"/>
      <c r="E71" s="345"/>
      <c r="F71" s="345"/>
      <c r="G71" s="345"/>
      <c r="H71" s="345"/>
      <c r="I71" s="345"/>
      <c r="J71" s="345"/>
      <c r="K71" s="345"/>
      <c r="L71" s="345"/>
      <c r="M71" s="345"/>
      <c r="N71" s="345"/>
      <c r="O71" s="345"/>
      <c r="P71" s="345"/>
      <c r="Q71" s="344"/>
      <c r="R71" s="344"/>
      <c r="S71" s="314"/>
      <c r="T71" s="314"/>
      <c r="U71" s="314"/>
      <c r="V71" s="314"/>
      <c r="W71" s="314"/>
      <c r="X71" s="314"/>
      <c r="Y71" s="314"/>
      <c r="Z71" s="314"/>
      <c r="AA71" s="314"/>
      <c r="AB71" s="314"/>
      <c r="AC71" s="314"/>
      <c r="AD71" s="314"/>
    </row>
    <row r="72" spans="1:30" s="240" customFormat="1" ht="14.45" hidden="1">
      <c r="A72" s="315"/>
      <c r="B72" s="346"/>
      <c r="C72" s="346"/>
      <c r="D72" s="340">
        <f>+D55+D57+D59</f>
        <v>0</v>
      </c>
      <c r="E72" s="340">
        <f t="shared" ref="E72:O72" si="16">+E55+E57+E59</f>
        <v>0</v>
      </c>
      <c r="F72" s="340">
        <f t="shared" si="16"/>
        <v>0</v>
      </c>
      <c r="G72" s="340">
        <f t="shared" si="16"/>
        <v>0</v>
      </c>
      <c r="H72" s="340">
        <f t="shared" si="16"/>
        <v>0</v>
      </c>
      <c r="I72" s="340">
        <f t="shared" si="16"/>
        <v>0</v>
      </c>
      <c r="J72" s="340">
        <f t="shared" si="16"/>
        <v>0</v>
      </c>
      <c r="K72" s="340">
        <f t="shared" si="16"/>
        <v>1.6E-2</v>
      </c>
      <c r="L72" s="340">
        <f t="shared" si="16"/>
        <v>0.1</v>
      </c>
      <c r="M72" s="340">
        <f t="shared" si="16"/>
        <v>6.5000000000000002E-2</v>
      </c>
      <c r="N72" s="340">
        <f t="shared" si="16"/>
        <v>0</v>
      </c>
      <c r="O72" s="340">
        <f t="shared" si="16"/>
        <v>0.20899999999999999</v>
      </c>
      <c r="P72" s="340">
        <f t="shared" ref="P72" si="17">+P55+P57+P59+P61</f>
        <v>0.39</v>
      </c>
      <c r="Q72" s="315"/>
      <c r="R72" s="315"/>
      <c r="S72" s="314"/>
      <c r="T72" s="314"/>
      <c r="U72" s="314"/>
      <c r="V72" s="314"/>
      <c r="W72" s="314"/>
      <c r="X72" s="314"/>
      <c r="Y72" s="314"/>
      <c r="Z72" s="314"/>
      <c r="AA72" s="314"/>
      <c r="AB72" s="314"/>
      <c r="AC72" s="314"/>
      <c r="AD72" s="314"/>
    </row>
    <row r="73" spans="1:30" s="240" customFormat="1" ht="14.45" hidden="1">
      <c r="A73" s="315"/>
      <c r="B73" s="346"/>
      <c r="C73" s="342" t="s">
        <v>48</v>
      </c>
      <c r="D73" s="343">
        <f>D72*1/$B$35</f>
        <v>0</v>
      </c>
      <c r="E73" s="343">
        <f t="shared" ref="E73:O73" si="18">E72*1/$B$35</f>
        <v>0</v>
      </c>
      <c r="F73" s="343">
        <f t="shared" si="18"/>
        <v>0</v>
      </c>
      <c r="G73" s="343">
        <f t="shared" si="18"/>
        <v>0</v>
      </c>
      <c r="H73" s="343">
        <f t="shared" si="18"/>
        <v>0</v>
      </c>
      <c r="I73" s="343">
        <f t="shared" si="18"/>
        <v>0</v>
      </c>
      <c r="J73" s="343">
        <f t="shared" si="18"/>
        <v>0</v>
      </c>
      <c r="K73" s="343">
        <f t="shared" si="18"/>
        <v>4.1025641025640998E-2</v>
      </c>
      <c r="L73" s="343">
        <f t="shared" si="18"/>
        <v>0.256410256410256</v>
      </c>
      <c r="M73" s="343">
        <f t="shared" si="18"/>
        <v>0.16666666666666699</v>
      </c>
      <c r="N73" s="343">
        <f t="shared" si="18"/>
        <v>0</v>
      </c>
      <c r="O73" s="343">
        <f t="shared" si="18"/>
        <v>0.53589743589743599</v>
      </c>
      <c r="P73" s="347">
        <f>SUM(D73:O73)</f>
        <v>1</v>
      </c>
      <c r="Q73" s="315"/>
      <c r="R73" s="315"/>
      <c r="S73" s="314"/>
      <c r="T73" s="314"/>
      <c r="U73" s="314"/>
      <c r="V73" s="314"/>
      <c r="W73" s="314"/>
      <c r="X73" s="314"/>
      <c r="Y73" s="314"/>
      <c r="Z73" s="314"/>
      <c r="AA73" s="314"/>
      <c r="AB73" s="314"/>
      <c r="AC73" s="314"/>
      <c r="AD73" s="314"/>
    </row>
    <row r="74" spans="1:30" s="240" customFormat="1" ht="14.45" hidden="1">
      <c r="A74" s="314"/>
      <c r="Q74" s="314"/>
      <c r="R74" s="314"/>
      <c r="S74" s="314"/>
      <c r="T74" s="314"/>
      <c r="U74" s="314"/>
      <c r="V74" s="314"/>
      <c r="W74" s="314"/>
      <c r="X74" s="314"/>
      <c r="Y74" s="314"/>
      <c r="Z74" s="314"/>
      <c r="AA74" s="314"/>
      <c r="AB74" s="314"/>
      <c r="AC74" s="314"/>
      <c r="AD74" s="314"/>
    </row>
    <row r="75" spans="1:30" s="240" customFormat="1" ht="14.45" hidden="1">
      <c r="A75" s="314"/>
      <c r="Q75" s="314"/>
      <c r="R75" s="314"/>
      <c r="S75" s="314"/>
      <c r="T75" s="314"/>
      <c r="U75" s="314"/>
      <c r="V75" s="314"/>
      <c r="W75" s="314"/>
      <c r="X75" s="314"/>
      <c r="Y75" s="314"/>
      <c r="Z75" s="314"/>
      <c r="AA75" s="314"/>
      <c r="AB75" s="314"/>
      <c r="AC75" s="314"/>
      <c r="AD75" s="314"/>
    </row>
    <row r="76" spans="1:30" s="240" customFormat="1" ht="14.45" hidden="1">
      <c r="A76" s="314"/>
      <c r="Q76" s="314"/>
      <c r="R76" s="314"/>
      <c r="S76" s="314"/>
      <c r="T76" s="314"/>
      <c r="U76" s="314"/>
      <c r="V76" s="314"/>
      <c r="W76" s="314"/>
      <c r="X76" s="314"/>
      <c r="Y76" s="314"/>
      <c r="Z76" s="314"/>
      <c r="AA76" s="314"/>
      <c r="AB76" s="314"/>
      <c r="AC76" s="314"/>
      <c r="AD76" s="314"/>
    </row>
  </sheetData>
  <mergeCells count="96">
    <mergeCell ref="A67:A68"/>
    <mergeCell ref="B33:B34"/>
    <mergeCell ref="B35:B36"/>
    <mergeCell ref="B39:B40"/>
    <mergeCell ref="B41:B42"/>
    <mergeCell ref="B43:B44"/>
    <mergeCell ref="B45:B46"/>
    <mergeCell ref="B53:B54"/>
    <mergeCell ref="B55:B56"/>
    <mergeCell ref="B57:B58"/>
    <mergeCell ref="B59:B60"/>
    <mergeCell ref="B61:B62"/>
    <mergeCell ref="B63:B64"/>
    <mergeCell ref="B65:B66"/>
    <mergeCell ref="B67:B68"/>
    <mergeCell ref="A57:A58"/>
    <mergeCell ref="A59:A60"/>
    <mergeCell ref="A61:A62"/>
    <mergeCell ref="A63:A64"/>
    <mergeCell ref="A65:A66"/>
    <mergeCell ref="A41:A42"/>
    <mergeCell ref="A43:A44"/>
    <mergeCell ref="A45:A46"/>
    <mergeCell ref="A53:A54"/>
    <mergeCell ref="A55:A56"/>
    <mergeCell ref="A1:A4"/>
    <mergeCell ref="A28:A29"/>
    <mergeCell ref="A33:A34"/>
    <mergeCell ref="A35:A36"/>
    <mergeCell ref="A39:A40"/>
    <mergeCell ref="A11:B13"/>
    <mergeCell ref="A7:B9"/>
    <mergeCell ref="B28:C29"/>
    <mergeCell ref="B30:C30"/>
    <mergeCell ref="A19:AE19"/>
    <mergeCell ref="B20:O20"/>
    <mergeCell ref="P20:AE20"/>
    <mergeCell ref="A27:AE27"/>
    <mergeCell ref="D28:O28"/>
    <mergeCell ref="P28:P29"/>
    <mergeCell ref="Q28:X29"/>
    <mergeCell ref="D39:P39"/>
    <mergeCell ref="Q39:AE39"/>
    <mergeCell ref="Q40:X40"/>
    <mergeCell ref="Y40:AE40"/>
    <mergeCell ref="C53:P53"/>
    <mergeCell ref="C39:C40"/>
    <mergeCell ref="Q41:X42"/>
    <mergeCell ref="Y41:AE42"/>
    <mergeCell ref="Q43:X44"/>
    <mergeCell ref="Y43:AE44"/>
    <mergeCell ref="Q45:X46"/>
    <mergeCell ref="Y45:AE46"/>
    <mergeCell ref="Q34:T34"/>
    <mergeCell ref="U34:X34"/>
    <mergeCell ref="Y34:AB34"/>
    <mergeCell ref="AC34:AE34"/>
    <mergeCell ref="A38:AE38"/>
    <mergeCell ref="C33:C34"/>
    <mergeCell ref="AC35:AE36"/>
    <mergeCell ref="Q35:T36"/>
    <mergeCell ref="U35:X36"/>
    <mergeCell ref="Y35:AB36"/>
    <mergeCell ref="Q30:X30"/>
    <mergeCell ref="Y30:AE30"/>
    <mergeCell ref="A32:AE32"/>
    <mergeCell ref="D33:P33"/>
    <mergeCell ref="Q33:AE33"/>
    <mergeCell ref="Y28:AE29"/>
    <mergeCell ref="R15:X15"/>
    <mergeCell ref="Y15:Z15"/>
    <mergeCell ref="AA15:AE15"/>
    <mergeCell ref="C16:AB16"/>
    <mergeCell ref="A17:B17"/>
    <mergeCell ref="C17:AE17"/>
    <mergeCell ref="M9:N9"/>
    <mergeCell ref="O9:P9"/>
    <mergeCell ref="A15:B15"/>
    <mergeCell ref="C15:K15"/>
    <mergeCell ref="L15:Q15"/>
    <mergeCell ref="C7:C9"/>
    <mergeCell ref="C11:AE13"/>
    <mergeCell ref="I7:J9"/>
    <mergeCell ref="K7:L9"/>
    <mergeCell ref="D7:H9"/>
    <mergeCell ref="AB4:AE4"/>
    <mergeCell ref="M7:N7"/>
    <mergeCell ref="O7:P7"/>
    <mergeCell ref="M8:N8"/>
    <mergeCell ref="O8:P8"/>
    <mergeCell ref="B3:AA4"/>
    <mergeCell ref="B1:AA1"/>
    <mergeCell ref="AB1:AE1"/>
    <mergeCell ref="B2:AA2"/>
    <mergeCell ref="AB2:AE2"/>
    <mergeCell ref="AB3:AE3"/>
  </mergeCells>
  <dataValidations count="3">
    <dataValidation type="textLength" operator="lessThanOrEqual" allowBlank="1" showInputMessage="1" showErrorMessage="1" errorTitle="Máximo 2.000 caracteres" error="Máximo 2.000 caracteres" sqref="Q35 Y35 AC35 Q41 Q43 Q45" xr:uid="{00000000-0002-0000-0100-000003000000}">
      <formula1>2000</formula1>
    </dataValidation>
    <dataValidation type="list" allowBlank="1" showInputMessage="1" showErrorMessage="1" sqref="C7:C9" xr:uid="{00000000-0002-0000-0100-000004000000}">
      <formula1>$B$21:$M$21</formula1>
    </dataValidation>
    <dataValidation type="textLength" operator="lessThanOrEqual" allowBlank="1" showInputMessage="1" showErrorMessage="1" errorTitle="Máximo 2.000 caracteres" error="Máximo 2.000 caracteres" promptTitle="2.000 caracteres" sqref="Q30:Q31" xr:uid="{00000000-0002-0000-0100-000005000000}">
      <formula1>2000</formula1>
    </dataValidation>
  </dataValidations>
  <printOptions horizontalCentered="1"/>
  <pageMargins left="0.39370078740157499" right="0.39370078740157499" top="0.39370078740157499" bottom="0.39370078740157499" header="0" footer="0"/>
  <pageSetup paperSize="9"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listas!$A$2:$A$6</xm:f>
          </x14:formula1>
          <xm:sqref>C15:K15</xm:sqref>
        </x14:dataValidation>
        <x14:dataValidation type="list" allowBlank="1" showInputMessage="1" showErrorMessage="1" xr:uid="{00000000-0002-0000-0100-000001000000}">
          <x14:formula1>
            <xm:f>listas!$B$2:$B$8</xm:f>
          </x14:formula1>
          <xm:sqref>R15:X15</xm:sqref>
        </x14:dataValidation>
        <x14:dataValidation type="list" allowBlank="1" showInputMessage="1" showErrorMessage="1" xr:uid="{00000000-0002-0000-0100-000002000000}">
          <x14:formula1>
            <xm:f>listas!$C$2:$C$20</xm:f>
          </x14:formula1>
          <xm:sqref>AA15:AE15</xm:sqref>
        </x14:dataValidation>
        <x14:dataValidation type="list" allowBlank="1" showInputMessage="1" showErrorMessage="1" xr:uid="{00000000-0002-0000-0100-000006000000}">
          <x14:formula1>
            <xm:f>listas!$D$2:$D$15</xm:f>
          </x14:formula1>
          <xm:sqref>C11:AE13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AO47"/>
  <sheetViews>
    <sheetView showGridLines="0" view="pageBreakPreview" topLeftCell="Y20" zoomScale="50" zoomScaleNormal="50" zoomScaleSheetLayoutView="50" workbookViewId="0">
      <selection activeCell="U35" sqref="U35:X36"/>
    </sheetView>
  </sheetViews>
  <sheetFormatPr defaultColWidth="10.875" defaultRowHeight="13.9"/>
  <cols>
    <col min="1" max="1" width="38.375" style="163" customWidth="1"/>
    <col min="2" max="15" width="20.625" style="163" customWidth="1"/>
    <col min="16" max="16" width="32.375" style="163" customWidth="1"/>
    <col min="17" max="27" width="18.125" style="163" customWidth="1"/>
    <col min="28" max="28" width="22.625" style="163" customWidth="1"/>
    <col min="29" max="29" width="19" style="163" customWidth="1"/>
    <col min="30" max="30" width="19.375" style="163" customWidth="1"/>
    <col min="31" max="31" width="20.625" style="163" customWidth="1"/>
    <col min="32" max="32" width="22.875" style="163" customWidth="1"/>
    <col min="33" max="33" width="18.375" style="163" customWidth="1"/>
    <col min="34" max="34" width="8.375" style="163" customWidth="1"/>
    <col min="35" max="35" width="18.375" style="163" customWidth="1"/>
    <col min="36" max="36" width="5.625" style="163" customWidth="1"/>
    <col min="37" max="37" width="18.375" style="163" customWidth="1"/>
    <col min="38" max="38" width="4.625" style="163" customWidth="1"/>
    <col min="39" max="39" width="23" style="163" customWidth="1"/>
    <col min="40" max="40" width="10.875" style="163"/>
    <col min="41" max="41" width="18.375" style="163" customWidth="1"/>
    <col min="42" max="42" width="16.125" style="163" customWidth="1"/>
    <col min="43" max="16384" width="10.875" style="163"/>
  </cols>
  <sheetData>
    <row r="1" spans="1:31" ht="32.25" customHeight="1">
      <c r="A1" s="575"/>
      <c r="B1" s="453" t="s">
        <v>121</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456" t="s">
        <v>122</v>
      </c>
      <c r="AC1" s="457"/>
      <c r="AD1" s="457"/>
      <c r="AE1" s="458"/>
    </row>
    <row r="2" spans="1:31" ht="30.75" customHeight="1">
      <c r="A2" s="576"/>
      <c r="B2" s="453" t="s">
        <v>123</v>
      </c>
      <c r="C2" s="454"/>
      <c r="D2" s="454"/>
      <c r="E2" s="454"/>
      <c r="F2" s="454"/>
      <c r="G2" s="454"/>
      <c r="H2" s="454"/>
      <c r="I2" s="454"/>
      <c r="J2" s="454"/>
      <c r="K2" s="454"/>
      <c r="L2" s="454"/>
      <c r="M2" s="454"/>
      <c r="N2" s="454"/>
      <c r="O2" s="454"/>
      <c r="P2" s="454"/>
      <c r="Q2" s="454"/>
      <c r="R2" s="454"/>
      <c r="S2" s="454"/>
      <c r="T2" s="454"/>
      <c r="U2" s="454"/>
      <c r="V2" s="454"/>
      <c r="W2" s="454"/>
      <c r="X2" s="454"/>
      <c r="Y2" s="454"/>
      <c r="Z2" s="454"/>
      <c r="AA2" s="455"/>
      <c r="AB2" s="456" t="s">
        <v>124</v>
      </c>
      <c r="AC2" s="457"/>
      <c r="AD2" s="457"/>
      <c r="AE2" s="458"/>
    </row>
    <row r="3" spans="1:31" ht="24" customHeight="1">
      <c r="A3" s="576"/>
      <c r="B3" s="467" t="s">
        <v>125</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456" t="s">
        <v>126</v>
      </c>
      <c r="AC3" s="457"/>
      <c r="AD3" s="457"/>
      <c r="AE3" s="458"/>
    </row>
    <row r="4" spans="1:31" ht="21.75" customHeight="1">
      <c r="A4" s="577"/>
      <c r="B4" s="470"/>
      <c r="C4" s="471"/>
      <c r="D4" s="471"/>
      <c r="E4" s="471"/>
      <c r="F4" s="471"/>
      <c r="G4" s="471"/>
      <c r="H4" s="471"/>
      <c r="I4" s="471"/>
      <c r="J4" s="471"/>
      <c r="K4" s="471"/>
      <c r="L4" s="471"/>
      <c r="M4" s="471"/>
      <c r="N4" s="471"/>
      <c r="O4" s="471"/>
      <c r="P4" s="471"/>
      <c r="Q4" s="471"/>
      <c r="R4" s="471"/>
      <c r="S4" s="471"/>
      <c r="T4" s="471"/>
      <c r="U4" s="471"/>
      <c r="V4" s="471"/>
      <c r="W4" s="471"/>
      <c r="X4" s="471"/>
      <c r="Y4" s="471"/>
      <c r="Z4" s="471"/>
      <c r="AA4" s="472"/>
      <c r="AB4" s="456" t="s">
        <v>127</v>
      </c>
      <c r="AC4" s="457"/>
      <c r="AD4" s="457"/>
      <c r="AE4" s="458"/>
    </row>
    <row r="5" spans="1:31" ht="9" customHeight="1">
      <c r="A5" s="242"/>
      <c r="B5" s="243"/>
      <c r="C5" s="244"/>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D5" s="318"/>
      <c r="AE5" s="319"/>
    </row>
    <row r="6" spans="1:31" ht="9" customHeight="1">
      <c r="A6" s="246"/>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D6" s="318"/>
      <c r="AE6" s="319"/>
    </row>
    <row r="7" spans="1:31">
      <c r="A7" s="506" t="s">
        <v>4</v>
      </c>
      <c r="B7" s="507"/>
      <c r="C7" s="488" t="s">
        <v>128</v>
      </c>
      <c r="D7" s="506" t="s">
        <v>6</v>
      </c>
      <c r="E7" s="512"/>
      <c r="F7" s="512"/>
      <c r="G7" s="512"/>
      <c r="H7" s="507"/>
      <c r="I7" s="500" t="s">
        <v>194</v>
      </c>
      <c r="J7" s="501"/>
      <c r="K7" s="506" t="s">
        <v>8</v>
      </c>
      <c r="L7" s="507"/>
      <c r="M7" s="459" t="s">
        <v>129</v>
      </c>
      <c r="N7" s="460"/>
      <c r="O7" s="461"/>
      <c r="P7" s="462"/>
      <c r="Q7" s="245"/>
      <c r="R7" s="245"/>
      <c r="S7" s="245"/>
      <c r="T7" s="245"/>
      <c r="U7" s="245"/>
      <c r="V7" s="245"/>
      <c r="W7" s="245"/>
      <c r="X7" s="245"/>
      <c r="Y7" s="245"/>
      <c r="Z7" s="245"/>
      <c r="AA7" s="245"/>
      <c r="AB7" s="245"/>
      <c r="AD7" s="318"/>
      <c r="AE7" s="319"/>
    </row>
    <row r="8" spans="1:31">
      <c r="A8" s="508"/>
      <c r="B8" s="509"/>
      <c r="C8" s="489"/>
      <c r="D8" s="508"/>
      <c r="E8" s="513"/>
      <c r="F8" s="513"/>
      <c r="G8" s="513"/>
      <c r="H8" s="509"/>
      <c r="I8" s="502"/>
      <c r="J8" s="503"/>
      <c r="K8" s="508"/>
      <c r="L8" s="509"/>
      <c r="M8" s="463" t="s">
        <v>130</v>
      </c>
      <c r="N8" s="464"/>
      <c r="O8" s="465"/>
      <c r="P8" s="466"/>
      <c r="Q8" s="245"/>
      <c r="R8" s="245"/>
      <c r="S8" s="245"/>
      <c r="T8" s="245"/>
      <c r="U8" s="245"/>
      <c r="V8" s="245"/>
      <c r="W8" s="245"/>
      <c r="X8" s="245"/>
      <c r="Y8" s="245"/>
      <c r="Z8" s="245"/>
      <c r="AA8" s="245"/>
      <c r="AB8" s="245"/>
      <c r="AD8" s="318"/>
      <c r="AE8" s="319"/>
    </row>
    <row r="9" spans="1:31">
      <c r="A9" s="510"/>
      <c r="B9" s="511"/>
      <c r="C9" s="490"/>
      <c r="D9" s="510"/>
      <c r="E9" s="514"/>
      <c r="F9" s="514"/>
      <c r="G9" s="514"/>
      <c r="H9" s="511"/>
      <c r="I9" s="504"/>
      <c r="J9" s="505"/>
      <c r="K9" s="510"/>
      <c r="L9" s="511"/>
      <c r="M9" s="478" t="s">
        <v>131</v>
      </c>
      <c r="N9" s="479"/>
      <c r="O9" s="480" t="s">
        <v>132</v>
      </c>
      <c r="P9" s="481"/>
      <c r="Q9" s="245"/>
      <c r="R9" s="245"/>
      <c r="S9" s="245"/>
      <c r="T9" s="245"/>
      <c r="U9" s="245"/>
      <c r="V9" s="245"/>
      <c r="W9" s="245"/>
      <c r="X9" s="245"/>
      <c r="Y9" s="245"/>
      <c r="Z9" s="245"/>
      <c r="AA9" s="245"/>
      <c r="AB9" s="245"/>
      <c r="AD9" s="318"/>
      <c r="AE9" s="319"/>
    </row>
    <row r="10" spans="1:31" ht="15" customHeight="1">
      <c r="A10" s="247"/>
      <c r="B10" s="248"/>
      <c r="C10" s="248"/>
      <c r="D10" s="249"/>
      <c r="E10" s="249"/>
      <c r="F10" s="249"/>
      <c r="G10" s="249"/>
      <c r="H10" s="249"/>
      <c r="I10" s="289"/>
      <c r="J10" s="289"/>
      <c r="K10" s="249"/>
      <c r="L10" s="249"/>
      <c r="M10" s="290"/>
      <c r="N10" s="290"/>
      <c r="O10" s="164"/>
      <c r="P10" s="164"/>
      <c r="Q10" s="248"/>
      <c r="R10" s="248"/>
      <c r="S10" s="248"/>
      <c r="T10" s="248"/>
      <c r="U10" s="248"/>
      <c r="V10" s="248"/>
      <c r="W10" s="248"/>
      <c r="X10" s="248"/>
      <c r="Y10" s="248"/>
      <c r="Z10" s="248"/>
      <c r="AA10" s="248"/>
      <c r="AB10" s="248"/>
      <c r="AD10" s="320"/>
      <c r="AE10" s="321"/>
    </row>
    <row r="11" spans="1:31" ht="15" customHeight="1">
      <c r="A11" s="506" t="s">
        <v>10</v>
      </c>
      <c r="B11" s="507"/>
      <c r="C11" s="491" t="s">
        <v>133</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3"/>
    </row>
    <row r="12" spans="1:31" ht="15" customHeight="1">
      <c r="A12" s="508"/>
      <c r="B12" s="509"/>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6"/>
    </row>
    <row r="13" spans="1:31" ht="15" customHeight="1">
      <c r="A13" s="510"/>
      <c r="B13" s="511"/>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9"/>
    </row>
    <row r="14" spans="1:31" ht="9" customHeight="1">
      <c r="A14" s="250"/>
      <c r="B14" s="251"/>
      <c r="C14" s="252"/>
      <c r="D14" s="252"/>
      <c r="E14" s="252"/>
      <c r="F14" s="252"/>
      <c r="G14" s="252"/>
      <c r="H14" s="252"/>
      <c r="I14" s="252"/>
      <c r="J14" s="252"/>
      <c r="K14" s="252"/>
      <c r="L14" s="252"/>
      <c r="M14" s="291"/>
      <c r="N14" s="291"/>
      <c r="O14" s="291"/>
      <c r="P14" s="291"/>
      <c r="Q14" s="291"/>
      <c r="R14" s="308"/>
      <c r="S14" s="308"/>
      <c r="T14" s="308"/>
      <c r="U14" s="308"/>
      <c r="V14" s="308"/>
      <c r="W14" s="308"/>
      <c r="X14" s="308"/>
      <c r="Y14" s="249"/>
      <c r="Z14" s="249"/>
      <c r="AA14" s="249"/>
      <c r="AB14" s="249"/>
      <c r="AD14" s="249"/>
      <c r="AE14" s="322"/>
    </row>
    <row r="15" spans="1:31" ht="39" customHeight="1">
      <c r="A15" s="473" t="s">
        <v>12</v>
      </c>
      <c r="B15" s="474"/>
      <c r="C15" s="482" t="s">
        <v>134</v>
      </c>
      <c r="D15" s="483"/>
      <c r="E15" s="483"/>
      <c r="F15" s="483"/>
      <c r="G15" s="483"/>
      <c r="H15" s="483"/>
      <c r="I15" s="483"/>
      <c r="J15" s="483"/>
      <c r="K15" s="484"/>
      <c r="L15" s="485" t="s">
        <v>14</v>
      </c>
      <c r="M15" s="486"/>
      <c r="N15" s="486"/>
      <c r="O15" s="486"/>
      <c r="P15" s="486"/>
      <c r="Q15" s="487"/>
      <c r="R15" s="517" t="s">
        <v>135</v>
      </c>
      <c r="S15" s="518"/>
      <c r="T15" s="518"/>
      <c r="U15" s="518"/>
      <c r="V15" s="518"/>
      <c r="W15" s="518"/>
      <c r="X15" s="519"/>
      <c r="Y15" s="485" t="s">
        <v>15</v>
      </c>
      <c r="Z15" s="487"/>
      <c r="AA15" s="475" t="s">
        <v>136</v>
      </c>
      <c r="AB15" s="476"/>
      <c r="AC15" s="476"/>
      <c r="AD15" s="476"/>
      <c r="AE15" s="477"/>
    </row>
    <row r="16" spans="1:31" ht="9" customHeight="1">
      <c r="A16" s="246"/>
      <c r="B16" s="245"/>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D16" s="318"/>
      <c r="AE16" s="319"/>
    </row>
    <row r="17" spans="1:33" s="238" customFormat="1" ht="37.5" customHeight="1">
      <c r="A17" s="473" t="s">
        <v>17</v>
      </c>
      <c r="B17" s="474"/>
      <c r="C17" s="475" t="s">
        <v>195</v>
      </c>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7"/>
    </row>
    <row r="18" spans="1:33" ht="16.5" customHeight="1">
      <c r="A18" s="253"/>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D18" s="167"/>
      <c r="AE18" s="323"/>
    </row>
    <row r="19" spans="1:33" ht="32.1" customHeight="1">
      <c r="A19" s="485" t="s">
        <v>138</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7"/>
      <c r="AF19" s="324"/>
    </row>
    <row r="20" spans="1:33" ht="32.1" customHeight="1">
      <c r="A20" s="254" t="s">
        <v>19</v>
      </c>
      <c r="B20" s="583" t="s">
        <v>139</v>
      </c>
      <c r="C20" s="584"/>
      <c r="D20" s="584"/>
      <c r="E20" s="584"/>
      <c r="F20" s="584"/>
      <c r="G20" s="584"/>
      <c r="H20" s="584"/>
      <c r="I20" s="584"/>
      <c r="J20" s="584"/>
      <c r="K20" s="584"/>
      <c r="L20" s="584"/>
      <c r="M20" s="584"/>
      <c r="N20" s="584"/>
      <c r="O20" s="585"/>
      <c r="P20" s="485" t="s">
        <v>140</v>
      </c>
      <c r="Q20" s="486"/>
      <c r="R20" s="486"/>
      <c r="S20" s="486"/>
      <c r="T20" s="486"/>
      <c r="U20" s="486"/>
      <c r="V20" s="486"/>
      <c r="W20" s="486"/>
      <c r="X20" s="486"/>
      <c r="Y20" s="486"/>
      <c r="Z20" s="486"/>
      <c r="AA20" s="486"/>
      <c r="AB20" s="486"/>
      <c r="AC20" s="486"/>
      <c r="AD20" s="486"/>
      <c r="AE20" s="487"/>
      <c r="AF20" s="324"/>
    </row>
    <row r="21" spans="1:33" ht="32.1" customHeight="1">
      <c r="A21" s="247"/>
      <c r="B21" s="255" t="s">
        <v>141</v>
      </c>
      <c r="C21" s="256" t="s">
        <v>142</v>
      </c>
      <c r="D21" s="256" t="s">
        <v>143</v>
      </c>
      <c r="E21" s="256" t="s">
        <v>144</v>
      </c>
      <c r="F21" s="256" t="s">
        <v>145</v>
      </c>
      <c r="G21" s="256" t="s">
        <v>146</v>
      </c>
      <c r="H21" s="256" t="s">
        <v>147</v>
      </c>
      <c r="I21" s="256" t="s">
        <v>148</v>
      </c>
      <c r="J21" s="256" t="s">
        <v>149</v>
      </c>
      <c r="K21" s="256" t="s">
        <v>150</v>
      </c>
      <c r="L21" s="256" t="s">
        <v>151</v>
      </c>
      <c r="M21" s="256" t="s">
        <v>128</v>
      </c>
      <c r="N21" s="256" t="s">
        <v>102</v>
      </c>
      <c r="O21" s="292" t="s">
        <v>100</v>
      </c>
      <c r="P21" s="293"/>
      <c r="Q21" s="254" t="s">
        <v>141</v>
      </c>
      <c r="R21" s="309" t="s">
        <v>142</v>
      </c>
      <c r="S21" s="309" t="s">
        <v>143</v>
      </c>
      <c r="T21" s="309" t="s">
        <v>144</v>
      </c>
      <c r="U21" s="309" t="s">
        <v>145</v>
      </c>
      <c r="V21" s="309" t="s">
        <v>146</v>
      </c>
      <c r="W21" s="309" t="s">
        <v>147</v>
      </c>
      <c r="X21" s="309" t="s">
        <v>148</v>
      </c>
      <c r="Y21" s="309" t="s">
        <v>149</v>
      </c>
      <c r="Z21" s="309" t="s">
        <v>150</v>
      </c>
      <c r="AA21" s="309" t="s">
        <v>151</v>
      </c>
      <c r="AB21" s="309" t="s">
        <v>128</v>
      </c>
      <c r="AC21" s="309" t="s">
        <v>102</v>
      </c>
      <c r="AD21" s="325" t="s">
        <v>152</v>
      </c>
      <c r="AE21" s="325" t="s">
        <v>153</v>
      </c>
      <c r="AF21" s="326"/>
    </row>
    <row r="22" spans="1:33" ht="32.1" customHeight="1">
      <c r="A22" s="257" t="s">
        <v>31</v>
      </c>
      <c r="B22" s="258">
        <v>0</v>
      </c>
      <c r="C22" s="259">
        <v>0</v>
      </c>
      <c r="D22" s="259">
        <v>0</v>
      </c>
      <c r="E22" s="259">
        <v>0</v>
      </c>
      <c r="F22" s="259">
        <v>0</v>
      </c>
      <c r="G22" s="259">
        <v>0</v>
      </c>
      <c r="H22" s="259">
        <v>0</v>
      </c>
      <c r="I22" s="259">
        <v>0</v>
      </c>
      <c r="J22" s="259">
        <v>0</v>
      </c>
      <c r="K22" s="259">
        <v>0</v>
      </c>
      <c r="L22" s="259">
        <v>0</v>
      </c>
      <c r="M22" s="259">
        <v>0</v>
      </c>
      <c r="N22" s="259">
        <f>SUM(B22:M22)</f>
        <v>0</v>
      </c>
      <c r="O22" s="294"/>
      <c r="P22" s="257" t="s">
        <v>27</v>
      </c>
      <c r="Q22" s="310">
        <v>0</v>
      </c>
      <c r="R22" s="311">
        <v>0</v>
      </c>
      <c r="S22" s="311">
        <v>0</v>
      </c>
      <c r="T22" s="311">
        <v>0</v>
      </c>
      <c r="U22" s="311">
        <v>0</v>
      </c>
      <c r="V22" s="311">
        <v>0</v>
      </c>
      <c r="W22" s="311">
        <v>0</v>
      </c>
      <c r="X22" s="311">
        <v>178540050</v>
      </c>
      <c r="Y22" s="311">
        <v>0</v>
      </c>
      <c r="Z22" s="311">
        <v>0</v>
      </c>
      <c r="AA22" s="311">
        <v>0</v>
      </c>
      <c r="AB22" s="311">
        <f>7637473+9509165</f>
        <v>17146638</v>
      </c>
      <c r="AC22" s="311">
        <f>SUM(Q22:AB22)</f>
        <v>195686688</v>
      </c>
      <c r="AE22" s="327"/>
      <c r="AF22" s="326"/>
    </row>
    <row r="23" spans="1:33" ht="32.1" customHeight="1">
      <c r="A23" s="260" t="s">
        <v>21</v>
      </c>
      <c r="B23" s="261">
        <v>0</v>
      </c>
      <c r="C23" s="262">
        <v>0</v>
      </c>
      <c r="D23" s="262">
        <v>0</v>
      </c>
      <c r="E23" s="262">
        <v>0</v>
      </c>
      <c r="F23" s="262">
        <v>0</v>
      </c>
      <c r="G23" s="262">
        <v>0</v>
      </c>
      <c r="H23" s="262">
        <v>0</v>
      </c>
      <c r="I23" s="262">
        <v>0</v>
      </c>
      <c r="J23" s="262">
        <v>0</v>
      </c>
      <c r="K23" s="262">
        <v>0</v>
      </c>
      <c r="L23" s="262">
        <v>0</v>
      </c>
      <c r="M23" s="262">
        <v>0</v>
      </c>
      <c r="N23" s="262">
        <f>SUM(B23:M23)</f>
        <v>0</v>
      </c>
      <c r="O23" s="295" t="str">
        <f>IFERROR(N23/(SUMIF(B23:M23,"&gt;0",B22:M22))," ")</f>
        <v/>
      </c>
      <c r="P23" s="260" t="s">
        <v>29</v>
      </c>
      <c r="Q23" s="261">
        <v>0</v>
      </c>
      <c r="R23" s="262">
        <v>0</v>
      </c>
      <c r="S23" s="262">
        <v>0</v>
      </c>
      <c r="T23" s="262">
        <v>0</v>
      </c>
      <c r="U23" s="262">
        <v>0</v>
      </c>
      <c r="V23" s="262">
        <v>0</v>
      </c>
      <c r="W23" s="262">
        <v>0</v>
      </c>
      <c r="X23" s="262">
        <v>178540050</v>
      </c>
      <c r="Y23" s="262">
        <v>0</v>
      </c>
      <c r="Z23" s="262">
        <v>-6726204</v>
      </c>
      <c r="AA23" s="262">
        <f>-12384340-Z23</f>
        <v>-5658136</v>
      </c>
      <c r="AB23" s="262">
        <v>29530978</v>
      </c>
      <c r="AC23" s="354">
        <f>SUM(Q23:AB23)</f>
        <v>195686688</v>
      </c>
      <c r="AD23" s="236">
        <f>AC23/SUM(Q22:AB22)</f>
        <v>1</v>
      </c>
      <c r="AE23" s="329">
        <f>AC23/AC22</f>
        <v>1</v>
      </c>
      <c r="AF23" s="326"/>
      <c r="AG23" s="440"/>
    </row>
    <row r="24" spans="1:33" ht="32.1" customHeight="1">
      <c r="A24" s="260" t="s">
        <v>23</v>
      </c>
      <c r="B24" s="261">
        <v>0</v>
      </c>
      <c r="C24" s="262">
        <v>0</v>
      </c>
      <c r="D24" s="262">
        <v>0</v>
      </c>
      <c r="E24" s="262">
        <v>0</v>
      </c>
      <c r="F24" s="262">
        <v>0</v>
      </c>
      <c r="G24" s="262">
        <v>0</v>
      </c>
      <c r="H24" s="262">
        <v>0</v>
      </c>
      <c r="I24" s="262">
        <v>0</v>
      </c>
      <c r="J24" s="262">
        <v>0</v>
      </c>
      <c r="K24" s="262">
        <v>0</v>
      </c>
      <c r="L24" s="262">
        <v>0</v>
      </c>
      <c r="M24" s="262">
        <v>0</v>
      </c>
      <c r="N24" s="262">
        <f>SUM(B24:M24)</f>
        <v>0</v>
      </c>
      <c r="O24" s="296"/>
      <c r="P24" s="260" t="s">
        <v>31</v>
      </c>
      <c r="Q24" s="261">
        <v>0</v>
      </c>
      <c r="R24" s="262">
        <v>0</v>
      </c>
      <c r="S24" s="262">
        <v>0</v>
      </c>
      <c r="T24" s="262">
        <v>0</v>
      </c>
      <c r="U24" s="262">
        <v>0</v>
      </c>
      <c r="V24" s="262">
        <v>0</v>
      </c>
      <c r="W24" s="262">
        <v>0</v>
      </c>
      <c r="X24" s="262">
        <v>0</v>
      </c>
      <c r="Y24" s="262">
        <v>21248350</v>
      </c>
      <c r="Z24" s="262">
        <v>39790700</v>
      </c>
      <c r="AA24" s="262">
        <v>39790700</v>
      </c>
      <c r="AB24" s="262">
        <v>67746767</v>
      </c>
      <c r="AC24" s="262">
        <f>+X24+Y24+Z24+AA24+AB24</f>
        <v>168576517</v>
      </c>
      <c r="AD24" s="262"/>
      <c r="AE24" s="330"/>
      <c r="AF24" s="326"/>
      <c r="AG24" s="440"/>
    </row>
    <row r="25" spans="1:33" ht="32.1" customHeight="1">
      <c r="A25" s="263" t="s">
        <v>25</v>
      </c>
      <c r="B25" s="264">
        <v>0</v>
      </c>
      <c r="C25" s="265">
        <v>0</v>
      </c>
      <c r="D25" s="265">
        <v>0</v>
      </c>
      <c r="E25" s="265">
        <v>0</v>
      </c>
      <c r="F25" s="265">
        <v>0</v>
      </c>
      <c r="G25" s="265">
        <v>0</v>
      </c>
      <c r="H25" s="265">
        <v>0</v>
      </c>
      <c r="I25" s="265">
        <v>0</v>
      </c>
      <c r="J25" s="265">
        <v>0</v>
      </c>
      <c r="K25" s="265">
        <v>0</v>
      </c>
      <c r="L25" s="265">
        <v>0</v>
      </c>
      <c r="M25" s="265">
        <v>0</v>
      </c>
      <c r="N25" s="265">
        <f>SUM(B25:M25)</f>
        <v>0</v>
      </c>
      <c r="O25" s="297" t="str">
        <f>IFERROR(N25/(SUMIF(B25:M25,"&gt;0",B24:M24))," ")</f>
        <v/>
      </c>
      <c r="P25" s="263" t="s">
        <v>25</v>
      </c>
      <c r="Q25" s="264">
        <v>0</v>
      </c>
      <c r="R25" s="265">
        <v>0</v>
      </c>
      <c r="S25" s="265">
        <v>0</v>
      </c>
      <c r="T25" s="265">
        <v>0</v>
      </c>
      <c r="U25" s="265">
        <v>0</v>
      </c>
      <c r="V25" s="265">
        <v>0</v>
      </c>
      <c r="W25" s="265">
        <v>0</v>
      </c>
      <c r="X25" s="265">
        <v>0</v>
      </c>
      <c r="Y25" s="265">
        <v>10702909</v>
      </c>
      <c r="Z25" s="265">
        <v>39437068</v>
      </c>
      <c r="AA25" s="265">
        <v>39790700</v>
      </c>
      <c r="AB25" s="265">
        <v>78645840</v>
      </c>
      <c r="AC25" s="355">
        <f>SUM(Q25:AB25)</f>
        <v>168576517</v>
      </c>
      <c r="AD25" s="332">
        <f>AC25/SUM(Q24:AB24)</f>
        <v>1</v>
      </c>
      <c r="AE25" s="333">
        <f>AC25/AC24</f>
        <v>1</v>
      </c>
      <c r="AF25" s="326"/>
      <c r="AG25" s="440"/>
    </row>
    <row r="26" spans="1:33" s="239" customFormat="1" ht="16.5" customHeight="1"/>
    <row r="27" spans="1:33" ht="33.950000000000003" customHeight="1">
      <c r="A27" s="586" t="s">
        <v>154</v>
      </c>
      <c r="B27" s="587"/>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8"/>
    </row>
    <row r="28" spans="1:33" ht="15" customHeight="1">
      <c r="A28" s="578" t="s">
        <v>34</v>
      </c>
      <c r="B28" s="515" t="s">
        <v>36</v>
      </c>
      <c r="C28" s="515"/>
      <c r="D28" s="515" t="s">
        <v>155</v>
      </c>
      <c r="E28" s="515"/>
      <c r="F28" s="515"/>
      <c r="G28" s="515"/>
      <c r="H28" s="515"/>
      <c r="I28" s="515"/>
      <c r="J28" s="515"/>
      <c r="K28" s="515"/>
      <c r="L28" s="515"/>
      <c r="M28" s="515"/>
      <c r="N28" s="515"/>
      <c r="O28" s="515"/>
      <c r="P28" s="515" t="s">
        <v>102</v>
      </c>
      <c r="Q28" s="515" t="s">
        <v>156</v>
      </c>
      <c r="R28" s="515"/>
      <c r="S28" s="515"/>
      <c r="T28" s="515"/>
      <c r="U28" s="515"/>
      <c r="V28" s="515"/>
      <c r="W28" s="515"/>
      <c r="X28" s="515"/>
      <c r="Y28" s="515" t="s">
        <v>157</v>
      </c>
      <c r="Z28" s="515"/>
      <c r="AA28" s="515"/>
      <c r="AB28" s="515"/>
      <c r="AC28" s="515"/>
      <c r="AD28" s="515"/>
      <c r="AE28" s="516"/>
    </row>
    <row r="29" spans="1:33" ht="27" customHeight="1">
      <c r="A29" s="578"/>
      <c r="B29" s="515"/>
      <c r="C29" s="515"/>
      <c r="D29" s="266" t="s">
        <v>141</v>
      </c>
      <c r="E29" s="266" t="s">
        <v>142</v>
      </c>
      <c r="F29" s="266" t="s">
        <v>143</v>
      </c>
      <c r="G29" s="266" t="s">
        <v>144</v>
      </c>
      <c r="H29" s="266" t="s">
        <v>145</v>
      </c>
      <c r="I29" s="266" t="s">
        <v>146</v>
      </c>
      <c r="J29" s="266" t="s">
        <v>147</v>
      </c>
      <c r="K29" s="266" t="s">
        <v>148</v>
      </c>
      <c r="L29" s="266" t="s">
        <v>149</v>
      </c>
      <c r="M29" s="266" t="s">
        <v>150</v>
      </c>
      <c r="N29" s="266" t="s">
        <v>151</v>
      </c>
      <c r="O29" s="266" t="s">
        <v>128</v>
      </c>
      <c r="P29" s="515"/>
      <c r="Q29" s="515"/>
      <c r="R29" s="515"/>
      <c r="S29" s="515"/>
      <c r="T29" s="515"/>
      <c r="U29" s="515"/>
      <c r="V29" s="515"/>
      <c r="W29" s="515"/>
      <c r="X29" s="515"/>
      <c r="Y29" s="515"/>
      <c r="Z29" s="515"/>
      <c r="AA29" s="515"/>
      <c r="AB29" s="515"/>
      <c r="AC29" s="515"/>
      <c r="AD29" s="515"/>
      <c r="AE29" s="516"/>
    </row>
    <row r="30" spans="1:33" ht="42" customHeight="1">
      <c r="A30" s="267"/>
      <c r="B30" s="582"/>
      <c r="C30" s="582"/>
      <c r="D30" s="241"/>
      <c r="E30" s="241"/>
      <c r="F30" s="241"/>
      <c r="G30" s="241"/>
      <c r="H30" s="241"/>
      <c r="I30" s="241"/>
      <c r="J30" s="241"/>
      <c r="K30" s="241"/>
      <c r="L30" s="241"/>
      <c r="M30" s="241"/>
      <c r="N30" s="241"/>
      <c r="O30" s="241"/>
      <c r="P30" s="298">
        <f>SUM(D30:O30)</f>
        <v>0</v>
      </c>
      <c r="Q30" s="521" t="s">
        <v>158</v>
      </c>
      <c r="R30" s="521"/>
      <c r="S30" s="521"/>
      <c r="T30" s="521"/>
      <c r="U30" s="521"/>
      <c r="V30" s="521"/>
      <c r="W30" s="521"/>
      <c r="X30" s="521"/>
      <c r="Y30" s="521" t="s">
        <v>43</v>
      </c>
      <c r="Z30" s="521"/>
      <c r="AA30" s="521"/>
      <c r="AB30" s="521"/>
      <c r="AC30" s="521"/>
      <c r="AD30" s="521"/>
      <c r="AE30" s="522"/>
    </row>
    <row r="31" spans="1:33" ht="12" customHeight="1">
      <c r="A31" s="268"/>
      <c r="B31" s="269"/>
      <c r="C31" s="269"/>
      <c r="D31" s="249"/>
      <c r="E31" s="249"/>
      <c r="F31" s="249"/>
      <c r="G31" s="249"/>
      <c r="H31" s="249"/>
      <c r="I31" s="249"/>
      <c r="J31" s="249"/>
      <c r="K31" s="249"/>
      <c r="L31" s="249"/>
      <c r="M31" s="249"/>
      <c r="N31" s="249"/>
      <c r="O31" s="249"/>
      <c r="P31" s="299"/>
      <c r="Q31" s="312"/>
      <c r="R31" s="312"/>
      <c r="S31" s="312"/>
      <c r="T31" s="312"/>
      <c r="U31" s="312"/>
      <c r="V31" s="312"/>
      <c r="W31" s="312"/>
      <c r="X31" s="312"/>
      <c r="Y31" s="312"/>
      <c r="Z31" s="312"/>
      <c r="AA31" s="312"/>
      <c r="AB31" s="312"/>
      <c r="AC31" s="312"/>
      <c r="AD31" s="312"/>
      <c r="AE31" s="334"/>
    </row>
    <row r="32" spans="1:33" ht="45" customHeight="1">
      <c r="A32" s="491" t="s">
        <v>159</v>
      </c>
      <c r="B32" s="492"/>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3"/>
    </row>
    <row r="33" spans="1:41" ht="23.1" customHeight="1">
      <c r="A33" s="578" t="s">
        <v>44</v>
      </c>
      <c r="B33" s="515" t="s">
        <v>46</v>
      </c>
      <c r="C33" s="515" t="s">
        <v>36</v>
      </c>
      <c r="D33" s="515" t="s">
        <v>160</v>
      </c>
      <c r="E33" s="515"/>
      <c r="F33" s="515"/>
      <c r="G33" s="515"/>
      <c r="H33" s="515"/>
      <c r="I33" s="515"/>
      <c r="J33" s="515"/>
      <c r="K33" s="515"/>
      <c r="L33" s="515"/>
      <c r="M33" s="515"/>
      <c r="N33" s="515"/>
      <c r="O33" s="515"/>
      <c r="P33" s="515"/>
      <c r="Q33" s="515" t="s">
        <v>161</v>
      </c>
      <c r="R33" s="515"/>
      <c r="S33" s="515"/>
      <c r="T33" s="515"/>
      <c r="U33" s="515"/>
      <c r="V33" s="515"/>
      <c r="W33" s="515"/>
      <c r="X33" s="515"/>
      <c r="Y33" s="515"/>
      <c r="Z33" s="515"/>
      <c r="AA33" s="515"/>
      <c r="AB33" s="515"/>
      <c r="AC33" s="515"/>
      <c r="AD33" s="515"/>
      <c r="AE33" s="516"/>
      <c r="AG33" s="335"/>
      <c r="AH33" s="335"/>
      <c r="AI33" s="335"/>
      <c r="AJ33" s="335"/>
      <c r="AK33" s="335"/>
      <c r="AL33" s="335"/>
      <c r="AM33" s="335"/>
      <c r="AN33" s="335"/>
      <c r="AO33" s="335"/>
    </row>
    <row r="34" spans="1:41" ht="27" customHeight="1">
      <c r="A34" s="578"/>
      <c r="B34" s="515"/>
      <c r="C34" s="526"/>
      <c r="D34" s="266" t="s">
        <v>141</v>
      </c>
      <c r="E34" s="266" t="s">
        <v>142</v>
      </c>
      <c r="F34" s="266" t="s">
        <v>143</v>
      </c>
      <c r="G34" s="266" t="s">
        <v>144</v>
      </c>
      <c r="H34" s="266" t="s">
        <v>145</v>
      </c>
      <c r="I34" s="266" t="s">
        <v>146</v>
      </c>
      <c r="J34" s="266" t="s">
        <v>147</v>
      </c>
      <c r="K34" s="266" t="s">
        <v>148</v>
      </c>
      <c r="L34" s="266" t="s">
        <v>149</v>
      </c>
      <c r="M34" s="266" t="s">
        <v>150</v>
      </c>
      <c r="N34" s="266" t="s">
        <v>151</v>
      </c>
      <c r="O34" s="266" t="s">
        <v>128</v>
      </c>
      <c r="P34" s="266" t="s">
        <v>102</v>
      </c>
      <c r="Q34" s="523" t="s">
        <v>52</v>
      </c>
      <c r="R34" s="524"/>
      <c r="S34" s="524"/>
      <c r="T34" s="525"/>
      <c r="U34" s="515" t="s">
        <v>54</v>
      </c>
      <c r="V34" s="515"/>
      <c r="W34" s="515"/>
      <c r="X34" s="515"/>
      <c r="Y34" s="515" t="s">
        <v>56</v>
      </c>
      <c r="Z34" s="515"/>
      <c r="AA34" s="515"/>
      <c r="AB34" s="515"/>
      <c r="AC34" s="515" t="s">
        <v>58</v>
      </c>
      <c r="AD34" s="515"/>
      <c r="AE34" s="516"/>
      <c r="AG34" s="335"/>
      <c r="AH34" s="335"/>
      <c r="AI34" s="335"/>
      <c r="AJ34" s="335"/>
      <c r="AK34" s="335"/>
      <c r="AL34" s="335"/>
      <c r="AM34" s="335"/>
      <c r="AN34" s="335"/>
      <c r="AO34" s="335"/>
    </row>
    <row r="35" spans="1:41" ht="149.25" customHeight="1">
      <c r="A35" s="579" t="str">
        <f>+C17</f>
        <v>Cualificar 9000 mujeres en sus diferencias y diversidades en herramientas para la autonomía económica. (Producto MGA - Servicio de educación informal)</v>
      </c>
      <c r="B35" s="596">
        <v>0.39</v>
      </c>
      <c r="C35" s="270" t="s">
        <v>48</v>
      </c>
      <c r="D35" s="348">
        <v>0</v>
      </c>
      <c r="E35" s="348">
        <v>0</v>
      </c>
      <c r="F35" s="348">
        <v>0</v>
      </c>
      <c r="G35" s="348">
        <v>0</v>
      </c>
      <c r="H35" s="348">
        <v>0</v>
      </c>
      <c r="I35" s="348">
        <v>0</v>
      </c>
      <c r="J35" s="348">
        <v>0</v>
      </c>
      <c r="K35" s="348">
        <v>0</v>
      </c>
      <c r="L35" s="348">
        <v>140</v>
      </c>
      <c r="M35" s="348">
        <v>250</v>
      </c>
      <c r="N35" s="348">
        <v>500</v>
      </c>
      <c r="O35" s="348">
        <v>110</v>
      </c>
      <c r="P35" s="352">
        <f>SUM(D35:O35)</f>
        <v>1000</v>
      </c>
      <c r="Q35" s="609" t="s">
        <v>196</v>
      </c>
      <c r="R35" s="533"/>
      <c r="S35" s="533"/>
      <c r="T35" s="534"/>
      <c r="U35" s="610" t="s">
        <v>197</v>
      </c>
      <c r="V35" s="610"/>
      <c r="W35" s="610"/>
      <c r="X35" s="610"/>
      <c r="Y35" s="612"/>
      <c r="Z35" s="612"/>
      <c r="AA35" s="612"/>
      <c r="AB35" s="612"/>
      <c r="AC35" s="605" t="s">
        <v>198</v>
      </c>
      <c r="AD35" s="605"/>
      <c r="AE35" s="606"/>
      <c r="AG35" s="335"/>
      <c r="AH35" s="335"/>
      <c r="AI35" s="335"/>
      <c r="AJ35" s="335"/>
      <c r="AK35" s="335"/>
      <c r="AL35" s="335"/>
      <c r="AM35" s="335"/>
      <c r="AN35" s="335"/>
      <c r="AO35" s="335"/>
    </row>
    <row r="36" spans="1:41" ht="137.25" customHeight="1">
      <c r="A36" s="580"/>
      <c r="B36" s="597"/>
      <c r="C36" s="272" t="s">
        <v>50</v>
      </c>
      <c r="D36" s="349">
        <v>0</v>
      </c>
      <c r="E36" s="349">
        <v>0</v>
      </c>
      <c r="F36" s="349">
        <v>0</v>
      </c>
      <c r="G36" s="350">
        <v>0</v>
      </c>
      <c r="H36" s="350">
        <v>0</v>
      </c>
      <c r="I36" s="350">
        <v>0</v>
      </c>
      <c r="J36" s="350">
        <v>0</v>
      </c>
      <c r="K36" s="350">
        <v>0</v>
      </c>
      <c r="L36" s="350">
        <v>141</v>
      </c>
      <c r="M36" s="350">
        <v>388</v>
      </c>
      <c r="N36" s="350">
        <v>325</v>
      </c>
      <c r="O36" s="350">
        <v>216</v>
      </c>
      <c r="P36" s="350">
        <f>SUM(D36:O36)</f>
        <v>1070</v>
      </c>
      <c r="Q36" s="535"/>
      <c r="R36" s="536"/>
      <c r="S36" s="536"/>
      <c r="T36" s="537"/>
      <c r="U36" s="611"/>
      <c r="V36" s="611"/>
      <c r="W36" s="611"/>
      <c r="X36" s="611"/>
      <c r="Y36" s="613"/>
      <c r="Z36" s="613"/>
      <c r="AA36" s="613"/>
      <c r="AB36" s="613"/>
      <c r="AC36" s="607"/>
      <c r="AD36" s="607"/>
      <c r="AE36" s="608"/>
      <c r="AG36" s="335"/>
      <c r="AH36" s="335"/>
      <c r="AI36" s="335"/>
      <c r="AJ36" s="335"/>
      <c r="AK36" s="335"/>
      <c r="AL36" s="335"/>
      <c r="AM36" s="335"/>
      <c r="AN36" s="335"/>
      <c r="AO36" s="335"/>
    </row>
    <row r="37" spans="1:41" s="239" customFormat="1" ht="17.25" customHeight="1"/>
    <row r="38" spans="1:41" ht="45" customHeight="1">
      <c r="A38" s="491" t="s">
        <v>166</v>
      </c>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3"/>
      <c r="AG38" s="335"/>
      <c r="AH38" s="335"/>
      <c r="AI38" s="335"/>
      <c r="AJ38" s="335"/>
      <c r="AK38" s="335"/>
      <c r="AL38" s="335"/>
      <c r="AM38" s="335"/>
      <c r="AN38" s="335"/>
      <c r="AO38" s="335"/>
    </row>
    <row r="39" spans="1:41" ht="26.1" customHeight="1">
      <c r="A39" s="581" t="s">
        <v>60</v>
      </c>
      <c r="B39" s="543" t="s">
        <v>167</v>
      </c>
      <c r="C39" s="549" t="s">
        <v>168</v>
      </c>
      <c r="D39" s="540" t="s">
        <v>169</v>
      </c>
      <c r="E39" s="541"/>
      <c r="F39" s="541"/>
      <c r="G39" s="541"/>
      <c r="H39" s="541"/>
      <c r="I39" s="541"/>
      <c r="J39" s="541"/>
      <c r="K39" s="541"/>
      <c r="L39" s="541"/>
      <c r="M39" s="541"/>
      <c r="N39" s="541"/>
      <c r="O39" s="541"/>
      <c r="P39" s="542"/>
      <c r="Q39" s="543" t="s">
        <v>170</v>
      </c>
      <c r="R39" s="543"/>
      <c r="S39" s="543"/>
      <c r="T39" s="543"/>
      <c r="U39" s="543"/>
      <c r="V39" s="543"/>
      <c r="W39" s="543"/>
      <c r="X39" s="543"/>
      <c r="Y39" s="543"/>
      <c r="Z39" s="543"/>
      <c r="AA39" s="543"/>
      <c r="AB39" s="543"/>
      <c r="AC39" s="543"/>
      <c r="AD39" s="543"/>
      <c r="AE39" s="544"/>
      <c r="AG39" s="335"/>
      <c r="AH39" s="335"/>
      <c r="AI39" s="335"/>
      <c r="AJ39" s="335"/>
      <c r="AK39" s="335"/>
      <c r="AL39" s="335"/>
      <c r="AM39" s="335"/>
      <c r="AN39" s="335"/>
      <c r="AO39" s="335"/>
    </row>
    <row r="40" spans="1:41" ht="26.1" customHeight="1">
      <c r="A40" s="578"/>
      <c r="B40" s="515"/>
      <c r="C40" s="550"/>
      <c r="D40" s="266" t="s">
        <v>171</v>
      </c>
      <c r="E40" s="266" t="s">
        <v>172</v>
      </c>
      <c r="F40" s="266" t="s">
        <v>173</v>
      </c>
      <c r="G40" s="266" t="s">
        <v>174</v>
      </c>
      <c r="H40" s="266" t="s">
        <v>175</v>
      </c>
      <c r="I40" s="266" t="s">
        <v>176</v>
      </c>
      <c r="J40" s="266" t="s">
        <v>177</v>
      </c>
      <c r="K40" s="266" t="s">
        <v>178</v>
      </c>
      <c r="L40" s="266" t="s">
        <v>179</v>
      </c>
      <c r="M40" s="266" t="s">
        <v>180</v>
      </c>
      <c r="N40" s="266" t="s">
        <v>181</v>
      </c>
      <c r="O40" s="266" t="s">
        <v>182</v>
      </c>
      <c r="P40" s="266" t="s">
        <v>183</v>
      </c>
      <c r="Q40" s="523" t="s">
        <v>184</v>
      </c>
      <c r="R40" s="524"/>
      <c r="S40" s="524"/>
      <c r="T40" s="524"/>
      <c r="U40" s="524"/>
      <c r="V40" s="524"/>
      <c r="W40" s="524"/>
      <c r="X40" s="525"/>
      <c r="Y40" s="523" t="s">
        <v>68</v>
      </c>
      <c r="Z40" s="524"/>
      <c r="AA40" s="524"/>
      <c r="AB40" s="524"/>
      <c r="AC40" s="524"/>
      <c r="AD40" s="524"/>
      <c r="AE40" s="545"/>
      <c r="AG40" s="336"/>
      <c r="AH40" s="336"/>
      <c r="AI40" s="336"/>
      <c r="AJ40" s="336"/>
      <c r="AK40" s="336"/>
      <c r="AL40" s="336"/>
      <c r="AM40" s="336"/>
      <c r="AN40" s="336"/>
      <c r="AO40" s="336"/>
    </row>
    <row r="41" spans="1:41" ht="60.6" customHeight="1">
      <c r="A41" s="593" t="s">
        <v>199</v>
      </c>
      <c r="B41" s="598">
        <v>0.21</v>
      </c>
      <c r="C41" s="275" t="s">
        <v>48</v>
      </c>
      <c r="D41" s="276">
        <v>0</v>
      </c>
      <c r="E41" s="276">
        <v>0</v>
      </c>
      <c r="F41" s="276">
        <v>0</v>
      </c>
      <c r="G41" s="276">
        <v>0</v>
      </c>
      <c r="H41" s="276">
        <v>0</v>
      </c>
      <c r="I41" s="276">
        <v>0</v>
      </c>
      <c r="J41" s="276">
        <v>0</v>
      </c>
      <c r="K41" s="302">
        <v>0</v>
      </c>
      <c r="L41" s="353">
        <v>0.14000000000000001</v>
      </c>
      <c r="M41" s="353">
        <v>0.25</v>
      </c>
      <c r="N41" s="353">
        <v>0.5</v>
      </c>
      <c r="O41" s="353">
        <v>0.11</v>
      </c>
      <c r="P41" s="351">
        <f>SUM(D41:O41)</f>
        <v>1</v>
      </c>
      <c r="Q41" s="551" t="s">
        <v>200</v>
      </c>
      <c r="R41" s="552"/>
      <c r="S41" s="552"/>
      <c r="T41" s="552"/>
      <c r="U41" s="552"/>
      <c r="V41" s="552"/>
      <c r="W41" s="552"/>
      <c r="X41" s="553"/>
      <c r="Y41" s="557" t="s">
        <v>201</v>
      </c>
      <c r="Z41" s="614"/>
      <c r="AA41" s="614"/>
      <c r="AB41" s="614"/>
      <c r="AC41" s="614"/>
      <c r="AD41" s="614"/>
      <c r="AE41" s="615"/>
      <c r="AG41" s="337"/>
      <c r="AH41" s="337"/>
      <c r="AI41" s="337"/>
      <c r="AJ41" s="337"/>
      <c r="AK41" s="337"/>
      <c r="AL41" s="337"/>
      <c r="AM41" s="337"/>
      <c r="AN41" s="337"/>
      <c r="AO41" s="337"/>
    </row>
    <row r="42" spans="1:41" ht="60.6" customHeight="1">
      <c r="A42" s="593"/>
      <c r="B42" s="598"/>
      <c r="C42" s="277" t="s">
        <v>50</v>
      </c>
      <c r="D42" s="278">
        <v>0</v>
      </c>
      <c r="E42" s="278">
        <v>0</v>
      </c>
      <c r="F42" s="278">
        <v>0</v>
      </c>
      <c r="G42" s="278">
        <v>0</v>
      </c>
      <c r="H42" s="278">
        <v>0</v>
      </c>
      <c r="I42" s="278">
        <v>0</v>
      </c>
      <c r="J42" s="278">
        <v>0</v>
      </c>
      <c r="K42" s="278">
        <v>0</v>
      </c>
      <c r="L42" s="278">
        <v>0.14000000000000001</v>
      </c>
      <c r="M42" s="278">
        <v>0.25</v>
      </c>
      <c r="N42" s="278">
        <v>0.46</v>
      </c>
      <c r="O42" s="278">
        <v>0.15</v>
      </c>
      <c r="P42" s="278">
        <f t="shared" ref="P42:P44" si="0">SUM(D42:O42)</f>
        <v>1</v>
      </c>
      <c r="Q42" s="554"/>
      <c r="R42" s="555"/>
      <c r="S42" s="555"/>
      <c r="T42" s="555"/>
      <c r="U42" s="555"/>
      <c r="V42" s="555"/>
      <c r="W42" s="555"/>
      <c r="X42" s="556"/>
      <c r="Y42" s="616"/>
      <c r="Z42" s="617"/>
      <c r="AA42" s="617"/>
      <c r="AB42" s="617"/>
      <c r="AC42" s="617"/>
      <c r="AD42" s="617"/>
      <c r="AE42" s="618"/>
    </row>
    <row r="43" spans="1:41" ht="47.45" customHeight="1">
      <c r="A43" s="593" t="s">
        <v>202</v>
      </c>
      <c r="B43" s="621">
        <v>0.18</v>
      </c>
      <c r="C43" s="275" t="s">
        <v>48</v>
      </c>
      <c r="D43" s="276">
        <v>0</v>
      </c>
      <c r="E43" s="276">
        <v>0</v>
      </c>
      <c r="F43" s="276">
        <v>0</v>
      </c>
      <c r="G43" s="276">
        <v>0</v>
      </c>
      <c r="H43" s="276">
        <v>0</v>
      </c>
      <c r="I43" s="276">
        <v>0</v>
      </c>
      <c r="J43" s="276">
        <v>0</v>
      </c>
      <c r="K43" s="276">
        <v>0</v>
      </c>
      <c r="L43" s="276">
        <v>0</v>
      </c>
      <c r="M43" s="276">
        <v>0.5</v>
      </c>
      <c r="N43" s="276">
        <v>0</v>
      </c>
      <c r="O43" s="276">
        <v>0.5</v>
      </c>
      <c r="P43" s="274">
        <f t="shared" si="0"/>
        <v>1</v>
      </c>
      <c r="Q43" s="563" t="s">
        <v>203</v>
      </c>
      <c r="R43" s="564"/>
      <c r="S43" s="564"/>
      <c r="T43" s="564"/>
      <c r="U43" s="564"/>
      <c r="V43" s="564"/>
      <c r="W43" s="564"/>
      <c r="X43" s="565"/>
      <c r="Y43" s="551" t="s">
        <v>204</v>
      </c>
      <c r="Z43" s="552"/>
      <c r="AA43" s="552"/>
      <c r="AB43" s="552"/>
      <c r="AC43" s="552"/>
      <c r="AD43" s="552"/>
      <c r="AE43" s="619"/>
    </row>
    <row r="44" spans="1:41" ht="47.45" customHeight="1">
      <c r="A44" s="593"/>
      <c r="B44" s="621"/>
      <c r="C44" s="277" t="s">
        <v>50</v>
      </c>
      <c r="D44" s="278">
        <v>0</v>
      </c>
      <c r="E44" s="278">
        <v>0</v>
      </c>
      <c r="F44" s="278">
        <v>0</v>
      </c>
      <c r="G44" s="278">
        <v>0</v>
      </c>
      <c r="H44" s="278">
        <v>0</v>
      </c>
      <c r="I44" s="278">
        <v>0</v>
      </c>
      <c r="J44" s="278">
        <v>0</v>
      </c>
      <c r="K44" s="278">
        <v>0</v>
      </c>
      <c r="L44" s="278">
        <v>0</v>
      </c>
      <c r="M44" s="278">
        <v>0.5</v>
      </c>
      <c r="N44" s="278">
        <v>0</v>
      </c>
      <c r="O44" s="278">
        <v>0.5</v>
      </c>
      <c r="P44" s="278">
        <f t="shared" si="0"/>
        <v>1</v>
      </c>
      <c r="Q44" s="566"/>
      <c r="R44" s="567"/>
      <c r="S44" s="567"/>
      <c r="T44" s="567"/>
      <c r="U44" s="567"/>
      <c r="V44" s="567"/>
      <c r="W44" s="567"/>
      <c r="X44" s="568"/>
      <c r="Y44" s="554"/>
      <c r="Z44" s="555"/>
      <c r="AA44" s="555"/>
      <c r="AB44" s="555"/>
      <c r="AC44" s="555"/>
      <c r="AD44" s="555"/>
      <c r="AE44" s="620"/>
    </row>
    <row r="45" spans="1:41" ht="64.349999999999994" customHeight="1">
      <c r="A45" s="163" t="s">
        <v>193</v>
      </c>
    </row>
    <row r="46" spans="1:41" ht="64.349999999999994" customHeight="1"/>
    <row r="47" spans="1:41" s="240" customFormat="1" ht="14.45">
      <c r="A47" s="314"/>
      <c r="Q47" s="314"/>
      <c r="R47" s="314"/>
      <c r="S47" s="314"/>
      <c r="T47" s="314"/>
      <c r="U47" s="314"/>
      <c r="V47" s="314"/>
      <c r="W47" s="314"/>
      <c r="X47" s="314"/>
      <c r="Y47" s="314"/>
      <c r="Z47" s="314"/>
      <c r="AA47" s="314"/>
      <c r="AB47" s="314"/>
      <c r="AC47" s="314"/>
      <c r="AD47" s="314"/>
    </row>
  </sheetData>
  <mergeCells count="75">
    <mergeCell ref="A41:A42"/>
    <mergeCell ref="A43:A44"/>
    <mergeCell ref="B39:B40"/>
    <mergeCell ref="B41:B42"/>
    <mergeCell ref="B43:B44"/>
    <mergeCell ref="A39:A40"/>
    <mergeCell ref="Q41:X42"/>
    <mergeCell ref="Y41:AE42"/>
    <mergeCell ref="Q43:X44"/>
    <mergeCell ref="Y43:AE44"/>
    <mergeCell ref="D39:P39"/>
    <mergeCell ref="Q39:AE39"/>
    <mergeCell ref="Q40:X40"/>
    <mergeCell ref="Y40:AE40"/>
    <mergeCell ref="A19:AE19"/>
    <mergeCell ref="B20:O20"/>
    <mergeCell ref="P20:AE20"/>
    <mergeCell ref="A27:AE27"/>
    <mergeCell ref="D28:O28"/>
    <mergeCell ref="B28:C29"/>
    <mergeCell ref="Q28:X29"/>
    <mergeCell ref="Y28:AE29"/>
    <mergeCell ref="C39:C40"/>
    <mergeCell ref="P28:P29"/>
    <mergeCell ref="B3:AA4"/>
    <mergeCell ref="A11:B13"/>
    <mergeCell ref="C11:AE13"/>
    <mergeCell ref="Q34:T34"/>
    <mergeCell ref="U34:X34"/>
    <mergeCell ref="Y34:AB34"/>
    <mergeCell ref="AC34:AE34"/>
    <mergeCell ref="A38:AE38"/>
    <mergeCell ref="AC35:AE36"/>
    <mergeCell ref="Q35:T36"/>
    <mergeCell ref="U35:X36"/>
    <mergeCell ref="Y35:AB36"/>
    <mergeCell ref="A1:A4"/>
    <mergeCell ref="A28:A29"/>
    <mergeCell ref="B33:B34"/>
    <mergeCell ref="B35:B36"/>
    <mergeCell ref="B30:C30"/>
    <mergeCell ref="Q30:X30"/>
    <mergeCell ref="Y30:AE30"/>
    <mergeCell ref="A32:AE32"/>
    <mergeCell ref="D33:P33"/>
    <mergeCell ref="Q33:AE33"/>
    <mergeCell ref="C33:C34"/>
    <mergeCell ref="A33:A34"/>
    <mergeCell ref="A35:A36"/>
    <mergeCell ref="C16:AB16"/>
    <mergeCell ref="A17:B17"/>
    <mergeCell ref="C17:AE17"/>
    <mergeCell ref="M9:N9"/>
    <mergeCell ref="O9:P9"/>
    <mergeCell ref="A15:B15"/>
    <mergeCell ref="C15:K15"/>
    <mergeCell ref="L15:Q15"/>
    <mergeCell ref="A7:B9"/>
    <mergeCell ref="I7:J9"/>
    <mergeCell ref="K7:L9"/>
    <mergeCell ref="D7:H9"/>
    <mergeCell ref="C7:C9"/>
    <mergeCell ref="R15:X15"/>
    <mergeCell ref="Y15:Z15"/>
    <mergeCell ref="AA15:AE15"/>
    <mergeCell ref="AB4:AE4"/>
    <mergeCell ref="M7:N7"/>
    <mergeCell ref="O7:P7"/>
    <mergeCell ref="M8:N8"/>
    <mergeCell ref="O8:P8"/>
    <mergeCell ref="B1:AA1"/>
    <mergeCell ref="AB1:AE1"/>
    <mergeCell ref="B2:AA2"/>
    <mergeCell ref="AB2:AE2"/>
    <mergeCell ref="AB3:AE3"/>
  </mergeCells>
  <dataValidations count="3">
    <dataValidation type="textLength" operator="lessThanOrEqual" allowBlank="1" showInputMessage="1" showErrorMessage="1" errorTitle="Máximo 2.000 caracteres" error="Máximo 2.000 caracteres" sqref="Q35 Y35 AC35 Q41 Q43" xr:uid="{00000000-0002-0000-0200-000003000000}">
      <formula1>2000</formula1>
    </dataValidation>
    <dataValidation type="list" allowBlank="1" showInputMessage="1" showErrorMessage="1" sqref="C7:C9" xr:uid="{00000000-0002-0000-0200-000004000000}">
      <formula1>$B$21:$M$21</formula1>
    </dataValidation>
    <dataValidation type="textLength" operator="lessThanOrEqual" allowBlank="1" showInputMessage="1" showErrorMessage="1" errorTitle="Máximo 2.000 caracteres" error="Máximo 2.000 caracteres" promptTitle="2.000 caracteres" sqref="Q30:Q31" xr:uid="{00000000-0002-0000-0200-000005000000}">
      <formula1>2000</formula1>
    </dataValidation>
  </dataValidations>
  <printOptions horizontalCentered="1"/>
  <pageMargins left="0.39370078740157499" right="0.39370078740157499" top="0.39370078740157499" bottom="0.39370078740157499" header="0" footer="0"/>
  <pageSetup scale="20" orientation="landscape" r:id="rId1"/>
  <ignoredErrors>
    <ignoredError sqref="P42"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listas!$A$2:$A$6</xm:f>
          </x14:formula1>
          <xm:sqref>C15:K15</xm:sqref>
        </x14:dataValidation>
        <x14:dataValidation type="list" allowBlank="1" showInputMessage="1" showErrorMessage="1" xr:uid="{00000000-0002-0000-0200-000001000000}">
          <x14:formula1>
            <xm:f>listas!$B$2:$B$8</xm:f>
          </x14:formula1>
          <xm:sqref>R15:X15</xm:sqref>
        </x14:dataValidation>
        <x14:dataValidation type="list" allowBlank="1" showInputMessage="1" showErrorMessage="1" xr:uid="{00000000-0002-0000-0200-000002000000}">
          <x14:formula1>
            <xm:f>listas!$C$2:$C$20</xm:f>
          </x14:formula1>
          <xm:sqref>AA15:AE15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AO78"/>
  <sheetViews>
    <sheetView showGridLines="0" topLeftCell="X34" zoomScale="80" zoomScaleNormal="80" workbookViewId="0">
      <selection activeCell="AC35" sqref="AC35:AE36"/>
    </sheetView>
  </sheetViews>
  <sheetFormatPr defaultColWidth="10.875" defaultRowHeight="13.9"/>
  <cols>
    <col min="1" max="1" width="38.375" style="163" customWidth="1"/>
    <col min="2" max="15" width="20.625" style="163" customWidth="1"/>
    <col min="16" max="16" width="32.375" style="163" customWidth="1"/>
    <col min="17" max="27" width="18.125" style="163" customWidth="1"/>
    <col min="28" max="28" width="22.625" style="163" customWidth="1"/>
    <col min="29" max="29" width="19" style="163" customWidth="1"/>
    <col min="30" max="30" width="19.375" style="163" customWidth="1"/>
    <col min="31" max="31" width="20.625" style="163" customWidth="1"/>
    <col min="32" max="32" width="22.875" style="163" customWidth="1"/>
    <col min="33" max="33" width="18.375" style="163" customWidth="1"/>
    <col min="34" max="34" width="8.375" style="163" customWidth="1"/>
    <col min="35" max="35" width="18.375" style="163" customWidth="1"/>
    <col min="36" max="36" width="5.625" style="163" customWidth="1"/>
    <col min="37" max="37" width="18.375" style="163" customWidth="1"/>
    <col min="38" max="38" width="4.625" style="163" customWidth="1"/>
    <col min="39" max="39" width="23" style="163" customWidth="1"/>
    <col min="40" max="40" width="10.875" style="163"/>
    <col min="41" max="41" width="18.375" style="163" customWidth="1"/>
    <col min="42" max="42" width="16.125" style="163" customWidth="1"/>
    <col min="43" max="16384" width="10.875" style="163"/>
  </cols>
  <sheetData>
    <row r="1" spans="1:31" ht="32.25" customHeight="1">
      <c r="A1" s="575"/>
      <c r="B1" s="453" t="s">
        <v>121</v>
      </c>
      <c r="C1" s="454"/>
      <c r="D1" s="454"/>
      <c r="E1" s="454"/>
      <c r="F1" s="454"/>
      <c r="G1" s="454"/>
      <c r="H1" s="454"/>
      <c r="I1" s="454"/>
      <c r="J1" s="454"/>
      <c r="K1" s="454"/>
      <c r="L1" s="454"/>
      <c r="M1" s="454"/>
      <c r="N1" s="454"/>
      <c r="O1" s="454"/>
      <c r="P1" s="454"/>
      <c r="Q1" s="454"/>
      <c r="R1" s="454"/>
      <c r="S1" s="454"/>
      <c r="T1" s="454"/>
      <c r="U1" s="454"/>
      <c r="V1" s="454"/>
      <c r="W1" s="454"/>
      <c r="X1" s="454"/>
      <c r="Y1" s="454"/>
      <c r="Z1" s="454"/>
      <c r="AA1" s="455"/>
      <c r="AB1" s="456" t="s">
        <v>122</v>
      </c>
      <c r="AC1" s="457"/>
      <c r="AD1" s="457"/>
      <c r="AE1" s="458"/>
    </row>
    <row r="2" spans="1:31" ht="30.75" customHeight="1">
      <c r="A2" s="576"/>
      <c r="B2" s="453" t="s">
        <v>123</v>
      </c>
      <c r="C2" s="454"/>
      <c r="D2" s="454"/>
      <c r="E2" s="454"/>
      <c r="F2" s="454"/>
      <c r="G2" s="454"/>
      <c r="H2" s="454"/>
      <c r="I2" s="454"/>
      <c r="J2" s="454"/>
      <c r="K2" s="454"/>
      <c r="L2" s="454"/>
      <c r="M2" s="454"/>
      <c r="N2" s="454"/>
      <c r="O2" s="454"/>
      <c r="P2" s="454"/>
      <c r="Q2" s="454"/>
      <c r="R2" s="454"/>
      <c r="S2" s="454"/>
      <c r="T2" s="454"/>
      <c r="U2" s="454"/>
      <c r="V2" s="454"/>
      <c r="W2" s="454"/>
      <c r="X2" s="454"/>
      <c r="Y2" s="454"/>
      <c r="Z2" s="454"/>
      <c r="AA2" s="455"/>
      <c r="AB2" s="456" t="s">
        <v>124</v>
      </c>
      <c r="AC2" s="457"/>
      <c r="AD2" s="457"/>
      <c r="AE2" s="458"/>
    </row>
    <row r="3" spans="1:31" ht="24" customHeight="1">
      <c r="A3" s="576"/>
      <c r="B3" s="467" t="s">
        <v>125</v>
      </c>
      <c r="C3" s="468"/>
      <c r="D3" s="468"/>
      <c r="E3" s="468"/>
      <c r="F3" s="468"/>
      <c r="G3" s="468"/>
      <c r="H3" s="468"/>
      <c r="I3" s="468"/>
      <c r="J3" s="468"/>
      <c r="K3" s="468"/>
      <c r="L3" s="468"/>
      <c r="M3" s="468"/>
      <c r="N3" s="468"/>
      <c r="O3" s="468"/>
      <c r="P3" s="468"/>
      <c r="Q3" s="468"/>
      <c r="R3" s="468"/>
      <c r="S3" s="468"/>
      <c r="T3" s="468"/>
      <c r="U3" s="468"/>
      <c r="V3" s="468"/>
      <c r="W3" s="468"/>
      <c r="X3" s="468"/>
      <c r="Y3" s="468"/>
      <c r="Z3" s="468"/>
      <c r="AA3" s="469"/>
      <c r="AB3" s="456" t="s">
        <v>126</v>
      </c>
      <c r="AC3" s="457"/>
      <c r="AD3" s="457"/>
      <c r="AE3" s="458"/>
    </row>
    <row r="4" spans="1:31" ht="21.75" customHeight="1">
      <c r="A4" s="577"/>
      <c r="B4" s="470"/>
      <c r="C4" s="471"/>
      <c r="D4" s="471"/>
      <c r="E4" s="471"/>
      <c r="F4" s="471"/>
      <c r="G4" s="471"/>
      <c r="H4" s="471"/>
      <c r="I4" s="471"/>
      <c r="J4" s="471"/>
      <c r="K4" s="471"/>
      <c r="L4" s="471"/>
      <c r="M4" s="471"/>
      <c r="N4" s="471"/>
      <c r="O4" s="471"/>
      <c r="P4" s="471"/>
      <c r="Q4" s="471"/>
      <c r="R4" s="471"/>
      <c r="S4" s="471"/>
      <c r="T4" s="471"/>
      <c r="U4" s="471"/>
      <c r="V4" s="471"/>
      <c r="W4" s="471"/>
      <c r="X4" s="471"/>
      <c r="Y4" s="471"/>
      <c r="Z4" s="471"/>
      <c r="AA4" s="472"/>
      <c r="AB4" s="456" t="s">
        <v>127</v>
      </c>
      <c r="AC4" s="457"/>
      <c r="AD4" s="457"/>
      <c r="AE4" s="458"/>
    </row>
    <row r="5" spans="1:31" ht="9" customHeight="1">
      <c r="A5" s="242"/>
      <c r="B5" s="243"/>
      <c r="C5" s="244"/>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D5" s="318"/>
      <c r="AE5" s="319"/>
    </row>
    <row r="6" spans="1:31" ht="9" customHeight="1">
      <c r="A6" s="246"/>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D6" s="318"/>
      <c r="AE6" s="319"/>
    </row>
    <row r="7" spans="1:31">
      <c r="A7" s="506" t="s">
        <v>4</v>
      </c>
      <c r="B7" s="507"/>
      <c r="C7" s="488" t="s">
        <v>128</v>
      </c>
      <c r="D7" s="506" t="s">
        <v>6</v>
      </c>
      <c r="E7" s="512"/>
      <c r="F7" s="512"/>
      <c r="G7" s="512"/>
      <c r="H7" s="507"/>
      <c r="I7" s="500">
        <v>45664</v>
      </c>
      <c r="J7" s="501"/>
      <c r="K7" s="506" t="s">
        <v>8</v>
      </c>
      <c r="L7" s="507"/>
      <c r="M7" s="459" t="s">
        <v>129</v>
      </c>
      <c r="N7" s="460"/>
      <c r="O7" s="461"/>
      <c r="P7" s="462"/>
      <c r="Q7" s="245"/>
      <c r="R7" s="245"/>
      <c r="S7" s="245"/>
      <c r="T7" s="245"/>
      <c r="U7" s="245"/>
      <c r="V7" s="245"/>
      <c r="W7" s="245"/>
      <c r="X7" s="245"/>
      <c r="Y7" s="245"/>
      <c r="Z7" s="245"/>
      <c r="AA7" s="245"/>
      <c r="AB7" s="245"/>
      <c r="AD7" s="318"/>
      <c r="AE7" s="319"/>
    </row>
    <row r="8" spans="1:31">
      <c r="A8" s="508"/>
      <c r="B8" s="509"/>
      <c r="C8" s="489"/>
      <c r="D8" s="508"/>
      <c r="E8" s="513"/>
      <c r="F8" s="513"/>
      <c r="G8" s="513"/>
      <c r="H8" s="509"/>
      <c r="I8" s="502"/>
      <c r="J8" s="503"/>
      <c r="K8" s="508"/>
      <c r="L8" s="509"/>
      <c r="M8" s="463" t="s">
        <v>130</v>
      </c>
      <c r="N8" s="464"/>
      <c r="O8" s="465"/>
      <c r="P8" s="466"/>
      <c r="Q8" s="245"/>
      <c r="R8" s="245"/>
      <c r="S8" s="245"/>
      <c r="T8" s="245"/>
      <c r="U8" s="245"/>
      <c r="V8" s="245"/>
      <c r="W8" s="245"/>
      <c r="X8" s="245"/>
      <c r="Y8" s="245"/>
      <c r="Z8" s="245"/>
      <c r="AA8" s="245"/>
      <c r="AB8" s="245"/>
      <c r="AD8" s="318"/>
      <c r="AE8" s="319"/>
    </row>
    <row r="9" spans="1:31">
      <c r="A9" s="510"/>
      <c r="B9" s="511"/>
      <c r="C9" s="490"/>
      <c r="D9" s="510"/>
      <c r="E9" s="514"/>
      <c r="F9" s="514"/>
      <c r="G9" s="514"/>
      <c r="H9" s="511"/>
      <c r="I9" s="504"/>
      <c r="J9" s="505"/>
      <c r="K9" s="510"/>
      <c r="L9" s="511"/>
      <c r="M9" s="478" t="s">
        <v>131</v>
      </c>
      <c r="N9" s="479"/>
      <c r="O9" s="480" t="s">
        <v>132</v>
      </c>
      <c r="P9" s="481"/>
      <c r="Q9" s="245"/>
      <c r="R9" s="245"/>
      <c r="S9" s="245"/>
      <c r="T9" s="245"/>
      <c r="U9" s="245"/>
      <c r="V9" s="245"/>
      <c r="W9" s="245"/>
      <c r="X9" s="245"/>
      <c r="Y9" s="245"/>
      <c r="Z9" s="245"/>
      <c r="AA9" s="245"/>
      <c r="AB9" s="245"/>
      <c r="AD9" s="318"/>
      <c r="AE9" s="319"/>
    </row>
    <row r="10" spans="1:31" ht="15" customHeight="1">
      <c r="A10" s="247"/>
      <c r="B10" s="248"/>
      <c r="C10" s="248"/>
      <c r="D10" s="249"/>
      <c r="E10" s="249"/>
      <c r="F10" s="249"/>
      <c r="G10" s="249"/>
      <c r="H10" s="249"/>
      <c r="I10" s="289"/>
      <c r="J10" s="289"/>
      <c r="K10" s="249"/>
      <c r="L10" s="249"/>
      <c r="M10" s="290"/>
      <c r="N10" s="290"/>
      <c r="O10" s="164"/>
      <c r="P10" s="164"/>
      <c r="Q10" s="248"/>
      <c r="R10" s="248"/>
      <c r="S10" s="248"/>
      <c r="T10" s="248"/>
      <c r="U10" s="248"/>
      <c r="V10" s="248"/>
      <c r="W10" s="248"/>
      <c r="X10" s="248"/>
      <c r="Y10" s="248"/>
      <c r="Z10" s="248"/>
      <c r="AA10" s="248"/>
      <c r="AB10" s="248"/>
      <c r="AD10" s="320"/>
      <c r="AE10" s="321"/>
    </row>
    <row r="11" spans="1:31" ht="15" customHeight="1">
      <c r="A11" s="506" t="s">
        <v>10</v>
      </c>
      <c r="B11" s="507"/>
      <c r="C11" s="491" t="s">
        <v>133</v>
      </c>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3"/>
    </row>
    <row r="12" spans="1:31" ht="15" customHeight="1">
      <c r="A12" s="508"/>
      <c r="B12" s="509"/>
      <c r="C12" s="494"/>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6"/>
    </row>
    <row r="13" spans="1:31" ht="15" customHeight="1">
      <c r="A13" s="510"/>
      <c r="B13" s="511"/>
      <c r="C13" s="497"/>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9"/>
    </row>
    <row r="14" spans="1:31" ht="9" customHeight="1">
      <c r="A14" s="250"/>
      <c r="B14" s="251"/>
      <c r="C14" s="252"/>
      <c r="D14" s="252"/>
      <c r="E14" s="252"/>
      <c r="F14" s="252"/>
      <c r="G14" s="252"/>
      <c r="H14" s="252"/>
      <c r="I14" s="252"/>
      <c r="J14" s="252"/>
      <c r="K14" s="252"/>
      <c r="L14" s="252"/>
      <c r="M14" s="291"/>
      <c r="N14" s="291"/>
      <c r="O14" s="291"/>
      <c r="P14" s="291"/>
      <c r="Q14" s="291"/>
      <c r="R14" s="308"/>
      <c r="S14" s="308"/>
      <c r="T14" s="308"/>
      <c r="U14" s="308"/>
      <c r="V14" s="308"/>
      <c r="W14" s="308"/>
      <c r="X14" s="308"/>
      <c r="Y14" s="249"/>
      <c r="Z14" s="249"/>
      <c r="AA14" s="249"/>
      <c r="AB14" s="249"/>
      <c r="AD14" s="249"/>
      <c r="AE14" s="322"/>
    </row>
    <row r="15" spans="1:31" ht="39" customHeight="1">
      <c r="A15" s="473" t="s">
        <v>12</v>
      </c>
      <c r="B15" s="474"/>
      <c r="C15" s="482" t="s">
        <v>134</v>
      </c>
      <c r="D15" s="483"/>
      <c r="E15" s="483"/>
      <c r="F15" s="483"/>
      <c r="G15" s="483"/>
      <c r="H15" s="483"/>
      <c r="I15" s="483"/>
      <c r="J15" s="483"/>
      <c r="K15" s="484"/>
      <c r="L15" s="485" t="s">
        <v>14</v>
      </c>
      <c r="M15" s="486"/>
      <c r="N15" s="486"/>
      <c r="O15" s="486"/>
      <c r="P15" s="486"/>
      <c r="Q15" s="487"/>
      <c r="R15" s="517" t="s">
        <v>135</v>
      </c>
      <c r="S15" s="518"/>
      <c r="T15" s="518"/>
      <c r="U15" s="518"/>
      <c r="V15" s="518"/>
      <c r="W15" s="518"/>
      <c r="X15" s="519"/>
      <c r="Y15" s="485" t="s">
        <v>15</v>
      </c>
      <c r="Z15" s="487"/>
      <c r="AA15" s="475" t="s">
        <v>136</v>
      </c>
      <c r="AB15" s="476"/>
      <c r="AC15" s="476"/>
      <c r="AD15" s="476"/>
      <c r="AE15" s="477"/>
    </row>
    <row r="16" spans="1:31" ht="9" customHeight="1">
      <c r="A16" s="246"/>
      <c r="B16" s="245"/>
      <c r="C16" s="520"/>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D16" s="318"/>
      <c r="AE16" s="319"/>
    </row>
    <row r="17" spans="1:33" s="238" customFormat="1" ht="37.5" customHeight="1">
      <c r="A17" s="473" t="s">
        <v>17</v>
      </c>
      <c r="B17" s="474"/>
      <c r="C17" s="475" t="s">
        <v>205</v>
      </c>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7"/>
    </row>
    <row r="18" spans="1:33" ht="16.5" customHeight="1">
      <c r="A18" s="253"/>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D18" s="167"/>
      <c r="AE18" s="323"/>
    </row>
    <row r="19" spans="1:33" ht="32.1" customHeight="1">
      <c r="A19" s="485" t="s">
        <v>138</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7"/>
      <c r="AF19" s="324"/>
    </row>
    <row r="20" spans="1:33" ht="32.1" customHeight="1">
      <c r="A20" s="254" t="s">
        <v>19</v>
      </c>
      <c r="B20" s="583" t="s">
        <v>139</v>
      </c>
      <c r="C20" s="584"/>
      <c r="D20" s="584"/>
      <c r="E20" s="584"/>
      <c r="F20" s="584"/>
      <c r="G20" s="584"/>
      <c r="H20" s="584"/>
      <c r="I20" s="584"/>
      <c r="J20" s="584"/>
      <c r="K20" s="584"/>
      <c r="L20" s="584"/>
      <c r="M20" s="584"/>
      <c r="N20" s="584"/>
      <c r="O20" s="585"/>
      <c r="P20" s="485" t="s">
        <v>140</v>
      </c>
      <c r="Q20" s="486"/>
      <c r="R20" s="486"/>
      <c r="S20" s="486"/>
      <c r="T20" s="486"/>
      <c r="U20" s="486"/>
      <c r="V20" s="486"/>
      <c r="W20" s="486"/>
      <c r="X20" s="486"/>
      <c r="Y20" s="486"/>
      <c r="Z20" s="486"/>
      <c r="AA20" s="486"/>
      <c r="AB20" s="486"/>
      <c r="AC20" s="486"/>
      <c r="AD20" s="486"/>
      <c r="AE20" s="487"/>
      <c r="AF20" s="324"/>
    </row>
    <row r="21" spans="1:33" ht="32.1" customHeight="1">
      <c r="A21" s="247"/>
      <c r="B21" s="255" t="s">
        <v>141</v>
      </c>
      <c r="C21" s="256" t="s">
        <v>142</v>
      </c>
      <c r="D21" s="256" t="s">
        <v>143</v>
      </c>
      <c r="E21" s="256" t="s">
        <v>144</v>
      </c>
      <c r="F21" s="256" t="s">
        <v>145</v>
      </c>
      <c r="G21" s="256" t="s">
        <v>146</v>
      </c>
      <c r="H21" s="256" t="s">
        <v>147</v>
      </c>
      <c r="I21" s="256" t="s">
        <v>148</v>
      </c>
      <c r="J21" s="256" t="s">
        <v>149</v>
      </c>
      <c r="K21" s="256" t="s">
        <v>150</v>
      </c>
      <c r="L21" s="256" t="s">
        <v>151</v>
      </c>
      <c r="M21" s="256" t="s">
        <v>128</v>
      </c>
      <c r="N21" s="256" t="s">
        <v>102</v>
      </c>
      <c r="O21" s="292" t="s">
        <v>100</v>
      </c>
      <c r="P21" s="293"/>
      <c r="Q21" s="254" t="s">
        <v>141</v>
      </c>
      <c r="R21" s="309" t="s">
        <v>142</v>
      </c>
      <c r="S21" s="309" t="s">
        <v>143</v>
      </c>
      <c r="T21" s="309" t="s">
        <v>144</v>
      </c>
      <c r="U21" s="309" t="s">
        <v>145</v>
      </c>
      <c r="V21" s="309" t="s">
        <v>146</v>
      </c>
      <c r="W21" s="309" t="s">
        <v>147</v>
      </c>
      <c r="X21" s="309" t="s">
        <v>148</v>
      </c>
      <c r="Y21" s="309" t="s">
        <v>149</v>
      </c>
      <c r="Z21" s="309" t="s">
        <v>150</v>
      </c>
      <c r="AA21" s="309" t="s">
        <v>151</v>
      </c>
      <c r="AB21" s="309" t="s">
        <v>128</v>
      </c>
      <c r="AC21" s="309" t="s">
        <v>102</v>
      </c>
      <c r="AD21" s="325" t="s">
        <v>152</v>
      </c>
      <c r="AE21" s="325" t="s">
        <v>153</v>
      </c>
      <c r="AF21" s="326"/>
    </row>
    <row r="22" spans="1:33" ht="32.1" customHeight="1">
      <c r="A22" s="257" t="s">
        <v>31</v>
      </c>
      <c r="B22" s="258">
        <v>0</v>
      </c>
      <c r="C22" s="259">
        <v>0</v>
      </c>
      <c r="D22" s="259">
        <v>0</v>
      </c>
      <c r="E22" s="259">
        <v>0</v>
      </c>
      <c r="F22" s="259">
        <v>0</v>
      </c>
      <c r="G22" s="259">
        <v>0</v>
      </c>
      <c r="H22" s="259">
        <v>0</v>
      </c>
      <c r="I22" s="259">
        <v>0</v>
      </c>
      <c r="J22" s="259">
        <v>0</v>
      </c>
      <c r="K22" s="259">
        <v>0</v>
      </c>
      <c r="L22" s="259">
        <v>0</v>
      </c>
      <c r="M22" s="259">
        <v>0</v>
      </c>
      <c r="N22" s="259">
        <f>SUM(B22:M22)</f>
        <v>0</v>
      </c>
      <c r="O22" s="294"/>
      <c r="P22" s="257" t="s">
        <v>27</v>
      </c>
      <c r="Q22" s="310">
        <v>0</v>
      </c>
      <c r="R22" s="311">
        <v>0</v>
      </c>
      <c r="S22" s="311">
        <v>0</v>
      </c>
      <c r="T22" s="311">
        <v>0</v>
      </c>
      <c r="U22" s="311">
        <v>0</v>
      </c>
      <c r="V22" s="311">
        <v>0</v>
      </c>
      <c r="W22" s="311">
        <v>0</v>
      </c>
      <c r="X22" s="311">
        <v>106312400</v>
      </c>
      <c r="Y22" s="311">
        <v>0</v>
      </c>
      <c r="Z22" s="311">
        <v>0</v>
      </c>
      <c r="AA22" s="311">
        <v>0</v>
      </c>
      <c r="AB22" s="311">
        <f>29369+13895720+1704765</f>
        <v>15629854</v>
      </c>
      <c r="AC22" s="311">
        <f>SUM(Q22:AB22)</f>
        <v>121942254</v>
      </c>
      <c r="AE22" s="327"/>
      <c r="AF22" s="326"/>
      <c r="AG22" s="440"/>
    </row>
    <row r="23" spans="1:33" ht="32.1" customHeight="1">
      <c r="A23" s="260" t="s">
        <v>21</v>
      </c>
      <c r="B23" s="261">
        <v>0</v>
      </c>
      <c r="C23" s="262">
        <v>0</v>
      </c>
      <c r="D23" s="262">
        <v>0</v>
      </c>
      <c r="E23" s="262">
        <v>0</v>
      </c>
      <c r="F23" s="262">
        <v>0</v>
      </c>
      <c r="G23" s="262">
        <v>0</v>
      </c>
      <c r="H23" s="262">
        <v>0</v>
      </c>
      <c r="I23" s="262">
        <v>0</v>
      </c>
      <c r="J23" s="262">
        <v>0</v>
      </c>
      <c r="K23" s="262">
        <v>0</v>
      </c>
      <c r="L23" s="262">
        <v>0</v>
      </c>
      <c r="M23" s="262">
        <v>0</v>
      </c>
      <c r="N23" s="262">
        <f>SUM(B23:M23)</f>
        <v>0</v>
      </c>
      <c r="O23" s="295" t="str">
        <f>IFERROR(N23/(SUMIF(B23:M23,"&gt;0",B22:M22))," ")</f>
        <v/>
      </c>
      <c r="P23" s="260" t="s">
        <v>29</v>
      </c>
      <c r="Q23" s="261">
        <v>0</v>
      </c>
      <c r="R23" s="262">
        <v>0</v>
      </c>
      <c r="S23" s="262">
        <v>0</v>
      </c>
      <c r="T23" s="262">
        <v>0</v>
      </c>
      <c r="U23" s="262">
        <v>0</v>
      </c>
      <c r="V23" s="262">
        <v>0</v>
      </c>
      <c r="W23" s="262">
        <v>0</v>
      </c>
      <c r="X23" s="262">
        <v>106312400</v>
      </c>
      <c r="Y23" s="262">
        <v>0</v>
      </c>
      <c r="Z23" s="262">
        <v>-371733</v>
      </c>
      <c r="AA23" s="262">
        <v>0</v>
      </c>
      <c r="AB23" s="262">
        <v>16001587</v>
      </c>
      <c r="AC23" s="328">
        <f>SUM(Q23:AB23)</f>
        <v>121942254</v>
      </c>
      <c r="AD23" s="236">
        <f>AC23/SUM(Q22:AB22)</f>
        <v>1</v>
      </c>
      <c r="AE23" s="329">
        <f>AC23/AC22</f>
        <v>1</v>
      </c>
      <c r="AF23" s="326"/>
      <c r="AG23" s="440"/>
    </row>
    <row r="24" spans="1:33" ht="32.1" customHeight="1">
      <c r="A24" s="260" t="s">
        <v>23</v>
      </c>
      <c r="B24" s="261">
        <v>0</v>
      </c>
      <c r="C24" s="262">
        <v>0</v>
      </c>
      <c r="D24" s="262">
        <v>0</v>
      </c>
      <c r="E24" s="262">
        <v>0</v>
      </c>
      <c r="F24" s="262">
        <v>0</v>
      </c>
      <c r="G24" s="262">
        <v>0</v>
      </c>
      <c r="H24" s="262">
        <v>0</v>
      </c>
      <c r="I24" s="262">
        <v>0</v>
      </c>
      <c r="J24" s="262">
        <v>0</v>
      </c>
      <c r="K24" s="262">
        <v>0</v>
      </c>
      <c r="L24" s="262">
        <v>0</v>
      </c>
      <c r="M24" s="262">
        <v>0</v>
      </c>
      <c r="N24" s="262">
        <f>SUM(B24:M24)</f>
        <v>0</v>
      </c>
      <c r="O24" s="296"/>
      <c r="P24" s="260" t="s">
        <v>31</v>
      </c>
      <c r="Q24" s="261">
        <v>0</v>
      </c>
      <c r="R24" s="262">
        <v>0</v>
      </c>
      <c r="S24" s="262">
        <v>0</v>
      </c>
      <c r="T24" s="262">
        <v>0</v>
      </c>
      <c r="U24" s="262">
        <v>0</v>
      </c>
      <c r="V24" s="262">
        <v>0</v>
      </c>
      <c r="W24" s="262">
        <v>0</v>
      </c>
      <c r="X24" s="262">
        <v>0</v>
      </c>
      <c r="Y24" s="262">
        <v>13580800</v>
      </c>
      <c r="Z24" s="262">
        <v>24373600</v>
      </c>
      <c r="AA24" s="262">
        <v>24373600</v>
      </c>
      <c r="AB24" s="262">
        <v>51200387</v>
      </c>
      <c r="AC24" s="262">
        <f>SUM(Q24:AB24)</f>
        <v>113528387</v>
      </c>
      <c r="AD24" s="262"/>
      <c r="AE24" s="330"/>
      <c r="AF24" s="326"/>
      <c r="AG24" s="440"/>
    </row>
    <row r="25" spans="1:33" ht="32.1" customHeight="1">
      <c r="A25" s="263" t="s">
        <v>25</v>
      </c>
      <c r="B25" s="264">
        <v>0</v>
      </c>
      <c r="C25" s="265">
        <v>0</v>
      </c>
      <c r="D25" s="265">
        <v>0</v>
      </c>
      <c r="E25" s="265">
        <v>0</v>
      </c>
      <c r="F25" s="265">
        <v>0</v>
      </c>
      <c r="G25" s="265">
        <v>0</v>
      </c>
      <c r="H25" s="265">
        <v>0</v>
      </c>
      <c r="I25" s="265">
        <v>0</v>
      </c>
      <c r="J25" s="265">
        <v>0</v>
      </c>
      <c r="K25" s="265">
        <v>0</v>
      </c>
      <c r="L25" s="265">
        <v>0</v>
      </c>
      <c r="M25" s="265">
        <v>0</v>
      </c>
      <c r="N25" s="265">
        <f>SUM(B25:M25)</f>
        <v>0</v>
      </c>
      <c r="O25" s="297" t="str">
        <f>IFERROR(N25/(SUMIF(B25:M25,"&gt;0",B24:M24))," ")</f>
        <v/>
      </c>
      <c r="P25" s="263" t="s">
        <v>25</v>
      </c>
      <c r="Q25" s="264">
        <v>0</v>
      </c>
      <c r="R25" s="265">
        <v>0</v>
      </c>
      <c r="S25" s="265">
        <v>0</v>
      </c>
      <c r="T25" s="265">
        <v>0</v>
      </c>
      <c r="U25" s="265">
        <v>0</v>
      </c>
      <c r="V25" s="265">
        <v>0</v>
      </c>
      <c r="W25" s="265">
        <v>0</v>
      </c>
      <c r="X25" s="265">
        <v>0</v>
      </c>
      <c r="Y25" s="265">
        <v>16997887</v>
      </c>
      <c r="Z25" s="265">
        <v>24373600</v>
      </c>
      <c r="AA25" s="265">
        <v>24373600</v>
      </c>
      <c r="AB25" s="265">
        <v>47783300</v>
      </c>
      <c r="AC25" s="331">
        <f>SUM(Q25:AB25)</f>
        <v>113528387</v>
      </c>
      <c r="AD25" s="332">
        <f>AC25/SUM(Q24:AB24)</f>
        <v>1</v>
      </c>
      <c r="AE25" s="333">
        <f>AC25/AC24</f>
        <v>1</v>
      </c>
      <c r="AF25" s="326"/>
      <c r="AG25" s="440"/>
    </row>
    <row r="26" spans="1:33" s="239" customFormat="1" ht="16.5" customHeight="1"/>
    <row r="27" spans="1:33" ht="33.950000000000003" customHeight="1">
      <c r="A27" s="586" t="s">
        <v>154</v>
      </c>
      <c r="B27" s="587"/>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8"/>
    </row>
    <row r="28" spans="1:33" ht="15" customHeight="1">
      <c r="A28" s="578" t="s">
        <v>34</v>
      </c>
      <c r="B28" s="515" t="s">
        <v>36</v>
      </c>
      <c r="C28" s="515"/>
      <c r="D28" s="515" t="s">
        <v>155</v>
      </c>
      <c r="E28" s="515"/>
      <c r="F28" s="515"/>
      <c r="G28" s="515"/>
      <c r="H28" s="515"/>
      <c r="I28" s="515"/>
      <c r="J28" s="515"/>
      <c r="K28" s="515"/>
      <c r="L28" s="515"/>
      <c r="M28" s="515"/>
      <c r="N28" s="515"/>
      <c r="O28" s="515"/>
      <c r="P28" s="515" t="s">
        <v>102</v>
      </c>
      <c r="Q28" s="515" t="s">
        <v>156</v>
      </c>
      <c r="R28" s="515"/>
      <c r="S28" s="515"/>
      <c r="T28" s="515"/>
      <c r="U28" s="515"/>
      <c r="V28" s="515"/>
      <c r="W28" s="515"/>
      <c r="X28" s="515"/>
      <c r="Y28" s="515" t="s">
        <v>157</v>
      </c>
      <c r="Z28" s="515"/>
      <c r="AA28" s="515"/>
      <c r="AB28" s="515"/>
      <c r="AC28" s="515"/>
      <c r="AD28" s="515"/>
      <c r="AE28" s="516"/>
    </row>
    <row r="29" spans="1:33" ht="27" customHeight="1">
      <c r="A29" s="578"/>
      <c r="B29" s="515"/>
      <c r="C29" s="515"/>
      <c r="D29" s="266" t="s">
        <v>141</v>
      </c>
      <c r="E29" s="266" t="s">
        <v>142</v>
      </c>
      <c r="F29" s="266" t="s">
        <v>143</v>
      </c>
      <c r="G29" s="266" t="s">
        <v>144</v>
      </c>
      <c r="H29" s="266" t="s">
        <v>145</v>
      </c>
      <c r="I29" s="266" t="s">
        <v>146</v>
      </c>
      <c r="J29" s="266" t="s">
        <v>147</v>
      </c>
      <c r="K29" s="266" t="s">
        <v>148</v>
      </c>
      <c r="L29" s="266" t="s">
        <v>149</v>
      </c>
      <c r="M29" s="266" t="s">
        <v>150</v>
      </c>
      <c r="N29" s="266" t="s">
        <v>151</v>
      </c>
      <c r="O29" s="266" t="s">
        <v>128</v>
      </c>
      <c r="P29" s="515"/>
      <c r="Q29" s="515"/>
      <c r="R29" s="515"/>
      <c r="S29" s="515"/>
      <c r="T29" s="515"/>
      <c r="U29" s="515"/>
      <c r="V29" s="515"/>
      <c r="W29" s="515"/>
      <c r="X29" s="515"/>
      <c r="Y29" s="515"/>
      <c r="Z29" s="515"/>
      <c r="AA29" s="515"/>
      <c r="AB29" s="515"/>
      <c r="AC29" s="515"/>
      <c r="AD29" s="515"/>
      <c r="AE29" s="516"/>
    </row>
    <row r="30" spans="1:33" ht="42" customHeight="1">
      <c r="A30" s="267"/>
      <c r="B30" s="582"/>
      <c r="C30" s="582"/>
      <c r="D30" s="241"/>
      <c r="E30" s="241"/>
      <c r="F30" s="241"/>
      <c r="G30" s="241"/>
      <c r="H30" s="241"/>
      <c r="I30" s="241"/>
      <c r="J30" s="241"/>
      <c r="K30" s="241"/>
      <c r="L30" s="241"/>
      <c r="M30" s="241"/>
      <c r="N30" s="241"/>
      <c r="O30" s="241"/>
      <c r="P30" s="298">
        <f>SUM(D30:O30)</f>
        <v>0</v>
      </c>
      <c r="Q30" s="521" t="s">
        <v>158</v>
      </c>
      <c r="R30" s="521"/>
      <c r="S30" s="521"/>
      <c r="T30" s="521"/>
      <c r="U30" s="521"/>
      <c r="V30" s="521"/>
      <c r="W30" s="521"/>
      <c r="X30" s="521"/>
      <c r="Y30" s="521" t="s">
        <v>43</v>
      </c>
      <c r="Z30" s="521"/>
      <c r="AA30" s="521"/>
      <c r="AB30" s="521"/>
      <c r="AC30" s="521"/>
      <c r="AD30" s="521"/>
      <c r="AE30" s="522"/>
    </row>
    <row r="31" spans="1:33" ht="12" customHeight="1">
      <c r="A31" s="268"/>
      <c r="B31" s="269"/>
      <c r="C31" s="269"/>
      <c r="D31" s="249"/>
      <c r="E31" s="249"/>
      <c r="F31" s="249"/>
      <c r="G31" s="249"/>
      <c r="H31" s="249"/>
      <c r="I31" s="249"/>
      <c r="J31" s="249"/>
      <c r="K31" s="249"/>
      <c r="L31" s="249"/>
      <c r="M31" s="249"/>
      <c r="N31" s="249"/>
      <c r="O31" s="249"/>
      <c r="P31" s="299"/>
      <c r="Q31" s="312"/>
      <c r="R31" s="312"/>
      <c r="S31" s="312"/>
      <c r="T31" s="312"/>
      <c r="U31" s="312"/>
      <c r="V31" s="312"/>
      <c r="W31" s="312"/>
      <c r="X31" s="312"/>
      <c r="Y31" s="312"/>
      <c r="Z31" s="312"/>
      <c r="AA31" s="312"/>
      <c r="AB31" s="312"/>
      <c r="AC31" s="312"/>
      <c r="AD31" s="312"/>
      <c r="AE31" s="334"/>
    </row>
    <row r="32" spans="1:33" ht="45" customHeight="1">
      <c r="A32" s="491" t="s">
        <v>159</v>
      </c>
      <c r="B32" s="492"/>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3"/>
    </row>
    <row r="33" spans="1:41" ht="23.1" customHeight="1">
      <c r="A33" s="578" t="s">
        <v>44</v>
      </c>
      <c r="B33" s="515" t="s">
        <v>46</v>
      </c>
      <c r="C33" s="515" t="s">
        <v>36</v>
      </c>
      <c r="D33" s="515" t="s">
        <v>160</v>
      </c>
      <c r="E33" s="515"/>
      <c r="F33" s="515"/>
      <c r="G33" s="515"/>
      <c r="H33" s="515"/>
      <c r="I33" s="515"/>
      <c r="J33" s="515"/>
      <c r="K33" s="515"/>
      <c r="L33" s="515"/>
      <c r="M33" s="515"/>
      <c r="N33" s="515"/>
      <c r="O33" s="515"/>
      <c r="P33" s="515"/>
      <c r="Q33" s="515" t="s">
        <v>161</v>
      </c>
      <c r="R33" s="515"/>
      <c r="S33" s="515"/>
      <c r="T33" s="515"/>
      <c r="U33" s="515"/>
      <c r="V33" s="515"/>
      <c r="W33" s="515"/>
      <c r="X33" s="515"/>
      <c r="Y33" s="515"/>
      <c r="Z33" s="515"/>
      <c r="AA33" s="515"/>
      <c r="AB33" s="515"/>
      <c r="AC33" s="515"/>
      <c r="AD33" s="515"/>
      <c r="AE33" s="516"/>
      <c r="AG33" s="335"/>
      <c r="AH33" s="335"/>
      <c r="AI33" s="335"/>
      <c r="AJ33" s="335"/>
      <c r="AK33" s="335"/>
      <c r="AL33" s="335"/>
      <c r="AM33" s="335"/>
      <c r="AN33" s="335"/>
      <c r="AO33" s="335"/>
    </row>
    <row r="34" spans="1:41" ht="27" customHeight="1">
      <c r="A34" s="578"/>
      <c r="B34" s="515"/>
      <c r="C34" s="526"/>
      <c r="D34" s="266" t="s">
        <v>141</v>
      </c>
      <c r="E34" s="266" t="s">
        <v>142</v>
      </c>
      <c r="F34" s="266" t="s">
        <v>143</v>
      </c>
      <c r="G34" s="266" t="s">
        <v>144</v>
      </c>
      <c r="H34" s="266" t="s">
        <v>145</v>
      </c>
      <c r="I34" s="266" t="s">
        <v>146</v>
      </c>
      <c r="J34" s="266" t="s">
        <v>147</v>
      </c>
      <c r="K34" s="266" t="s">
        <v>148</v>
      </c>
      <c r="L34" s="266" t="s">
        <v>149</v>
      </c>
      <c r="M34" s="266" t="s">
        <v>150</v>
      </c>
      <c r="N34" s="266" t="s">
        <v>151</v>
      </c>
      <c r="O34" s="266" t="s">
        <v>128</v>
      </c>
      <c r="P34" s="266" t="s">
        <v>102</v>
      </c>
      <c r="Q34" s="523" t="s">
        <v>52</v>
      </c>
      <c r="R34" s="524"/>
      <c r="S34" s="524"/>
      <c r="T34" s="525"/>
      <c r="U34" s="515" t="s">
        <v>54</v>
      </c>
      <c r="V34" s="515"/>
      <c r="W34" s="515"/>
      <c r="X34" s="515"/>
      <c r="Y34" s="515" t="s">
        <v>56</v>
      </c>
      <c r="Z34" s="515"/>
      <c r="AA34" s="515"/>
      <c r="AB34" s="515"/>
      <c r="AC34" s="515" t="s">
        <v>58</v>
      </c>
      <c r="AD34" s="515"/>
      <c r="AE34" s="516"/>
      <c r="AG34" s="335"/>
      <c r="AH34" s="335"/>
      <c r="AI34" s="335"/>
      <c r="AJ34" s="335"/>
      <c r="AK34" s="335"/>
      <c r="AL34" s="335"/>
      <c r="AM34" s="335"/>
      <c r="AN34" s="335"/>
      <c r="AO34" s="335"/>
    </row>
    <row r="35" spans="1:41" ht="171.75" customHeight="1">
      <c r="A35" s="579" t="str">
        <f>+C17</f>
        <v>Gestionar 1 portafolio de oportunidades a través de aliados públicos y privados para el empoderamiento y autonomía económica de las mujeres de Bogotá. (Producto MGA - Documento de lineamientos técnicos)</v>
      </c>
      <c r="B35" s="645">
        <v>0.22</v>
      </c>
      <c r="C35" s="270" t="s">
        <v>48</v>
      </c>
      <c r="D35" s="271">
        <f>D73</f>
        <v>0</v>
      </c>
      <c r="E35" s="271">
        <f t="shared" ref="E35:O35" si="0">E73</f>
        <v>0</v>
      </c>
      <c r="F35" s="271">
        <f t="shared" si="0"/>
        <v>0</v>
      </c>
      <c r="G35" s="271">
        <f t="shared" si="0"/>
        <v>0</v>
      </c>
      <c r="H35" s="271">
        <f t="shared" si="0"/>
        <v>0</v>
      </c>
      <c r="I35" s="271">
        <f t="shared" si="0"/>
        <v>0</v>
      </c>
      <c r="J35" s="271">
        <f t="shared" si="0"/>
        <v>0</v>
      </c>
      <c r="K35" s="271">
        <f t="shared" si="0"/>
        <v>0.20454545454545453</v>
      </c>
      <c r="L35" s="271">
        <f t="shared" si="0"/>
        <v>9.0909090909090912E-2</v>
      </c>
      <c r="M35" s="271">
        <f t="shared" si="0"/>
        <v>9.0909090909090912E-2</v>
      </c>
      <c r="N35" s="271">
        <f t="shared" si="0"/>
        <v>0.20454545454545453</v>
      </c>
      <c r="O35" s="271">
        <f t="shared" si="0"/>
        <v>0.40909090909090912</v>
      </c>
      <c r="P35" s="300">
        <f>SUM(D35:O35)</f>
        <v>1</v>
      </c>
      <c r="Q35" s="627" t="s">
        <v>206</v>
      </c>
      <c r="R35" s="628"/>
      <c r="S35" s="628"/>
      <c r="T35" s="629"/>
      <c r="U35" s="633" t="s">
        <v>207</v>
      </c>
      <c r="V35" s="634"/>
      <c r="W35" s="634"/>
      <c r="X35" s="634"/>
      <c r="Y35" s="528" t="s">
        <v>164</v>
      </c>
      <c r="Z35" s="528"/>
      <c r="AA35" s="528"/>
      <c r="AB35" s="528"/>
      <c r="AC35" s="622" t="s">
        <v>208</v>
      </c>
      <c r="AD35" s="623"/>
      <c r="AE35" s="624"/>
      <c r="AG35" s="335"/>
      <c r="AH35" s="335"/>
      <c r="AI35" s="335"/>
      <c r="AJ35" s="335"/>
      <c r="AK35" s="335"/>
      <c r="AL35" s="335"/>
      <c r="AM35" s="335"/>
      <c r="AN35" s="335"/>
      <c r="AO35" s="335"/>
    </row>
    <row r="36" spans="1:41" ht="165" customHeight="1">
      <c r="A36" s="580"/>
      <c r="B36" s="646"/>
      <c r="C36" s="272" t="s">
        <v>50</v>
      </c>
      <c r="D36" s="273">
        <f>D70</f>
        <v>0</v>
      </c>
      <c r="E36" s="273">
        <f t="shared" ref="E36:L36" si="1">E70</f>
        <v>0</v>
      </c>
      <c r="F36" s="273">
        <f t="shared" si="1"/>
        <v>0</v>
      </c>
      <c r="G36" s="273">
        <f t="shared" si="1"/>
        <v>0</v>
      </c>
      <c r="H36" s="273">
        <f t="shared" si="1"/>
        <v>0</v>
      </c>
      <c r="I36" s="273">
        <f t="shared" si="1"/>
        <v>0</v>
      </c>
      <c r="J36" s="273">
        <f t="shared" si="1"/>
        <v>0</v>
      </c>
      <c r="K36" s="273">
        <f t="shared" si="1"/>
        <v>0.20454545454545453</v>
      </c>
      <c r="L36" s="273">
        <f t="shared" si="1"/>
        <v>9.0909090909090912E-2</v>
      </c>
      <c r="M36" s="273">
        <v>0.09</v>
      </c>
      <c r="N36" s="273">
        <v>0.2</v>
      </c>
      <c r="O36" s="273">
        <v>0.41</v>
      </c>
      <c r="P36" s="301">
        <f>SUM(D36:O36)</f>
        <v>0.99545454545454537</v>
      </c>
      <c r="Q36" s="630"/>
      <c r="R36" s="631"/>
      <c r="S36" s="631"/>
      <c r="T36" s="632"/>
      <c r="U36" s="635"/>
      <c r="V36" s="635"/>
      <c r="W36" s="635"/>
      <c r="X36" s="635"/>
      <c r="Y36" s="530"/>
      <c r="Z36" s="530"/>
      <c r="AA36" s="530"/>
      <c r="AB36" s="530"/>
      <c r="AC36" s="625"/>
      <c r="AD36" s="625"/>
      <c r="AE36" s="626"/>
      <c r="AG36" s="335"/>
      <c r="AH36" s="335"/>
      <c r="AI36" s="335"/>
      <c r="AJ36" s="335"/>
      <c r="AK36" s="335"/>
      <c r="AL36" s="335"/>
      <c r="AM36" s="335"/>
      <c r="AN36" s="335"/>
      <c r="AO36" s="335"/>
    </row>
    <row r="37" spans="1:41" s="239" customFormat="1" ht="17.25" customHeight="1"/>
    <row r="38" spans="1:41" ht="45" customHeight="1">
      <c r="A38" s="491" t="s">
        <v>166</v>
      </c>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3"/>
      <c r="AG38" s="335"/>
      <c r="AH38" s="335"/>
      <c r="AI38" s="335"/>
      <c r="AJ38" s="335"/>
      <c r="AK38" s="335"/>
      <c r="AL38" s="335"/>
      <c r="AM38" s="335"/>
      <c r="AN38" s="335"/>
      <c r="AO38" s="335"/>
    </row>
    <row r="39" spans="1:41" ht="26.1" customHeight="1">
      <c r="A39" s="581" t="s">
        <v>60</v>
      </c>
      <c r="B39" s="543" t="s">
        <v>167</v>
      </c>
      <c r="C39" s="549" t="s">
        <v>168</v>
      </c>
      <c r="D39" s="540" t="s">
        <v>169</v>
      </c>
      <c r="E39" s="541"/>
      <c r="F39" s="541"/>
      <c r="G39" s="541"/>
      <c r="H39" s="541"/>
      <c r="I39" s="541"/>
      <c r="J39" s="541"/>
      <c r="K39" s="541"/>
      <c r="L39" s="541"/>
      <c r="M39" s="541"/>
      <c r="N39" s="541"/>
      <c r="O39" s="541"/>
      <c r="P39" s="542"/>
      <c r="Q39" s="543" t="s">
        <v>170</v>
      </c>
      <c r="R39" s="543"/>
      <c r="S39" s="543"/>
      <c r="T39" s="543"/>
      <c r="U39" s="543"/>
      <c r="V39" s="543"/>
      <c r="W39" s="543"/>
      <c r="X39" s="543"/>
      <c r="Y39" s="543"/>
      <c r="Z39" s="543"/>
      <c r="AA39" s="543"/>
      <c r="AB39" s="543"/>
      <c r="AC39" s="543"/>
      <c r="AD39" s="543"/>
      <c r="AE39" s="544"/>
      <c r="AG39" s="335"/>
      <c r="AH39" s="335"/>
      <c r="AI39" s="335"/>
      <c r="AJ39" s="335"/>
      <c r="AK39" s="335"/>
      <c r="AL39" s="335"/>
      <c r="AM39" s="335"/>
      <c r="AN39" s="335"/>
      <c r="AO39" s="335"/>
    </row>
    <row r="40" spans="1:41" ht="26.1" customHeight="1">
      <c r="A40" s="578"/>
      <c r="B40" s="515"/>
      <c r="C40" s="550"/>
      <c r="D40" s="266" t="s">
        <v>171</v>
      </c>
      <c r="E40" s="266" t="s">
        <v>172</v>
      </c>
      <c r="F40" s="266" t="s">
        <v>173</v>
      </c>
      <c r="G40" s="266" t="s">
        <v>174</v>
      </c>
      <c r="H40" s="266" t="s">
        <v>175</v>
      </c>
      <c r="I40" s="266" t="s">
        <v>176</v>
      </c>
      <c r="J40" s="266" t="s">
        <v>177</v>
      </c>
      <c r="K40" s="266" t="s">
        <v>178</v>
      </c>
      <c r="L40" s="266" t="s">
        <v>179</v>
      </c>
      <c r="M40" s="266" t="s">
        <v>180</v>
      </c>
      <c r="N40" s="266" t="s">
        <v>181</v>
      </c>
      <c r="O40" s="266" t="s">
        <v>182</v>
      </c>
      <c r="P40" s="266" t="s">
        <v>183</v>
      </c>
      <c r="Q40" s="523" t="s">
        <v>184</v>
      </c>
      <c r="R40" s="524"/>
      <c r="S40" s="524"/>
      <c r="T40" s="524"/>
      <c r="U40" s="524"/>
      <c r="V40" s="524"/>
      <c r="W40" s="524"/>
      <c r="X40" s="525"/>
      <c r="Y40" s="523" t="s">
        <v>68</v>
      </c>
      <c r="Z40" s="524"/>
      <c r="AA40" s="524"/>
      <c r="AB40" s="524"/>
      <c r="AC40" s="524"/>
      <c r="AD40" s="524"/>
      <c r="AE40" s="545"/>
      <c r="AG40" s="336"/>
      <c r="AH40" s="336"/>
      <c r="AI40" s="336"/>
      <c r="AJ40" s="336"/>
      <c r="AK40" s="336"/>
      <c r="AL40" s="336"/>
      <c r="AM40" s="336"/>
      <c r="AN40" s="336"/>
      <c r="AO40" s="336"/>
    </row>
    <row r="41" spans="1:41" ht="60.6" customHeight="1">
      <c r="A41" s="593" t="s">
        <v>209</v>
      </c>
      <c r="B41" s="621">
        <v>0.1</v>
      </c>
      <c r="C41" s="275" t="s">
        <v>48</v>
      </c>
      <c r="D41" s="276">
        <v>0</v>
      </c>
      <c r="E41" s="276">
        <v>0</v>
      </c>
      <c r="F41" s="276">
        <v>0</v>
      </c>
      <c r="G41" s="276">
        <v>0</v>
      </c>
      <c r="H41" s="276">
        <v>0</v>
      </c>
      <c r="I41" s="276">
        <v>0</v>
      </c>
      <c r="J41" s="276">
        <v>0</v>
      </c>
      <c r="K41" s="276">
        <v>0.2</v>
      </c>
      <c r="L41" s="276">
        <v>0.2</v>
      </c>
      <c r="M41" s="276">
        <v>0.2</v>
      </c>
      <c r="N41" s="276">
        <v>0.2</v>
      </c>
      <c r="O41" s="276">
        <v>0.2</v>
      </c>
      <c r="P41" s="274">
        <f t="shared" ref="P41:P46" si="2">SUM(D41:O41)</f>
        <v>1</v>
      </c>
      <c r="Q41" s="551" t="s">
        <v>210</v>
      </c>
      <c r="R41" s="552"/>
      <c r="S41" s="552"/>
      <c r="T41" s="552"/>
      <c r="U41" s="552"/>
      <c r="V41" s="552"/>
      <c r="W41" s="552"/>
      <c r="X41" s="553"/>
      <c r="Y41" s="557" t="s">
        <v>211</v>
      </c>
      <c r="Z41" s="614"/>
      <c r="AA41" s="614"/>
      <c r="AB41" s="614"/>
      <c r="AC41" s="614"/>
      <c r="AD41" s="614"/>
      <c r="AE41" s="615"/>
      <c r="AG41" s="337"/>
      <c r="AH41" s="337"/>
      <c r="AI41" s="337"/>
      <c r="AJ41" s="337"/>
      <c r="AK41" s="337"/>
      <c r="AL41" s="337"/>
      <c r="AM41" s="337"/>
      <c r="AN41" s="337"/>
      <c r="AO41" s="337"/>
    </row>
    <row r="42" spans="1:41" ht="60.6" customHeight="1">
      <c r="A42" s="593"/>
      <c r="B42" s="647"/>
      <c r="C42" s="277" t="s">
        <v>50</v>
      </c>
      <c r="D42" s="278">
        <v>0</v>
      </c>
      <c r="E42" s="278">
        <v>0</v>
      </c>
      <c r="F42" s="278">
        <v>0</v>
      </c>
      <c r="G42" s="278">
        <v>0</v>
      </c>
      <c r="H42" s="278">
        <v>0</v>
      </c>
      <c r="I42" s="278">
        <v>0</v>
      </c>
      <c r="J42" s="278">
        <v>0</v>
      </c>
      <c r="K42" s="278">
        <v>0.2</v>
      </c>
      <c r="L42" s="278">
        <v>0.2</v>
      </c>
      <c r="M42" s="278">
        <v>0.2</v>
      </c>
      <c r="N42" s="278">
        <v>0.2</v>
      </c>
      <c r="O42" s="278">
        <v>0.2</v>
      </c>
      <c r="P42" s="274">
        <f t="shared" si="2"/>
        <v>1</v>
      </c>
      <c r="Q42" s="554"/>
      <c r="R42" s="555"/>
      <c r="S42" s="555"/>
      <c r="T42" s="555"/>
      <c r="U42" s="555"/>
      <c r="V42" s="555"/>
      <c r="W42" s="555"/>
      <c r="X42" s="556"/>
      <c r="Y42" s="636"/>
      <c r="Z42" s="637"/>
      <c r="AA42" s="637"/>
      <c r="AB42" s="637"/>
      <c r="AC42" s="637"/>
      <c r="AD42" s="637"/>
      <c r="AE42" s="638"/>
    </row>
    <row r="43" spans="1:41" ht="81" customHeight="1">
      <c r="A43" s="593" t="s">
        <v>212</v>
      </c>
      <c r="B43" s="621">
        <v>0.05</v>
      </c>
      <c r="C43" s="275" t="s">
        <v>48</v>
      </c>
      <c r="D43" s="276">
        <v>0</v>
      </c>
      <c r="E43" s="276">
        <v>0</v>
      </c>
      <c r="F43" s="276">
        <v>0</v>
      </c>
      <c r="G43" s="276">
        <v>0</v>
      </c>
      <c r="H43" s="276">
        <v>0</v>
      </c>
      <c r="I43" s="276">
        <v>0</v>
      </c>
      <c r="J43" s="276">
        <v>0</v>
      </c>
      <c r="K43" s="276">
        <v>0.5</v>
      </c>
      <c r="L43" s="276">
        <v>0</v>
      </c>
      <c r="M43" s="276">
        <v>0</v>
      </c>
      <c r="N43" s="302">
        <v>0.5</v>
      </c>
      <c r="O43" s="276">
        <v>0</v>
      </c>
      <c r="P43" s="274">
        <f t="shared" si="2"/>
        <v>1</v>
      </c>
      <c r="Q43" s="551" t="s">
        <v>213</v>
      </c>
      <c r="R43" s="552"/>
      <c r="S43" s="552"/>
      <c r="T43" s="552"/>
      <c r="U43" s="552"/>
      <c r="V43" s="552"/>
      <c r="W43" s="552"/>
      <c r="X43" s="553"/>
      <c r="Y43" s="639" t="s">
        <v>214</v>
      </c>
      <c r="Z43" s="640"/>
      <c r="AA43" s="640"/>
      <c r="AB43" s="640"/>
      <c r="AC43" s="640"/>
      <c r="AD43" s="640"/>
      <c r="AE43" s="641"/>
    </row>
    <row r="44" spans="1:41" ht="81" customHeight="1">
      <c r="A44" s="593"/>
      <c r="B44" s="647"/>
      <c r="C44" s="277" t="s">
        <v>50</v>
      </c>
      <c r="D44" s="278">
        <v>0</v>
      </c>
      <c r="E44" s="278">
        <v>0</v>
      </c>
      <c r="F44" s="278">
        <v>0</v>
      </c>
      <c r="G44" s="278">
        <v>0</v>
      </c>
      <c r="H44" s="278">
        <v>0</v>
      </c>
      <c r="I44" s="278">
        <v>0</v>
      </c>
      <c r="J44" s="278">
        <v>0</v>
      </c>
      <c r="K44" s="278">
        <v>0.5</v>
      </c>
      <c r="L44" s="278">
        <v>0</v>
      </c>
      <c r="M44" s="278">
        <v>0</v>
      </c>
      <c r="N44" s="278">
        <v>0.5</v>
      </c>
      <c r="O44" s="278">
        <v>0</v>
      </c>
      <c r="P44" s="274">
        <f t="shared" si="2"/>
        <v>1</v>
      </c>
      <c r="Q44" s="554"/>
      <c r="R44" s="555"/>
      <c r="S44" s="555"/>
      <c r="T44" s="555"/>
      <c r="U44" s="555"/>
      <c r="V44" s="555"/>
      <c r="W44" s="555"/>
      <c r="X44" s="556"/>
      <c r="Y44" s="642"/>
      <c r="Z44" s="643"/>
      <c r="AA44" s="643"/>
      <c r="AB44" s="643"/>
      <c r="AC44" s="643"/>
      <c r="AD44" s="643"/>
      <c r="AE44" s="644"/>
    </row>
    <row r="45" spans="1:41" ht="64.349999999999994" customHeight="1">
      <c r="A45" s="593" t="s">
        <v>215</v>
      </c>
      <c r="B45" s="621">
        <v>7.0000000000000007E-2</v>
      </c>
      <c r="C45" s="275" t="s">
        <v>48</v>
      </c>
      <c r="D45" s="276">
        <v>0</v>
      </c>
      <c r="E45" s="276">
        <v>0</v>
      </c>
      <c r="F45" s="276">
        <v>0</v>
      </c>
      <c r="G45" s="276">
        <v>0</v>
      </c>
      <c r="H45" s="276">
        <v>0</v>
      </c>
      <c r="I45" s="276">
        <v>0</v>
      </c>
      <c r="J45" s="276">
        <v>0</v>
      </c>
      <c r="K45" s="276">
        <v>0</v>
      </c>
      <c r="L45" s="276">
        <v>0</v>
      </c>
      <c r="M45" s="276">
        <v>0</v>
      </c>
      <c r="N45" s="276">
        <v>0</v>
      </c>
      <c r="O45" s="276">
        <v>1</v>
      </c>
      <c r="P45" s="274">
        <f t="shared" si="2"/>
        <v>1</v>
      </c>
      <c r="Q45" s="563" t="s">
        <v>216</v>
      </c>
      <c r="R45" s="564"/>
      <c r="S45" s="564"/>
      <c r="T45" s="564"/>
      <c r="U45" s="564"/>
      <c r="V45" s="564"/>
      <c r="W45" s="564"/>
      <c r="X45" s="565"/>
      <c r="Y45" s="551" t="s">
        <v>217</v>
      </c>
      <c r="Z45" s="552"/>
      <c r="AA45" s="552"/>
      <c r="AB45" s="552"/>
      <c r="AC45" s="552"/>
      <c r="AD45" s="552"/>
      <c r="AE45" s="619"/>
    </row>
    <row r="46" spans="1:41" ht="64.349999999999994" customHeight="1">
      <c r="A46" s="593"/>
      <c r="B46" s="647"/>
      <c r="C46" s="277" t="s">
        <v>50</v>
      </c>
      <c r="D46" s="278">
        <v>0</v>
      </c>
      <c r="E46" s="278">
        <v>0</v>
      </c>
      <c r="F46" s="278">
        <v>0</v>
      </c>
      <c r="G46" s="278">
        <v>0</v>
      </c>
      <c r="H46" s="278">
        <v>0</v>
      </c>
      <c r="I46" s="278">
        <v>0</v>
      </c>
      <c r="J46" s="278">
        <v>0</v>
      </c>
      <c r="K46" s="278">
        <v>0</v>
      </c>
      <c r="L46" s="278">
        <v>0</v>
      </c>
      <c r="M46" s="278">
        <v>0</v>
      </c>
      <c r="N46" s="278">
        <v>0</v>
      </c>
      <c r="O46" s="278">
        <v>1</v>
      </c>
      <c r="P46" s="274">
        <f t="shared" si="2"/>
        <v>1</v>
      </c>
      <c r="Q46" s="566"/>
      <c r="R46" s="567"/>
      <c r="S46" s="567"/>
      <c r="T46" s="567"/>
      <c r="U46" s="567"/>
      <c r="V46" s="567"/>
      <c r="W46" s="567"/>
      <c r="X46" s="568"/>
      <c r="Y46" s="554"/>
      <c r="Z46" s="555"/>
      <c r="AA46" s="555"/>
      <c r="AB46" s="555"/>
      <c r="AC46" s="555"/>
      <c r="AD46" s="555"/>
      <c r="AE46" s="620"/>
    </row>
    <row r="47" spans="1:41" ht="15" customHeight="1">
      <c r="A47" s="163" t="s">
        <v>193</v>
      </c>
    </row>
    <row r="48" spans="1:41" hidden="1"/>
    <row r="49" spans="1:30" hidden="1"/>
    <row r="50" spans="1:30" hidden="1"/>
    <row r="51" spans="1:30" hidden="1"/>
    <row r="52" spans="1:30" hidden="1"/>
    <row r="53" spans="1:30" s="240" customFormat="1" ht="14.45" hidden="1">
      <c r="A53" s="594" t="s">
        <v>44</v>
      </c>
      <c r="B53" s="599" t="s">
        <v>167</v>
      </c>
      <c r="C53" s="546" t="s">
        <v>169</v>
      </c>
      <c r="D53" s="547"/>
      <c r="E53" s="547"/>
      <c r="F53" s="547"/>
      <c r="G53" s="547"/>
      <c r="H53" s="547"/>
      <c r="I53" s="547"/>
      <c r="J53" s="547"/>
      <c r="K53" s="547"/>
      <c r="L53" s="547"/>
      <c r="M53" s="547"/>
      <c r="N53" s="547"/>
      <c r="O53" s="547"/>
      <c r="P53" s="548"/>
      <c r="Q53" s="313"/>
      <c r="R53" s="313"/>
      <c r="S53" s="314"/>
      <c r="T53" s="314"/>
      <c r="U53" s="314"/>
      <c r="V53" s="314"/>
      <c r="W53" s="314"/>
      <c r="X53" s="314"/>
      <c r="Y53" s="314"/>
      <c r="Z53" s="314"/>
      <c r="AA53" s="314"/>
      <c r="AB53" s="314"/>
      <c r="AC53" s="314"/>
      <c r="AD53" s="314"/>
    </row>
    <row r="54" spans="1:30" s="240" customFormat="1" ht="14.45" hidden="1">
      <c r="A54" s="595"/>
      <c r="B54" s="600"/>
      <c r="C54" s="279" t="s">
        <v>168</v>
      </c>
      <c r="D54" s="279" t="s">
        <v>171</v>
      </c>
      <c r="E54" s="279" t="s">
        <v>172</v>
      </c>
      <c r="F54" s="279" t="s">
        <v>173</v>
      </c>
      <c r="G54" s="279" t="s">
        <v>174</v>
      </c>
      <c r="H54" s="279" t="s">
        <v>175</v>
      </c>
      <c r="I54" s="279" t="s">
        <v>176</v>
      </c>
      <c r="J54" s="279" t="s">
        <v>177</v>
      </c>
      <c r="K54" s="279" t="s">
        <v>178</v>
      </c>
      <c r="L54" s="279" t="s">
        <v>179</v>
      </c>
      <c r="M54" s="279" t="s">
        <v>180</v>
      </c>
      <c r="N54" s="279" t="s">
        <v>181</v>
      </c>
      <c r="O54" s="279" t="s">
        <v>182</v>
      </c>
      <c r="P54" s="303" t="s">
        <v>183</v>
      </c>
      <c r="Q54" s="313"/>
      <c r="R54" s="313"/>
      <c r="S54" s="314"/>
      <c r="T54" s="314"/>
      <c r="U54" s="314"/>
      <c r="V54" s="314"/>
      <c r="W54" s="314"/>
      <c r="X54" s="314"/>
      <c r="Y54" s="314"/>
      <c r="Z54" s="314"/>
      <c r="AA54" s="314"/>
      <c r="AB54" s="314"/>
      <c r="AC54" s="314"/>
      <c r="AD54" s="314"/>
    </row>
    <row r="55" spans="1:30" s="240" customFormat="1" ht="18" hidden="1" customHeight="1">
      <c r="A55" s="589" t="str">
        <f>A41</f>
        <v>6. Promover acciones y alianzas que contribuyan al empleo, la  generación de ingresos y la formación de las mujeres en sus diferencias y diversidades.</v>
      </c>
      <c r="B55" s="601">
        <f>B41</f>
        <v>0.1</v>
      </c>
      <c r="C55" s="280" t="s">
        <v>48</v>
      </c>
      <c r="D55" s="281">
        <f t="shared" ref="D55:O55" si="3">D41*$B$41/$P$41</f>
        <v>0</v>
      </c>
      <c r="E55" s="281">
        <f t="shared" si="3"/>
        <v>0</v>
      </c>
      <c r="F55" s="281">
        <f t="shared" si="3"/>
        <v>0</v>
      </c>
      <c r="G55" s="281">
        <f t="shared" si="3"/>
        <v>0</v>
      </c>
      <c r="H55" s="281">
        <f t="shared" si="3"/>
        <v>0</v>
      </c>
      <c r="I55" s="281">
        <f t="shared" si="3"/>
        <v>0</v>
      </c>
      <c r="J55" s="281">
        <f t="shared" si="3"/>
        <v>0</v>
      </c>
      <c r="K55" s="281">
        <f t="shared" si="3"/>
        <v>0.02</v>
      </c>
      <c r="L55" s="281">
        <f t="shared" si="3"/>
        <v>0.02</v>
      </c>
      <c r="M55" s="281">
        <f t="shared" si="3"/>
        <v>0.02</v>
      </c>
      <c r="N55" s="281">
        <f t="shared" si="3"/>
        <v>0.02</v>
      </c>
      <c r="O55" s="281">
        <f t="shared" si="3"/>
        <v>0.02</v>
      </c>
      <c r="P55" s="304">
        <f>SUM(D55:O55)</f>
        <v>0.1</v>
      </c>
      <c r="Q55" s="315">
        <v>0.05</v>
      </c>
      <c r="R55" s="316">
        <f t="shared" ref="R55:R69" si="4">+P55-Q55</f>
        <v>0.05</v>
      </c>
      <c r="S55" s="314"/>
      <c r="T55" s="314"/>
      <c r="U55" s="314"/>
      <c r="V55" s="314"/>
      <c r="W55" s="314"/>
      <c r="X55" s="314"/>
      <c r="Y55" s="314"/>
      <c r="Z55" s="314"/>
      <c r="AA55" s="314"/>
      <c r="AB55" s="314"/>
      <c r="AC55" s="314"/>
      <c r="AD55" s="314"/>
    </row>
    <row r="56" spans="1:30" s="240" customFormat="1" ht="18" hidden="1" customHeight="1">
      <c r="A56" s="590"/>
      <c r="B56" s="602"/>
      <c r="C56" s="282" t="s">
        <v>50</v>
      </c>
      <c r="D56" s="283">
        <f t="shared" ref="D56:O56" si="5">D42*$B$41/$P$41</f>
        <v>0</v>
      </c>
      <c r="E56" s="283">
        <f t="shared" si="5"/>
        <v>0</v>
      </c>
      <c r="F56" s="283">
        <f t="shared" si="5"/>
        <v>0</v>
      </c>
      <c r="G56" s="283">
        <f t="shared" si="5"/>
        <v>0</v>
      </c>
      <c r="H56" s="283">
        <f t="shared" si="5"/>
        <v>0</v>
      </c>
      <c r="I56" s="283">
        <f t="shared" si="5"/>
        <v>0</v>
      </c>
      <c r="J56" s="283">
        <f t="shared" si="5"/>
        <v>0</v>
      </c>
      <c r="K56" s="283">
        <f t="shared" si="5"/>
        <v>0.02</v>
      </c>
      <c r="L56" s="283">
        <f t="shared" si="5"/>
        <v>0.02</v>
      </c>
      <c r="M56" s="283">
        <f t="shared" si="5"/>
        <v>0.02</v>
      </c>
      <c r="N56" s="283">
        <f t="shared" si="5"/>
        <v>0.02</v>
      </c>
      <c r="O56" s="283">
        <f t="shared" si="5"/>
        <v>2.0000000000000004E-2</v>
      </c>
      <c r="P56" s="305">
        <f t="shared" ref="P56:P60" si="6">SUM(D56:O56)</f>
        <v>0.1</v>
      </c>
      <c r="Q56" s="317">
        <f>+P56</f>
        <v>0.1</v>
      </c>
      <c r="R56" s="316">
        <f t="shared" si="4"/>
        <v>0</v>
      </c>
      <c r="S56" s="314"/>
      <c r="T56" s="314"/>
      <c r="U56" s="314"/>
      <c r="V56" s="314"/>
      <c r="W56" s="314"/>
      <c r="X56" s="314"/>
      <c r="Y56" s="314"/>
      <c r="Z56" s="314"/>
      <c r="AA56" s="314"/>
      <c r="AB56" s="314"/>
      <c r="AC56" s="314"/>
      <c r="AD56" s="314"/>
    </row>
    <row r="57" spans="1:30" s="240" customFormat="1" ht="18" hidden="1" customHeight="1">
      <c r="A57" s="589" t="str">
        <f>A43</f>
        <v>7. Realizar un reporte de seguimiento a los aliados   que integran el portafolio de oportunidades para el empoderamiento y autonomía económica para las mujeres en sus diversidades.</v>
      </c>
      <c r="B57" s="601">
        <f>B43</f>
        <v>0.05</v>
      </c>
      <c r="C57" s="280" t="s">
        <v>48</v>
      </c>
      <c r="D57" s="281">
        <f t="shared" ref="D57:O57" si="7">D43*$B$43/$P$43</f>
        <v>0</v>
      </c>
      <c r="E57" s="281">
        <f t="shared" si="7"/>
        <v>0</v>
      </c>
      <c r="F57" s="281">
        <f t="shared" si="7"/>
        <v>0</v>
      </c>
      <c r="G57" s="281">
        <f t="shared" si="7"/>
        <v>0</v>
      </c>
      <c r="H57" s="281">
        <f t="shared" si="7"/>
        <v>0</v>
      </c>
      <c r="I57" s="281">
        <f t="shared" si="7"/>
        <v>0</v>
      </c>
      <c r="J57" s="281">
        <f t="shared" si="7"/>
        <v>0</v>
      </c>
      <c r="K57" s="281">
        <f t="shared" si="7"/>
        <v>2.5000000000000001E-2</v>
      </c>
      <c r="L57" s="281">
        <f t="shared" si="7"/>
        <v>0</v>
      </c>
      <c r="M57" s="281">
        <f t="shared" si="7"/>
        <v>0</v>
      </c>
      <c r="N57" s="281">
        <f t="shared" si="7"/>
        <v>2.5000000000000001E-2</v>
      </c>
      <c r="O57" s="281">
        <f t="shared" si="7"/>
        <v>0</v>
      </c>
      <c r="P57" s="304">
        <f t="shared" si="6"/>
        <v>0.05</v>
      </c>
      <c r="Q57" s="315">
        <v>2.5000000000000001E-2</v>
      </c>
      <c r="R57" s="316">
        <f t="shared" si="4"/>
        <v>2.5000000000000001E-2</v>
      </c>
      <c r="S57" s="314"/>
      <c r="T57" s="314"/>
      <c r="U57" s="314"/>
      <c r="V57" s="314"/>
      <c r="W57" s="314"/>
      <c r="X57" s="314"/>
      <c r="Y57" s="314"/>
      <c r="Z57" s="314"/>
      <c r="AA57" s="314"/>
      <c r="AB57" s="314"/>
      <c r="AC57" s="314"/>
      <c r="AD57" s="314"/>
    </row>
    <row r="58" spans="1:30" s="240" customFormat="1" ht="18" hidden="1" customHeight="1">
      <c r="A58" s="590"/>
      <c r="B58" s="602"/>
      <c r="C58" s="282" t="s">
        <v>50</v>
      </c>
      <c r="D58" s="283">
        <f t="shared" ref="D58:O58" si="8">D44*$B$43/$P$43</f>
        <v>0</v>
      </c>
      <c r="E58" s="283">
        <f t="shared" si="8"/>
        <v>0</v>
      </c>
      <c r="F58" s="283">
        <f t="shared" si="8"/>
        <v>0</v>
      </c>
      <c r="G58" s="283">
        <f t="shared" si="8"/>
        <v>0</v>
      </c>
      <c r="H58" s="283">
        <f t="shared" si="8"/>
        <v>0</v>
      </c>
      <c r="I58" s="283">
        <f t="shared" si="8"/>
        <v>0</v>
      </c>
      <c r="J58" s="283">
        <f t="shared" si="8"/>
        <v>0</v>
      </c>
      <c r="K58" s="283">
        <f t="shared" si="8"/>
        <v>2.5000000000000001E-2</v>
      </c>
      <c r="L58" s="283">
        <f t="shared" si="8"/>
        <v>0</v>
      </c>
      <c r="M58" s="283">
        <f t="shared" si="8"/>
        <v>0</v>
      </c>
      <c r="N58" s="283">
        <f t="shared" si="8"/>
        <v>2.5000000000000001E-2</v>
      </c>
      <c r="O58" s="283">
        <f t="shared" si="8"/>
        <v>0</v>
      </c>
      <c r="P58" s="305">
        <f t="shared" si="6"/>
        <v>0.05</v>
      </c>
      <c r="Q58" s="317">
        <f>+P58</f>
        <v>0.05</v>
      </c>
      <c r="R58" s="316">
        <f t="shared" si="4"/>
        <v>0</v>
      </c>
      <c r="S58" s="314"/>
      <c r="T58" s="314"/>
      <c r="U58" s="314"/>
      <c r="V58" s="314"/>
      <c r="W58" s="314"/>
      <c r="X58" s="314"/>
      <c r="Y58" s="314"/>
      <c r="Z58" s="314"/>
      <c r="AA58" s="314"/>
      <c r="AB58" s="314"/>
      <c r="AC58" s="314"/>
      <c r="AD58" s="314"/>
    </row>
    <row r="59" spans="1:30" s="240" customFormat="1" ht="18" hidden="1" customHeight="1">
      <c r="A59" s="589" t="str">
        <f>A45</f>
        <v>8. Realizar un informe de las alianzas que integran el portafolio de oportunidades para el empoderamiento y autonomía económica para las mujeres en sus diversidades</v>
      </c>
      <c r="B59" s="601">
        <f>B45</f>
        <v>7.0000000000000007E-2</v>
      </c>
      <c r="C59" s="280" t="s">
        <v>48</v>
      </c>
      <c r="D59" s="281">
        <f t="shared" ref="D59:O59" si="9">D45*$B$45/$P$45</f>
        <v>0</v>
      </c>
      <c r="E59" s="281">
        <f t="shared" si="9"/>
        <v>0</v>
      </c>
      <c r="F59" s="281">
        <f t="shared" si="9"/>
        <v>0</v>
      </c>
      <c r="G59" s="281">
        <f t="shared" si="9"/>
        <v>0</v>
      </c>
      <c r="H59" s="281">
        <f t="shared" si="9"/>
        <v>0</v>
      </c>
      <c r="I59" s="281">
        <f t="shared" si="9"/>
        <v>0</v>
      </c>
      <c r="J59" s="281">
        <f t="shared" si="9"/>
        <v>0</v>
      </c>
      <c r="K59" s="281">
        <f t="shared" si="9"/>
        <v>0</v>
      </c>
      <c r="L59" s="281">
        <f t="shared" si="9"/>
        <v>0</v>
      </c>
      <c r="M59" s="281">
        <f t="shared" si="9"/>
        <v>0</v>
      </c>
      <c r="N59" s="281">
        <f t="shared" si="9"/>
        <v>0</v>
      </c>
      <c r="O59" s="281">
        <f t="shared" si="9"/>
        <v>7.0000000000000007E-2</v>
      </c>
      <c r="P59" s="304">
        <f t="shared" si="6"/>
        <v>7.0000000000000007E-2</v>
      </c>
      <c r="Q59" s="315">
        <v>2.5000000000000001E-2</v>
      </c>
      <c r="R59" s="316">
        <f t="shared" si="4"/>
        <v>4.4999999999999998E-2</v>
      </c>
      <c r="S59" s="314"/>
      <c r="T59" s="314"/>
      <c r="U59" s="314"/>
      <c r="V59" s="314"/>
      <c r="W59" s="314"/>
      <c r="X59" s="314"/>
      <c r="Y59" s="314"/>
      <c r="Z59" s="314"/>
      <c r="AA59" s="314"/>
      <c r="AB59" s="314"/>
      <c r="AC59" s="314"/>
      <c r="AD59" s="314"/>
    </row>
    <row r="60" spans="1:30" s="240" customFormat="1" ht="18" hidden="1" customHeight="1">
      <c r="A60" s="590"/>
      <c r="B60" s="602"/>
      <c r="C60" s="282" t="s">
        <v>50</v>
      </c>
      <c r="D60" s="284">
        <f t="shared" ref="D60:O60" si="10">D46*$B$45/$P$45</f>
        <v>0</v>
      </c>
      <c r="E60" s="284">
        <f t="shared" si="10"/>
        <v>0</v>
      </c>
      <c r="F60" s="284">
        <f t="shared" si="10"/>
        <v>0</v>
      </c>
      <c r="G60" s="284">
        <f t="shared" si="10"/>
        <v>0</v>
      </c>
      <c r="H60" s="284">
        <f t="shared" si="10"/>
        <v>0</v>
      </c>
      <c r="I60" s="284">
        <f t="shared" si="10"/>
        <v>0</v>
      </c>
      <c r="J60" s="284">
        <f t="shared" si="10"/>
        <v>0</v>
      </c>
      <c r="K60" s="284">
        <f t="shared" si="10"/>
        <v>0</v>
      </c>
      <c r="L60" s="284">
        <f t="shared" si="10"/>
        <v>0</v>
      </c>
      <c r="M60" s="284">
        <f t="shared" si="10"/>
        <v>0</v>
      </c>
      <c r="N60" s="284">
        <f t="shared" si="10"/>
        <v>0</v>
      </c>
      <c r="O60" s="284">
        <f t="shared" si="10"/>
        <v>7.0000000000000007E-2</v>
      </c>
      <c r="P60" s="305">
        <f t="shared" si="6"/>
        <v>7.0000000000000007E-2</v>
      </c>
      <c r="Q60" s="317">
        <f>+P60</f>
        <v>7.0000000000000007E-2</v>
      </c>
      <c r="R60" s="316">
        <f t="shared" si="4"/>
        <v>0</v>
      </c>
      <c r="S60" s="314"/>
      <c r="T60" s="314"/>
      <c r="U60" s="314"/>
      <c r="V60" s="314"/>
      <c r="W60" s="314"/>
      <c r="X60" s="314"/>
      <c r="Y60" s="314"/>
      <c r="Z60" s="314"/>
      <c r="AA60" s="314"/>
      <c r="AB60" s="314"/>
      <c r="AC60" s="314"/>
      <c r="AD60" s="314"/>
    </row>
    <row r="61" spans="1:30" s="240" customFormat="1" ht="18" hidden="1" customHeight="1">
      <c r="A61" s="589" t="e">
        <f>#REF!</f>
        <v>#REF!</v>
      </c>
      <c r="B61" s="601" t="e">
        <f>#REF!</f>
        <v>#REF!</v>
      </c>
      <c r="C61" s="280" t="s">
        <v>48</v>
      </c>
      <c r="D61" s="281"/>
      <c r="E61" s="281"/>
      <c r="F61" s="281"/>
      <c r="G61" s="281"/>
      <c r="H61" s="281"/>
      <c r="I61" s="281"/>
      <c r="J61" s="281"/>
      <c r="K61" s="281"/>
      <c r="L61" s="281"/>
      <c r="M61" s="281"/>
      <c r="N61" s="281"/>
      <c r="O61" s="281"/>
      <c r="P61" s="304"/>
      <c r="Q61" s="315"/>
      <c r="R61" s="316">
        <f t="shared" si="4"/>
        <v>0</v>
      </c>
      <c r="S61" s="314"/>
      <c r="T61" s="314"/>
      <c r="U61" s="314"/>
      <c r="V61" s="314"/>
      <c r="W61" s="314"/>
      <c r="X61" s="314"/>
      <c r="Y61" s="314"/>
      <c r="Z61" s="314"/>
      <c r="AA61" s="314"/>
      <c r="AB61" s="314"/>
      <c r="AC61" s="314"/>
      <c r="AD61" s="314"/>
    </row>
    <row r="62" spans="1:30" s="240" customFormat="1" ht="18" hidden="1" customHeight="1">
      <c r="A62" s="590"/>
      <c r="B62" s="602"/>
      <c r="C62" s="285" t="s">
        <v>50</v>
      </c>
      <c r="D62" s="286"/>
      <c r="E62" s="286"/>
      <c r="F62" s="286"/>
      <c r="G62" s="286"/>
      <c r="H62" s="286"/>
      <c r="I62" s="286"/>
      <c r="J62" s="286"/>
      <c r="K62" s="286"/>
      <c r="L62" s="286"/>
      <c r="M62" s="286"/>
      <c r="N62" s="286"/>
      <c r="O62" s="286"/>
      <c r="P62" s="306"/>
      <c r="Q62" s="317"/>
      <c r="R62" s="316">
        <f t="shared" si="4"/>
        <v>0</v>
      </c>
      <c r="S62" s="314"/>
      <c r="T62" s="314"/>
      <c r="U62" s="314"/>
      <c r="V62" s="314"/>
      <c r="W62" s="314"/>
      <c r="X62" s="314"/>
      <c r="Y62" s="314"/>
      <c r="Z62" s="314"/>
      <c r="AA62" s="314"/>
      <c r="AB62" s="314"/>
      <c r="AC62" s="314"/>
      <c r="AD62" s="314"/>
    </row>
    <row r="63" spans="1:30" s="240" customFormat="1" ht="14.45" hidden="1">
      <c r="A63" s="591"/>
      <c r="B63" s="603"/>
      <c r="C63" s="287"/>
      <c r="D63" s="281"/>
      <c r="E63" s="281"/>
      <c r="F63" s="281"/>
      <c r="G63" s="281"/>
      <c r="H63" s="281"/>
      <c r="I63" s="281"/>
      <c r="J63" s="281"/>
      <c r="K63" s="281"/>
      <c r="L63" s="281"/>
      <c r="M63" s="281"/>
      <c r="N63" s="281"/>
      <c r="O63" s="281"/>
      <c r="P63" s="307"/>
      <c r="Q63" s="315"/>
      <c r="R63" s="316">
        <f t="shared" si="4"/>
        <v>0</v>
      </c>
      <c r="S63" s="314"/>
      <c r="T63" s="314"/>
      <c r="U63" s="314"/>
      <c r="V63" s="314"/>
      <c r="W63" s="314"/>
      <c r="X63" s="314"/>
      <c r="Y63" s="314"/>
      <c r="Z63" s="314"/>
      <c r="AA63" s="314"/>
      <c r="AB63" s="314"/>
      <c r="AC63" s="314"/>
      <c r="AD63" s="314"/>
    </row>
    <row r="64" spans="1:30" s="240" customFormat="1" ht="14.45" hidden="1">
      <c r="A64" s="592"/>
      <c r="B64" s="604"/>
      <c r="C64" s="287"/>
      <c r="D64" s="288"/>
      <c r="E64" s="288"/>
      <c r="F64" s="288"/>
      <c r="G64" s="288"/>
      <c r="H64" s="288"/>
      <c r="I64" s="288"/>
      <c r="J64" s="288"/>
      <c r="K64" s="288"/>
      <c r="L64" s="288"/>
      <c r="M64" s="288"/>
      <c r="N64" s="288"/>
      <c r="O64" s="288"/>
      <c r="P64" s="307"/>
      <c r="Q64" s="317"/>
      <c r="R64" s="316">
        <f t="shared" si="4"/>
        <v>0</v>
      </c>
      <c r="S64" s="314"/>
      <c r="T64" s="314"/>
      <c r="U64" s="314"/>
      <c r="V64" s="314"/>
      <c r="W64" s="314"/>
      <c r="X64" s="314"/>
      <c r="Y64" s="314"/>
      <c r="Z64" s="314"/>
      <c r="AA64" s="314"/>
      <c r="AB64" s="314"/>
      <c r="AC64" s="314"/>
      <c r="AD64" s="314"/>
    </row>
    <row r="65" spans="1:30" s="240" customFormat="1" ht="14.45" hidden="1">
      <c r="A65" s="591"/>
      <c r="B65" s="603"/>
      <c r="C65" s="287"/>
      <c r="D65" s="281"/>
      <c r="E65" s="281"/>
      <c r="F65" s="281"/>
      <c r="G65" s="281"/>
      <c r="H65" s="281"/>
      <c r="I65" s="281"/>
      <c r="J65" s="281"/>
      <c r="K65" s="281"/>
      <c r="L65" s="281"/>
      <c r="M65" s="281"/>
      <c r="N65" s="281"/>
      <c r="O65" s="281"/>
      <c r="P65" s="307"/>
      <c r="Q65" s="315"/>
      <c r="R65" s="316">
        <f t="shared" si="4"/>
        <v>0</v>
      </c>
      <c r="S65" s="314"/>
      <c r="T65" s="314"/>
      <c r="U65" s="314"/>
      <c r="V65" s="314"/>
      <c r="W65" s="314"/>
      <c r="X65" s="314"/>
      <c r="Y65" s="314"/>
      <c r="Z65" s="314"/>
      <c r="AA65" s="314"/>
      <c r="AB65" s="314"/>
      <c r="AC65" s="314"/>
      <c r="AD65" s="314"/>
    </row>
    <row r="66" spans="1:30" s="240" customFormat="1" ht="14.45" hidden="1">
      <c r="A66" s="592"/>
      <c r="B66" s="604"/>
      <c r="C66" s="287"/>
      <c r="D66" s="288"/>
      <c r="E66" s="288"/>
      <c r="F66" s="288"/>
      <c r="G66" s="288"/>
      <c r="H66" s="288"/>
      <c r="I66" s="288"/>
      <c r="J66" s="288"/>
      <c r="K66" s="288"/>
      <c r="L66" s="288"/>
      <c r="M66" s="288"/>
      <c r="N66" s="288"/>
      <c r="O66" s="288"/>
      <c r="P66" s="307"/>
      <c r="Q66" s="317"/>
      <c r="R66" s="316">
        <f t="shared" si="4"/>
        <v>0</v>
      </c>
      <c r="S66" s="314"/>
      <c r="T66" s="314"/>
      <c r="U66" s="314"/>
      <c r="V66" s="314"/>
      <c r="W66" s="314"/>
      <c r="X66" s="314"/>
      <c r="Y66" s="314"/>
      <c r="Z66" s="314"/>
      <c r="AA66" s="314"/>
      <c r="AB66" s="314"/>
      <c r="AC66" s="314"/>
      <c r="AD66" s="314"/>
    </row>
    <row r="67" spans="1:30" s="240" customFormat="1" ht="14.45" hidden="1">
      <c r="A67" s="591"/>
      <c r="B67" s="603"/>
      <c r="C67" s="287"/>
      <c r="D67" s="281"/>
      <c r="E67" s="281"/>
      <c r="F67" s="281"/>
      <c r="G67" s="281"/>
      <c r="H67" s="281"/>
      <c r="I67" s="281"/>
      <c r="J67" s="281"/>
      <c r="K67" s="281"/>
      <c r="L67" s="281"/>
      <c r="M67" s="281"/>
      <c r="N67" s="281"/>
      <c r="O67" s="281"/>
      <c r="P67" s="307"/>
      <c r="Q67" s="315"/>
      <c r="R67" s="316"/>
      <c r="S67" s="314"/>
      <c r="T67" s="314"/>
      <c r="U67" s="314"/>
      <c r="V67" s="314"/>
      <c r="W67" s="314"/>
      <c r="X67" s="314"/>
      <c r="Y67" s="314"/>
      <c r="Z67" s="314"/>
      <c r="AA67" s="314"/>
      <c r="AB67" s="314"/>
      <c r="AC67" s="314"/>
      <c r="AD67" s="314"/>
    </row>
    <row r="68" spans="1:30" s="240" customFormat="1" ht="14.45" hidden="1">
      <c r="A68" s="592"/>
      <c r="B68" s="604"/>
      <c r="C68" s="287"/>
      <c r="D68" s="288"/>
      <c r="E68" s="288"/>
      <c r="F68" s="288"/>
      <c r="G68" s="288"/>
      <c r="H68" s="288"/>
      <c r="I68" s="288"/>
      <c r="J68" s="288"/>
      <c r="K68" s="288"/>
      <c r="L68" s="288"/>
      <c r="M68" s="288"/>
      <c r="N68" s="288"/>
      <c r="O68" s="288"/>
      <c r="P68" s="307"/>
      <c r="Q68" s="317"/>
      <c r="R68" s="316"/>
      <c r="S68" s="314"/>
      <c r="T68" s="314"/>
      <c r="U68" s="314"/>
      <c r="V68" s="314"/>
      <c r="W68" s="314"/>
      <c r="X68" s="314"/>
      <c r="Y68" s="314"/>
      <c r="Z68" s="314"/>
      <c r="AA68" s="314"/>
      <c r="AB68" s="314"/>
      <c r="AC68" s="314"/>
      <c r="AD68" s="314"/>
    </row>
    <row r="69" spans="1:30" s="240" customFormat="1" ht="14.45" hidden="1">
      <c r="A69" s="313"/>
      <c r="B69" s="338"/>
      <c r="C69" s="339"/>
      <c r="D69" s="340">
        <f t="shared" ref="D69:O69" si="11">D56+D58+D60</f>
        <v>0</v>
      </c>
      <c r="E69" s="340">
        <f t="shared" si="11"/>
        <v>0</v>
      </c>
      <c r="F69" s="340">
        <f t="shared" si="11"/>
        <v>0</v>
      </c>
      <c r="G69" s="340">
        <f t="shared" si="11"/>
        <v>0</v>
      </c>
      <c r="H69" s="340">
        <f t="shared" si="11"/>
        <v>0</v>
      </c>
      <c r="I69" s="340">
        <f t="shared" si="11"/>
        <v>0</v>
      </c>
      <c r="J69" s="340">
        <f t="shared" si="11"/>
        <v>0</v>
      </c>
      <c r="K69" s="340">
        <f t="shared" si="11"/>
        <v>4.4999999999999998E-2</v>
      </c>
      <c r="L69" s="340">
        <f t="shared" si="11"/>
        <v>0.02</v>
      </c>
      <c r="M69" s="340">
        <f t="shared" si="11"/>
        <v>0.02</v>
      </c>
      <c r="N69" s="340">
        <f t="shared" si="11"/>
        <v>4.4999999999999998E-2</v>
      </c>
      <c r="O69" s="340">
        <f t="shared" si="11"/>
        <v>9.0000000000000011E-2</v>
      </c>
      <c r="P69" s="340">
        <f>P56+P58+P60+P62</f>
        <v>0.22000000000000003</v>
      </c>
      <c r="Q69" s="313"/>
      <c r="R69" s="316">
        <f t="shared" si="4"/>
        <v>0.22000000000000003</v>
      </c>
      <c r="S69" s="314"/>
      <c r="T69" s="314"/>
      <c r="U69" s="314"/>
      <c r="V69" s="314"/>
      <c r="W69" s="314"/>
      <c r="X69" s="314"/>
      <c r="Y69" s="314"/>
      <c r="Z69" s="314"/>
      <c r="AA69" s="314"/>
      <c r="AB69" s="314"/>
      <c r="AC69" s="314"/>
      <c r="AD69" s="314"/>
    </row>
    <row r="70" spans="1:30" s="240" customFormat="1" ht="14.45" hidden="1">
      <c r="A70" s="313"/>
      <c r="B70" s="341"/>
      <c r="C70" s="342" t="s">
        <v>50</v>
      </c>
      <c r="D70" s="343">
        <f>D69*1/$B$35</f>
        <v>0</v>
      </c>
      <c r="E70" s="343">
        <f t="shared" ref="E70:O70" si="12">E69*1/$B$35</f>
        <v>0</v>
      </c>
      <c r="F70" s="343">
        <f t="shared" si="12"/>
        <v>0</v>
      </c>
      <c r="G70" s="343">
        <f t="shared" si="12"/>
        <v>0</v>
      </c>
      <c r="H70" s="343">
        <f t="shared" si="12"/>
        <v>0</v>
      </c>
      <c r="I70" s="343">
        <f t="shared" si="12"/>
        <v>0</v>
      </c>
      <c r="J70" s="343">
        <f t="shared" si="12"/>
        <v>0</v>
      </c>
      <c r="K70" s="343">
        <f t="shared" si="12"/>
        <v>0.20454545454545453</v>
      </c>
      <c r="L70" s="343">
        <f t="shared" si="12"/>
        <v>9.0909090909090912E-2</v>
      </c>
      <c r="M70" s="343">
        <f t="shared" si="12"/>
        <v>9.0909090909090912E-2</v>
      </c>
      <c r="N70" s="343">
        <f t="shared" si="12"/>
        <v>0.20454545454545453</v>
      </c>
      <c r="O70" s="343">
        <f t="shared" si="12"/>
        <v>0.40909090909090912</v>
      </c>
      <c r="P70" s="347">
        <f>SUM(D70:O70)</f>
        <v>1</v>
      </c>
      <c r="Q70" s="344"/>
      <c r="R70" s="313"/>
      <c r="S70" s="314"/>
      <c r="T70" s="314"/>
      <c r="U70" s="314"/>
      <c r="V70" s="314"/>
      <c r="W70" s="314"/>
      <c r="X70" s="314"/>
      <c r="Y70" s="314"/>
      <c r="Z70" s="314"/>
      <c r="AA70" s="314"/>
      <c r="AB70" s="314"/>
      <c r="AC70" s="314"/>
      <c r="AD70" s="314"/>
    </row>
    <row r="71" spans="1:30" s="240" customFormat="1" ht="14.45" hidden="1">
      <c r="A71" s="344"/>
      <c r="B71" s="345"/>
      <c r="C71" s="345"/>
      <c r="D71" s="345"/>
      <c r="E71" s="345"/>
      <c r="F71" s="345"/>
      <c r="G71" s="345"/>
      <c r="H71" s="345"/>
      <c r="I71" s="345"/>
      <c r="J71" s="345"/>
      <c r="K71" s="345"/>
      <c r="L71" s="345"/>
      <c r="M71" s="345"/>
      <c r="N71" s="345"/>
      <c r="O71" s="345"/>
      <c r="P71" s="345"/>
      <c r="Q71" s="344"/>
      <c r="R71" s="344"/>
      <c r="S71" s="314"/>
      <c r="T71" s="314"/>
      <c r="U71" s="314"/>
      <c r="V71" s="314"/>
      <c r="W71" s="314"/>
      <c r="X71" s="314"/>
      <c r="Y71" s="314"/>
      <c r="Z71" s="314"/>
      <c r="AA71" s="314"/>
      <c r="AB71" s="314"/>
      <c r="AC71" s="314"/>
      <c r="AD71" s="314"/>
    </row>
    <row r="72" spans="1:30" s="240" customFormat="1" ht="14.45" hidden="1">
      <c r="A72" s="315"/>
      <c r="B72" s="346"/>
      <c r="C72" s="346"/>
      <c r="D72" s="340">
        <f>+D55+D57+D59</f>
        <v>0</v>
      </c>
      <c r="E72" s="340">
        <f t="shared" ref="E72:O72" si="13">+E55+E57+E59</f>
        <v>0</v>
      </c>
      <c r="F72" s="340">
        <f t="shared" si="13"/>
        <v>0</v>
      </c>
      <c r="G72" s="340">
        <f t="shared" si="13"/>
        <v>0</v>
      </c>
      <c r="H72" s="340">
        <f t="shared" si="13"/>
        <v>0</v>
      </c>
      <c r="I72" s="340">
        <f t="shared" si="13"/>
        <v>0</v>
      </c>
      <c r="J72" s="340">
        <f t="shared" si="13"/>
        <v>0</v>
      </c>
      <c r="K72" s="340">
        <f t="shared" si="13"/>
        <v>4.4999999999999998E-2</v>
      </c>
      <c r="L72" s="340">
        <f t="shared" si="13"/>
        <v>0.02</v>
      </c>
      <c r="M72" s="340">
        <f t="shared" si="13"/>
        <v>0.02</v>
      </c>
      <c r="N72" s="340">
        <f t="shared" si="13"/>
        <v>4.4999999999999998E-2</v>
      </c>
      <c r="O72" s="340">
        <f t="shared" si="13"/>
        <v>9.0000000000000011E-2</v>
      </c>
      <c r="P72" s="340">
        <f t="shared" ref="P72" si="14">+P55+P57+P59+P61</f>
        <v>0.22000000000000003</v>
      </c>
      <c r="Q72" s="315"/>
      <c r="R72" s="315"/>
      <c r="S72" s="314"/>
      <c r="T72" s="314"/>
      <c r="U72" s="314"/>
      <c r="V72" s="314"/>
      <c r="W72" s="314"/>
      <c r="X72" s="314"/>
      <c r="Y72" s="314"/>
      <c r="Z72" s="314"/>
      <c r="AA72" s="314"/>
      <c r="AB72" s="314"/>
      <c r="AC72" s="314"/>
      <c r="AD72" s="314"/>
    </row>
    <row r="73" spans="1:30" s="240" customFormat="1" ht="14.45" hidden="1">
      <c r="A73" s="315"/>
      <c r="B73" s="346"/>
      <c r="C73" s="342" t="s">
        <v>48</v>
      </c>
      <c r="D73" s="343">
        <f>D72*1/$B$35</f>
        <v>0</v>
      </c>
      <c r="E73" s="343">
        <f t="shared" ref="E73:O73" si="15">E72*1/$B$35</f>
        <v>0</v>
      </c>
      <c r="F73" s="343">
        <f t="shared" si="15"/>
        <v>0</v>
      </c>
      <c r="G73" s="343">
        <f t="shared" si="15"/>
        <v>0</v>
      </c>
      <c r="H73" s="343">
        <f t="shared" si="15"/>
        <v>0</v>
      </c>
      <c r="I73" s="343">
        <f t="shared" si="15"/>
        <v>0</v>
      </c>
      <c r="J73" s="343">
        <f t="shared" si="15"/>
        <v>0</v>
      </c>
      <c r="K73" s="343">
        <f t="shared" si="15"/>
        <v>0.20454545454545453</v>
      </c>
      <c r="L73" s="343">
        <f t="shared" si="15"/>
        <v>9.0909090909090912E-2</v>
      </c>
      <c r="M73" s="343">
        <f t="shared" si="15"/>
        <v>9.0909090909090912E-2</v>
      </c>
      <c r="N73" s="343">
        <f t="shared" si="15"/>
        <v>0.20454545454545453</v>
      </c>
      <c r="O73" s="343">
        <f t="shared" si="15"/>
        <v>0.40909090909090912</v>
      </c>
      <c r="P73" s="347">
        <f>SUM(D73:O73)</f>
        <v>1</v>
      </c>
      <c r="Q73" s="315"/>
      <c r="R73" s="315"/>
      <c r="S73" s="314"/>
      <c r="T73" s="314"/>
      <c r="U73" s="314"/>
      <c r="V73" s="314"/>
      <c r="W73" s="314"/>
      <c r="X73" s="314"/>
      <c r="Y73" s="314"/>
      <c r="Z73" s="314"/>
      <c r="AA73" s="314"/>
      <c r="AB73" s="314"/>
      <c r="AC73" s="314"/>
      <c r="AD73" s="314"/>
    </row>
    <row r="74" spans="1:30" s="240" customFormat="1" ht="14.45" hidden="1">
      <c r="A74" s="314"/>
      <c r="Q74" s="314"/>
      <c r="R74" s="314"/>
      <c r="S74" s="314"/>
      <c r="T74" s="314"/>
      <c r="U74" s="314"/>
      <c r="V74" s="314"/>
      <c r="W74" s="314"/>
      <c r="X74" s="314"/>
      <c r="Y74" s="314"/>
      <c r="Z74" s="314"/>
      <c r="AA74" s="314"/>
      <c r="AB74" s="314"/>
      <c r="AC74" s="314"/>
      <c r="AD74" s="314"/>
    </row>
    <row r="75" spans="1:30" s="240" customFormat="1" ht="14.45" hidden="1">
      <c r="A75" s="314"/>
      <c r="Q75" s="314"/>
      <c r="R75" s="314"/>
      <c r="S75" s="314"/>
      <c r="T75" s="314"/>
      <c r="U75" s="314"/>
      <c r="V75" s="314"/>
      <c r="W75" s="314"/>
      <c r="X75" s="314"/>
      <c r="Y75" s="314"/>
      <c r="Z75" s="314"/>
      <c r="AA75" s="314"/>
      <c r="AB75" s="314"/>
      <c r="AC75" s="314"/>
      <c r="AD75" s="314"/>
    </row>
    <row r="76" spans="1:30" s="240" customFormat="1" ht="14.45" hidden="1">
      <c r="A76" s="314"/>
      <c r="Q76" s="314"/>
      <c r="R76" s="314"/>
      <c r="S76" s="314"/>
      <c r="T76" s="314"/>
      <c r="U76" s="314"/>
      <c r="V76" s="314"/>
      <c r="W76" s="314"/>
      <c r="X76" s="314"/>
      <c r="Y76" s="314"/>
      <c r="Z76" s="314"/>
      <c r="AA76" s="314"/>
      <c r="AB76" s="314"/>
      <c r="AC76" s="314"/>
      <c r="AD76" s="314"/>
    </row>
    <row r="77" spans="1:30" hidden="1"/>
    <row r="78" spans="1:30" hidden="1"/>
  </sheetData>
  <mergeCells count="96">
    <mergeCell ref="A67:A68"/>
    <mergeCell ref="B33:B34"/>
    <mergeCell ref="B35:B36"/>
    <mergeCell ref="B39:B40"/>
    <mergeCell ref="B41:B42"/>
    <mergeCell ref="B43:B44"/>
    <mergeCell ref="B45:B46"/>
    <mergeCell ref="B53:B54"/>
    <mergeCell ref="B55:B56"/>
    <mergeCell ref="B57:B58"/>
    <mergeCell ref="B59:B60"/>
    <mergeCell ref="B61:B62"/>
    <mergeCell ref="B63:B64"/>
    <mergeCell ref="B65:B66"/>
    <mergeCell ref="B67:B68"/>
    <mergeCell ref="A57:A58"/>
    <mergeCell ref="A59:A60"/>
    <mergeCell ref="A61:A62"/>
    <mergeCell ref="A63:A64"/>
    <mergeCell ref="A65:A66"/>
    <mergeCell ref="A41:A42"/>
    <mergeCell ref="A43:A44"/>
    <mergeCell ref="A45:A46"/>
    <mergeCell ref="A53:A54"/>
    <mergeCell ref="A55:A56"/>
    <mergeCell ref="A1:A4"/>
    <mergeCell ref="A28:A29"/>
    <mergeCell ref="A33:A34"/>
    <mergeCell ref="A35:A36"/>
    <mergeCell ref="A39:A40"/>
    <mergeCell ref="A11:B13"/>
    <mergeCell ref="A7:B9"/>
    <mergeCell ref="B28:C29"/>
    <mergeCell ref="B30:C30"/>
    <mergeCell ref="A19:AE19"/>
    <mergeCell ref="B20:O20"/>
    <mergeCell ref="P20:AE20"/>
    <mergeCell ref="A27:AE27"/>
    <mergeCell ref="D28:O28"/>
    <mergeCell ref="P28:P29"/>
    <mergeCell ref="Q28:X29"/>
    <mergeCell ref="D39:P39"/>
    <mergeCell ref="Q39:AE39"/>
    <mergeCell ref="Q40:X40"/>
    <mergeCell ref="Y40:AE40"/>
    <mergeCell ref="C53:P53"/>
    <mergeCell ref="C39:C40"/>
    <mergeCell ref="Q45:X46"/>
    <mergeCell ref="Y45:AE46"/>
    <mergeCell ref="Q41:X42"/>
    <mergeCell ref="Y41:AE42"/>
    <mergeCell ref="Q43:X44"/>
    <mergeCell ref="Y43:AE44"/>
    <mergeCell ref="Q34:T34"/>
    <mergeCell ref="U34:X34"/>
    <mergeCell ref="Y34:AB34"/>
    <mergeCell ref="AC34:AE34"/>
    <mergeCell ref="A38:AE38"/>
    <mergeCell ref="C33:C34"/>
    <mergeCell ref="AC35:AE36"/>
    <mergeCell ref="Q35:T36"/>
    <mergeCell ref="U35:X36"/>
    <mergeCell ref="Y35:AB36"/>
    <mergeCell ref="Q30:X30"/>
    <mergeCell ref="Y30:AE30"/>
    <mergeCell ref="A32:AE32"/>
    <mergeCell ref="D33:P33"/>
    <mergeCell ref="Q33:AE33"/>
    <mergeCell ref="Y28:AE29"/>
    <mergeCell ref="R15:X15"/>
    <mergeCell ref="Y15:Z15"/>
    <mergeCell ref="AA15:AE15"/>
    <mergeCell ref="C16:AB16"/>
    <mergeCell ref="A17:B17"/>
    <mergeCell ref="C17:AE17"/>
    <mergeCell ref="M9:N9"/>
    <mergeCell ref="O9:P9"/>
    <mergeCell ref="A15:B15"/>
    <mergeCell ref="C15:K15"/>
    <mergeCell ref="L15:Q15"/>
    <mergeCell ref="C7:C9"/>
    <mergeCell ref="C11:AE13"/>
    <mergeCell ref="I7:J9"/>
    <mergeCell ref="K7:L9"/>
    <mergeCell ref="D7:H9"/>
    <mergeCell ref="AB4:AE4"/>
    <mergeCell ref="M7:N7"/>
    <mergeCell ref="O7:P7"/>
    <mergeCell ref="M8:N8"/>
    <mergeCell ref="O8:P8"/>
    <mergeCell ref="B3:AA4"/>
    <mergeCell ref="B1:AA1"/>
    <mergeCell ref="AB1:AE1"/>
    <mergeCell ref="B2:AA2"/>
    <mergeCell ref="AB2:AE2"/>
    <mergeCell ref="AB3:AE3"/>
  </mergeCells>
  <dataValidations count="3">
    <dataValidation type="textLength" operator="lessThanOrEqual" allowBlank="1" showInputMessage="1" showErrorMessage="1" errorTitle="Máximo 2.000 caracteres" error="Máximo 2.000 caracteres" sqref="Q35 Y35 AC35 Q41 Q43 Q45" xr:uid="{00000000-0002-0000-0300-000003000000}">
      <formula1>2000</formula1>
    </dataValidation>
    <dataValidation type="list" allowBlank="1" showInputMessage="1" showErrorMessage="1" sqref="C7:C9" xr:uid="{00000000-0002-0000-0300-000004000000}">
      <formula1>$B$21:$M$21</formula1>
    </dataValidation>
    <dataValidation type="textLength" operator="lessThanOrEqual" allowBlank="1" showInputMessage="1" showErrorMessage="1" errorTitle="Máximo 2.000 caracteres" error="Máximo 2.000 caracteres" promptTitle="2.000 caracteres" sqref="Q30:Q31" xr:uid="{00000000-0002-0000-0300-000005000000}">
      <formula1>2000</formula1>
    </dataValidation>
  </dataValidations>
  <printOptions horizontalCentered="1"/>
  <pageMargins left="0.39370078740157499" right="0.39370078740157499" top="0.39370078740157499" bottom="0.39370078740157499" header="0" footer="0"/>
  <pageSetup scale="20"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listas!$A$2:$A$6</xm:f>
          </x14:formula1>
          <xm:sqref>C15:K15</xm:sqref>
        </x14:dataValidation>
        <x14:dataValidation type="list" allowBlank="1" showInputMessage="1" showErrorMessage="1" xr:uid="{00000000-0002-0000-0300-000001000000}">
          <x14:formula1>
            <xm:f>listas!$B$2:$B$8</xm:f>
          </x14:formula1>
          <xm:sqref>R15:X15</xm:sqref>
        </x14:dataValidation>
        <x14:dataValidation type="list" allowBlank="1" showInputMessage="1" showErrorMessage="1" xr:uid="{00000000-0002-0000-0300-000002000000}">
          <x14:formula1>
            <xm:f>listas!$C$2:$C$20</xm:f>
          </x14:formula1>
          <xm:sqref>AA15:AE15</xm:sqref>
        </x14:dataValidation>
        <x14:dataValidation type="list" allowBlank="1" showInputMessage="1" showErrorMessage="1" xr:uid="{00000000-0002-0000-0300-000006000000}">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theme="7" tint="0.39994506668294322"/>
  </sheetPr>
  <dimension ref="A1:B13"/>
  <sheetViews>
    <sheetView workbookViewId="0">
      <selection activeCell="B3" sqref="B3"/>
    </sheetView>
  </sheetViews>
  <sheetFormatPr defaultColWidth="11.375" defaultRowHeight="14.45"/>
  <sheetData>
    <row r="1" spans="1:2">
      <c r="A1" t="s">
        <v>218</v>
      </c>
      <c r="B1" t="s">
        <v>219</v>
      </c>
    </row>
    <row r="2" spans="1:2">
      <c r="A2" t="s">
        <v>220</v>
      </c>
      <c r="B2" t="s">
        <v>221</v>
      </c>
    </row>
    <row r="3" spans="1:2">
      <c r="A3" t="s">
        <v>222</v>
      </c>
      <c r="B3" t="s">
        <v>223</v>
      </c>
    </row>
    <row r="4" spans="1:2">
      <c r="A4" t="s">
        <v>224</v>
      </c>
    </row>
    <row r="5" spans="1:2">
      <c r="A5" t="s">
        <v>225</v>
      </c>
    </row>
    <row r="6" spans="1:2">
      <c r="A6" t="s">
        <v>226</v>
      </c>
    </row>
    <row r="7" spans="1:2">
      <c r="A7" t="s">
        <v>227</v>
      </c>
    </row>
    <row r="8" spans="1:2">
      <c r="A8" t="s">
        <v>228</v>
      </c>
    </row>
    <row r="9" spans="1:2">
      <c r="A9" t="s">
        <v>229</v>
      </c>
    </row>
    <row r="10" spans="1:2">
      <c r="A10" t="s">
        <v>230</v>
      </c>
    </row>
    <row r="11" spans="1:2">
      <c r="A11" t="s">
        <v>231</v>
      </c>
    </row>
    <row r="12" spans="1:2">
      <c r="A12" t="s">
        <v>232</v>
      </c>
    </row>
    <row r="13" spans="1:2">
      <c r="A13"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tabColor rgb="FFFFFF00"/>
    <pageSetUpPr fitToPage="1"/>
  </sheetPr>
  <dimension ref="A1:AW22"/>
  <sheetViews>
    <sheetView view="pageBreakPreview" topLeftCell="Q15" zoomScale="85" zoomScaleNormal="85" zoomScaleSheetLayoutView="85" workbookViewId="0">
      <selection activeCell="H15" sqref="H15"/>
    </sheetView>
  </sheetViews>
  <sheetFormatPr defaultColWidth="10.875" defaultRowHeight="13.9"/>
  <cols>
    <col min="1" max="1" width="20.625" style="193" customWidth="1"/>
    <col min="2" max="2" width="8.375" style="163" customWidth="1"/>
    <col min="3" max="3" width="11.375" style="163" customWidth="1"/>
    <col min="4" max="5" width="29.375" style="163" customWidth="1"/>
    <col min="6" max="6" width="27.375" style="163" customWidth="1"/>
    <col min="7" max="7" width="20.625" style="163" customWidth="1"/>
    <col min="8" max="8" width="18.875" style="164" customWidth="1"/>
    <col min="9" max="9" width="15.375" style="163" customWidth="1"/>
    <col min="10" max="11" width="21.125" style="163" customWidth="1"/>
    <col min="12" max="15" width="8.625" style="164" customWidth="1"/>
    <col min="16" max="17" width="22.375" style="163" customWidth="1"/>
    <col min="18" max="28" width="7.375" style="163" customWidth="1"/>
    <col min="29" max="29" width="5.875" style="163" customWidth="1"/>
    <col min="30" max="40" width="8.125" style="163" customWidth="1"/>
    <col min="41" max="41" width="5.875" style="163" customWidth="1"/>
    <col min="42" max="42" width="17.125" style="163" customWidth="1"/>
    <col min="43" max="43" width="15.875" style="194" customWidth="1"/>
    <col min="44" max="44" width="62.375" style="193" customWidth="1"/>
    <col min="45" max="45" width="49.625" style="193" customWidth="1"/>
    <col min="46" max="46" width="64.125" style="193" customWidth="1"/>
    <col min="47" max="48" width="24.375" style="193" customWidth="1"/>
    <col min="49" max="49" width="10.875" style="163" hidden="1" customWidth="1"/>
    <col min="50" max="16384" width="10.875" style="163"/>
  </cols>
  <sheetData>
    <row r="1" spans="1:49" ht="15.95" customHeight="1">
      <c r="A1" s="648" t="s">
        <v>121</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649"/>
      <c r="AR1" s="649"/>
      <c r="AS1" s="649"/>
      <c r="AT1" s="650"/>
      <c r="AU1" s="651" t="s">
        <v>122</v>
      </c>
      <c r="AV1" s="652"/>
    </row>
    <row r="2" spans="1:49" ht="15.95" customHeight="1">
      <c r="A2" s="653" t="s">
        <v>123</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5"/>
      <c r="AU2" s="656" t="s">
        <v>124</v>
      </c>
      <c r="AV2" s="657"/>
    </row>
    <row r="3" spans="1:49" ht="15" customHeight="1">
      <c r="A3" s="678" t="s">
        <v>0</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79"/>
      <c r="AQ3" s="679"/>
      <c r="AR3" s="679"/>
      <c r="AS3" s="679"/>
      <c r="AT3" s="680"/>
      <c r="AU3" s="656" t="s">
        <v>126</v>
      </c>
      <c r="AV3" s="657"/>
    </row>
    <row r="4" spans="1:49" ht="15.95" customHeight="1">
      <c r="A4" s="648"/>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50"/>
      <c r="AU4" s="658" t="s">
        <v>234</v>
      </c>
      <c r="AV4" s="658"/>
    </row>
    <row r="5" spans="1:49" ht="15" customHeight="1">
      <c r="A5" s="659" t="s">
        <v>235</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1"/>
      <c r="AD5" s="667" t="s">
        <v>131</v>
      </c>
      <c r="AE5" s="668"/>
      <c r="AF5" s="668"/>
      <c r="AG5" s="668"/>
      <c r="AH5" s="668"/>
      <c r="AI5" s="668"/>
      <c r="AJ5" s="668"/>
      <c r="AK5" s="668"/>
      <c r="AL5" s="668"/>
      <c r="AM5" s="668"/>
      <c r="AN5" s="668"/>
      <c r="AO5" s="668"/>
      <c r="AP5" s="668"/>
      <c r="AQ5" s="669"/>
      <c r="AR5" s="664" t="s">
        <v>104</v>
      </c>
      <c r="AS5" s="664" t="s">
        <v>106</v>
      </c>
      <c r="AT5" s="664" t="s">
        <v>108</v>
      </c>
      <c r="AU5" s="664" t="s">
        <v>110</v>
      </c>
      <c r="AV5" s="664" t="s">
        <v>236</v>
      </c>
    </row>
    <row r="6" spans="1:49" ht="15" customHeight="1">
      <c r="A6" s="663" t="s">
        <v>6</v>
      </c>
      <c r="B6" s="676">
        <v>45664</v>
      </c>
      <c r="C6" s="677"/>
      <c r="D6" s="196" t="s">
        <v>129</v>
      </c>
      <c r="E6" s="178"/>
      <c r="F6" s="197"/>
      <c r="G6" s="198"/>
      <c r="H6" s="199"/>
      <c r="I6" s="210"/>
      <c r="J6" s="210"/>
      <c r="K6" s="210"/>
      <c r="L6" s="199"/>
      <c r="M6" s="199"/>
      <c r="N6" s="199"/>
      <c r="O6" s="199"/>
      <c r="P6" s="210"/>
      <c r="Q6" s="210"/>
      <c r="R6" s="210"/>
      <c r="S6" s="210"/>
      <c r="T6" s="210"/>
      <c r="U6" s="210"/>
      <c r="V6" s="210"/>
      <c r="W6" s="210"/>
      <c r="X6" s="210"/>
      <c r="Y6" s="210"/>
      <c r="Z6" s="210"/>
      <c r="AA6" s="210"/>
      <c r="AB6" s="210"/>
      <c r="AC6" s="217"/>
      <c r="AD6" s="670"/>
      <c r="AE6" s="671"/>
      <c r="AF6" s="671"/>
      <c r="AG6" s="671"/>
      <c r="AH6" s="671"/>
      <c r="AI6" s="671"/>
      <c r="AJ6" s="671"/>
      <c r="AK6" s="671"/>
      <c r="AL6" s="671"/>
      <c r="AM6" s="671"/>
      <c r="AN6" s="671"/>
      <c r="AO6" s="671"/>
      <c r="AP6" s="671"/>
      <c r="AQ6" s="672"/>
      <c r="AR6" s="665"/>
      <c r="AS6" s="665"/>
      <c r="AT6" s="665"/>
      <c r="AU6" s="665"/>
      <c r="AV6" s="665"/>
    </row>
    <row r="7" spans="1:49" ht="15" customHeight="1">
      <c r="A7" s="663"/>
      <c r="B7" s="677"/>
      <c r="C7" s="677"/>
      <c r="D7" s="196" t="s">
        <v>130</v>
      </c>
      <c r="E7" s="178"/>
      <c r="F7" s="200"/>
      <c r="G7" s="201"/>
      <c r="H7" s="202"/>
      <c r="I7" s="211"/>
      <c r="J7" s="211"/>
      <c r="K7" s="211"/>
      <c r="L7" s="202"/>
      <c r="M7" s="202"/>
      <c r="N7" s="202"/>
      <c r="O7" s="202"/>
      <c r="P7" s="211"/>
      <c r="Q7" s="211"/>
      <c r="R7" s="211"/>
      <c r="S7" s="211"/>
      <c r="T7" s="211"/>
      <c r="U7" s="211"/>
      <c r="V7" s="211"/>
      <c r="W7" s="211"/>
      <c r="X7" s="211"/>
      <c r="Y7" s="211"/>
      <c r="Z7" s="211"/>
      <c r="AA7" s="211"/>
      <c r="AB7" s="211"/>
      <c r="AC7" s="218"/>
      <c r="AD7" s="670"/>
      <c r="AE7" s="671"/>
      <c r="AF7" s="671"/>
      <c r="AG7" s="671"/>
      <c r="AH7" s="671"/>
      <c r="AI7" s="671"/>
      <c r="AJ7" s="671"/>
      <c r="AK7" s="671"/>
      <c r="AL7" s="671"/>
      <c r="AM7" s="671"/>
      <c r="AN7" s="671"/>
      <c r="AO7" s="671"/>
      <c r="AP7" s="671"/>
      <c r="AQ7" s="672"/>
      <c r="AR7" s="665"/>
      <c r="AS7" s="665"/>
      <c r="AT7" s="665"/>
      <c r="AU7" s="665"/>
      <c r="AV7" s="665"/>
    </row>
    <row r="8" spans="1:49" ht="15" customHeight="1">
      <c r="A8" s="663"/>
      <c r="B8" s="677"/>
      <c r="C8" s="677"/>
      <c r="D8" s="196" t="s">
        <v>131</v>
      </c>
      <c r="E8" s="178" t="s">
        <v>237</v>
      </c>
      <c r="F8" s="203"/>
      <c r="G8" s="204"/>
      <c r="H8" s="205"/>
      <c r="I8" s="212"/>
      <c r="J8" s="212"/>
      <c r="K8" s="212"/>
      <c r="L8" s="205"/>
      <c r="M8" s="205"/>
      <c r="N8" s="205"/>
      <c r="O8" s="205"/>
      <c r="P8" s="212"/>
      <c r="Q8" s="212"/>
      <c r="R8" s="212"/>
      <c r="S8" s="212"/>
      <c r="T8" s="212"/>
      <c r="U8" s="212"/>
      <c r="V8" s="212"/>
      <c r="W8" s="212"/>
      <c r="X8" s="212"/>
      <c r="Y8" s="212"/>
      <c r="Z8" s="212"/>
      <c r="AA8" s="212"/>
      <c r="AB8" s="212"/>
      <c r="AC8" s="219"/>
      <c r="AD8" s="670"/>
      <c r="AE8" s="671"/>
      <c r="AF8" s="671"/>
      <c r="AG8" s="671"/>
      <c r="AH8" s="671"/>
      <c r="AI8" s="671"/>
      <c r="AJ8" s="671"/>
      <c r="AK8" s="671"/>
      <c r="AL8" s="671"/>
      <c r="AM8" s="671"/>
      <c r="AN8" s="671"/>
      <c r="AO8" s="671"/>
      <c r="AP8" s="671"/>
      <c r="AQ8" s="672"/>
      <c r="AR8" s="665"/>
      <c r="AS8" s="665"/>
      <c r="AT8" s="665"/>
      <c r="AU8" s="665"/>
      <c r="AV8" s="665"/>
    </row>
    <row r="9" spans="1:49" ht="15" customHeight="1">
      <c r="A9" s="659" t="s">
        <v>238</v>
      </c>
      <c r="B9" s="660"/>
      <c r="C9" s="660"/>
      <c r="D9" s="662" t="s">
        <v>239</v>
      </c>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670"/>
      <c r="AE9" s="671"/>
      <c r="AF9" s="671"/>
      <c r="AG9" s="671"/>
      <c r="AH9" s="671"/>
      <c r="AI9" s="671"/>
      <c r="AJ9" s="671"/>
      <c r="AK9" s="671"/>
      <c r="AL9" s="671"/>
      <c r="AM9" s="671"/>
      <c r="AN9" s="671"/>
      <c r="AO9" s="671"/>
      <c r="AP9" s="671"/>
      <c r="AQ9" s="672"/>
      <c r="AR9" s="665"/>
      <c r="AS9" s="665"/>
      <c r="AT9" s="665"/>
      <c r="AU9" s="665"/>
      <c r="AV9" s="665"/>
    </row>
    <row r="10" spans="1:49" ht="15" customHeight="1">
      <c r="A10" s="659" t="s">
        <v>240</v>
      </c>
      <c r="B10" s="660"/>
      <c r="C10" s="660"/>
      <c r="D10" s="662" t="s">
        <v>134</v>
      </c>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73"/>
      <c r="AE10" s="674"/>
      <c r="AF10" s="674"/>
      <c r="AG10" s="674"/>
      <c r="AH10" s="674"/>
      <c r="AI10" s="674"/>
      <c r="AJ10" s="674"/>
      <c r="AK10" s="674"/>
      <c r="AL10" s="674"/>
      <c r="AM10" s="674"/>
      <c r="AN10" s="674"/>
      <c r="AO10" s="674"/>
      <c r="AP10" s="674"/>
      <c r="AQ10" s="675"/>
      <c r="AR10" s="665"/>
      <c r="AS10" s="665"/>
      <c r="AT10" s="665"/>
      <c r="AU10" s="665"/>
      <c r="AV10" s="665"/>
    </row>
    <row r="11" spans="1:49" ht="39.950000000000003" customHeight="1">
      <c r="A11" s="681" t="s">
        <v>74</v>
      </c>
      <c r="B11" s="682"/>
      <c r="C11" s="682"/>
      <c r="D11" s="684" t="s">
        <v>241</v>
      </c>
      <c r="E11" s="684" t="s">
        <v>78</v>
      </c>
      <c r="F11" s="684" t="s">
        <v>80</v>
      </c>
      <c r="G11" s="684" t="s">
        <v>82</v>
      </c>
      <c r="H11" s="684" t="s">
        <v>242</v>
      </c>
      <c r="I11" s="684" t="s">
        <v>86</v>
      </c>
      <c r="J11" s="684" t="s">
        <v>88</v>
      </c>
      <c r="K11" s="684" t="s">
        <v>90</v>
      </c>
      <c r="L11" s="681" t="s">
        <v>92</v>
      </c>
      <c r="M11" s="682"/>
      <c r="N11" s="682"/>
      <c r="O11" s="682"/>
      <c r="P11" s="684" t="s">
        <v>94</v>
      </c>
      <c r="Q11" s="684" t="s">
        <v>96</v>
      </c>
      <c r="R11" s="659" t="s">
        <v>98</v>
      </c>
      <c r="S11" s="660"/>
      <c r="T11" s="660"/>
      <c r="U11" s="660"/>
      <c r="V11" s="660"/>
      <c r="W11" s="660"/>
      <c r="X11" s="660"/>
      <c r="Y11" s="660"/>
      <c r="Z11" s="660"/>
      <c r="AA11" s="660"/>
      <c r="AB11" s="660"/>
      <c r="AC11" s="661"/>
      <c r="AD11" s="659" t="s">
        <v>100</v>
      </c>
      <c r="AE11" s="660"/>
      <c r="AF11" s="660"/>
      <c r="AG11" s="660"/>
      <c r="AH11" s="660"/>
      <c r="AI11" s="660"/>
      <c r="AJ11" s="660"/>
      <c r="AK11" s="660"/>
      <c r="AL11" s="660"/>
      <c r="AM11" s="660"/>
      <c r="AN11" s="660"/>
      <c r="AO11" s="661"/>
      <c r="AP11" s="681" t="s">
        <v>102</v>
      </c>
      <c r="AQ11" s="683"/>
      <c r="AR11" s="665"/>
      <c r="AS11" s="665"/>
      <c r="AT11" s="665"/>
      <c r="AU11" s="665"/>
      <c r="AV11" s="665"/>
    </row>
    <row r="12" spans="1:49" ht="27.6">
      <c r="A12" s="195" t="s">
        <v>243</v>
      </c>
      <c r="B12" s="206" t="s">
        <v>244</v>
      </c>
      <c r="C12" s="206" t="s">
        <v>245</v>
      </c>
      <c r="D12" s="685"/>
      <c r="E12" s="685"/>
      <c r="F12" s="685"/>
      <c r="G12" s="685"/>
      <c r="H12" s="685"/>
      <c r="I12" s="685"/>
      <c r="J12" s="685"/>
      <c r="K12" s="685"/>
      <c r="L12" s="206">
        <v>2024</v>
      </c>
      <c r="M12" s="206">
        <v>2025</v>
      </c>
      <c r="N12" s="206">
        <v>2026</v>
      </c>
      <c r="O12" s="206">
        <v>2027</v>
      </c>
      <c r="P12" s="685"/>
      <c r="Q12" s="685"/>
      <c r="R12" s="168" t="s">
        <v>141</v>
      </c>
      <c r="S12" s="168" t="s">
        <v>142</v>
      </c>
      <c r="T12" s="168" t="s">
        <v>143</v>
      </c>
      <c r="U12" s="168" t="s">
        <v>144</v>
      </c>
      <c r="V12" s="168" t="s">
        <v>145</v>
      </c>
      <c r="W12" s="168" t="s">
        <v>146</v>
      </c>
      <c r="X12" s="168" t="s">
        <v>147</v>
      </c>
      <c r="Y12" s="168" t="s">
        <v>148</v>
      </c>
      <c r="Z12" s="168" t="s">
        <v>149</v>
      </c>
      <c r="AA12" s="168" t="s">
        <v>150</v>
      </c>
      <c r="AB12" s="168" t="s">
        <v>151</v>
      </c>
      <c r="AC12" s="168" t="s">
        <v>128</v>
      </c>
      <c r="AD12" s="168" t="s">
        <v>141</v>
      </c>
      <c r="AE12" s="168" t="s">
        <v>142</v>
      </c>
      <c r="AF12" s="168" t="s">
        <v>143</v>
      </c>
      <c r="AG12" s="168" t="s">
        <v>144</v>
      </c>
      <c r="AH12" s="168" t="s">
        <v>145</v>
      </c>
      <c r="AI12" s="168" t="s">
        <v>146</v>
      </c>
      <c r="AJ12" s="168" t="s">
        <v>147</v>
      </c>
      <c r="AK12" s="168" t="s">
        <v>148</v>
      </c>
      <c r="AL12" s="168" t="s">
        <v>149</v>
      </c>
      <c r="AM12" s="168" t="s">
        <v>150</v>
      </c>
      <c r="AN12" s="168" t="s">
        <v>151</v>
      </c>
      <c r="AO12" s="168" t="s">
        <v>128</v>
      </c>
      <c r="AP12" s="206" t="s">
        <v>246</v>
      </c>
      <c r="AQ12" s="221" t="s">
        <v>247</v>
      </c>
      <c r="AR12" s="666"/>
      <c r="AS12" s="666"/>
      <c r="AT12" s="666"/>
      <c r="AU12" s="666"/>
      <c r="AV12" s="666"/>
    </row>
    <row r="13" spans="1:49" s="164" customFormat="1" ht="158.25" customHeight="1">
      <c r="A13" s="207" t="s">
        <v>248</v>
      </c>
      <c r="B13" s="178">
        <v>9</v>
      </c>
      <c r="C13" s="178">
        <v>1</v>
      </c>
      <c r="D13" s="208" t="s">
        <v>249</v>
      </c>
      <c r="E13" s="208" t="s">
        <v>250</v>
      </c>
      <c r="F13" s="208" t="s">
        <v>251</v>
      </c>
      <c r="G13" s="207" t="s">
        <v>252</v>
      </c>
      <c r="H13" s="207">
        <v>1</v>
      </c>
      <c r="I13" s="207" t="s">
        <v>253</v>
      </c>
      <c r="J13" s="207" t="s">
        <v>254</v>
      </c>
      <c r="K13" s="207" t="s">
        <v>255</v>
      </c>
      <c r="L13" s="213">
        <v>1</v>
      </c>
      <c r="M13" s="213">
        <v>1</v>
      </c>
      <c r="N13" s="213">
        <v>1</v>
      </c>
      <c r="O13" s="213">
        <v>1</v>
      </c>
      <c r="P13" s="214" t="s">
        <v>256</v>
      </c>
      <c r="Q13" s="214" t="s">
        <v>257</v>
      </c>
      <c r="R13" s="216">
        <f>+Meta.1!D35</f>
        <v>0</v>
      </c>
      <c r="S13" s="216">
        <f>+Meta.1!E35</f>
        <v>0</v>
      </c>
      <c r="T13" s="216">
        <f>+Meta.1!F35</f>
        <v>0</v>
      </c>
      <c r="U13" s="216">
        <f>+Meta.1!G35</f>
        <v>0</v>
      </c>
      <c r="V13" s="216">
        <f>+Meta.1!H35</f>
        <v>0</v>
      </c>
      <c r="W13" s="216">
        <f>+Meta.1!I35</f>
        <v>0</v>
      </c>
      <c r="X13" s="216">
        <f>+Meta.1!J35</f>
        <v>0</v>
      </c>
      <c r="Y13" s="216">
        <f>+Meta.1!K35</f>
        <v>4.1025641025640998E-2</v>
      </c>
      <c r="Z13" s="216">
        <f>+Meta.1!L35</f>
        <v>0.256410256410256</v>
      </c>
      <c r="AA13" s="216">
        <f>+Meta.1!M35</f>
        <v>0.16666666666666699</v>
      </c>
      <c r="AB13" s="216">
        <f>+Meta.1!N35</f>
        <v>0</v>
      </c>
      <c r="AC13" s="216">
        <f>+Meta.1!O35</f>
        <v>0.53589743589743599</v>
      </c>
      <c r="AD13" s="220">
        <f>+Meta.1!D36</f>
        <v>0</v>
      </c>
      <c r="AE13" s="220">
        <f>+Meta.1!E36</f>
        <v>0</v>
      </c>
      <c r="AF13" s="220">
        <f>+Meta.1!F36</f>
        <v>0</v>
      </c>
      <c r="AG13" s="220">
        <f>+Meta.1!G36</f>
        <v>0</v>
      </c>
      <c r="AH13" s="220">
        <f>+Meta.1!H36</f>
        <v>0</v>
      </c>
      <c r="AI13" s="220">
        <f>+Meta.1!I36</f>
        <v>0</v>
      </c>
      <c r="AJ13" s="220">
        <f>+Meta.1!J36</f>
        <v>0</v>
      </c>
      <c r="AK13" s="220">
        <f>+Meta.1!K36</f>
        <v>0.29743589743589699</v>
      </c>
      <c r="AL13" s="220">
        <f>+Meta.1!L36</f>
        <v>0</v>
      </c>
      <c r="AM13" s="220">
        <f>+Meta.1!M36</f>
        <v>0.17</v>
      </c>
      <c r="AN13" s="220">
        <f>+Meta.1!N36</f>
        <v>0</v>
      </c>
      <c r="AO13" s="216">
        <v>0.53</v>
      </c>
      <c r="AP13" s="222">
        <f>+AO13+AM13+AK13</f>
        <v>0.997435897435897</v>
      </c>
      <c r="AQ13" s="223">
        <f>+AP13/L13</f>
        <v>0.997435897435897</v>
      </c>
      <c r="AR13" s="224" t="s">
        <v>186</v>
      </c>
      <c r="AS13" s="225" t="s">
        <v>258</v>
      </c>
      <c r="AT13" s="224" t="s">
        <v>259</v>
      </c>
      <c r="AU13" s="226"/>
      <c r="AV13" s="208"/>
      <c r="AW13" s="164" t="s">
        <v>260</v>
      </c>
    </row>
    <row r="14" spans="1:49" s="164" customFormat="1" ht="149.25" customHeight="1">
      <c r="A14" s="207" t="s">
        <v>248</v>
      </c>
      <c r="B14" s="178">
        <v>9</v>
      </c>
      <c r="C14" s="178">
        <v>3</v>
      </c>
      <c r="D14" s="208" t="s">
        <v>249</v>
      </c>
      <c r="E14" s="208" t="s">
        <v>261</v>
      </c>
      <c r="F14" s="208" t="s">
        <v>262</v>
      </c>
      <c r="G14" s="207" t="s">
        <v>263</v>
      </c>
      <c r="H14" s="207">
        <v>1</v>
      </c>
      <c r="I14" s="207" t="s">
        <v>221</v>
      </c>
      <c r="J14" s="207" t="s">
        <v>264</v>
      </c>
      <c r="K14" s="207" t="s">
        <v>255</v>
      </c>
      <c r="L14" s="215">
        <v>1</v>
      </c>
      <c r="M14" s="215">
        <v>2</v>
      </c>
      <c r="N14" s="215">
        <v>2</v>
      </c>
      <c r="O14" s="215">
        <v>1</v>
      </c>
      <c r="P14" s="214" t="s">
        <v>265</v>
      </c>
      <c r="Q14" s="214" t="s">
        <v>257</v>
      </c>
      <c r="R14" s="216">
        <f>+Meta.1!D45</f>
        <v>0</v>
      </c>
      <c r="S14" s="216">
        <f>+Meta.1!E45</f>
        <v>0</v>
      </c>
      <c r="T14" s="216">
        <f>+Meta.1!F45</f>
        <v>0</v>
      </c>
      <c r="U14" s="216">
        <f>+Meta.1!G45</f>
        <v>0</v>
      </c>
      <c r="V14" s="216">
        <f>+Meta.1!H45</f>
        <v>0</v>
      </c>
      <c r="W14" s="216">
        <f>+Meta.1!I45</f>
        <v>0</v>
      </c>
      <c r="X14" s="216">
        <f>+Meta.1!J45</f>
        <v>0</v>
      </c>
      <c r="Y14" s="216">
        <f>+Meta.1!K45</f>
        <v>0</v>
      </c>
      <c r="Z14" s="216">
        <f>+Meta.1!L45</f>
        <v>1</v>
      </c>
      <c r="AA14" s="216">
        <f>+Meta.1!M45</f>
        <v>0</v>
      </c>
      <c r="AB14" s="216">
        <f>+Meta.1!N45</f>
        <v>0</v>
      </c>
      <c r="AC14" s="216">
        <f>+Meta.1!O45</f>
        <v>0</v>
      </c>
      <c r="AD14" s="220">
        <f>+Meta.1!D46</f>
        <v>0</v>
      </c>
      <c r="AE14" s="220">
        <f>+Meta.1!E46</f>
        <v>0</v>
      </c>
      <c r="AF14" s="220">
        <f>+Meta.1!F46</f>
        <v>0</v>
      </c>
      <c r="AG14" s="220">
        <f>+Meta.1!G46</f>
        <v>0</v>
      </c>
      <c r="AH14" s="220">
        <f>+Meta.1!H46</f>
        <v>0</v>
      </c>
      <c r="AI14" s="220">
        <f>+Meta.1!I46</f>
        <v>0</v>
      </c>
      <c r="AJ14" s="220">
        <f>+Meta.1!J46</f>
        <v>0</v>
      </c>
      <c r="AK14" s="220">
        <f>+Meta.1!K46</f>
        <v>1</v>
      </c>
      <c r="AL14" s="220">
        <f>+Meta.1!L46</f>
        <v>0</v>
      </c>
      <c r="AM14" s="220">
        <f>+Meta.1!M46</f>
        <v>0</v>
      </c>
      <c r="AN14" s="220">
        <f>+Meta.1!N46</f>
        <v>0</v>
      </c>
      <c r="AO14" s="220">
        <v>0</v>
      </c>
      <c r="AP14" s="227">
        <f>IF(G14="suma",SUM(AD14:AO14),IF(G14="creciente",MAX(AD14:AO14),IF(G14="DECRECIENTE",O14-MIN(AD14:AO14),IF(G14="CONSTANTE",AVERAGE(AD14:AO14)," "))))</f>
        <v>1</v>
      </c>
      <c r="AQ14" s="223">
        <f>+AP14/L14</f>
        <v>1</v>
      </c>
      <c r="AR14" s="228" t="s">
        <v>266</v>
      </c>
      <c r="AS14" s="229" t="s">
        <v>164</v>
      </c>
      <c r="AT14" s="230" t="s">
        <v>267</v>
      </c>
      <c r="AU14" s="226"/>
      <c r="AV14" s="208"/>
    </row>
    <row r="15" spans="1:49" s="164" customFormat="1" ht="294" customHeight="1">
      <c r="A15" s="207" t="s">
        <v>248</v>
      </c>
      <c r="B15" s="178">
        <v>9</v>
      </c>
      <c r="C15" s="178">
        <v>4</v>
      </c>
      <c r="D15" s="208" t="s">
        <v>268</v>
      </c>
      <c r="E15" s="208" t="s">
        <v>269</v>
      </c>
      <c r="F15" s="208" t="s">
        <v>270</v>
      </c>
      <c r="G15" s="207" t="s">
        <v>263</v>
      </c>
      <c r="H15" s="207">
        <v>9000</v>
      </c>
      <c r="I15" s="207" t="s">
        <v>253</v>
      </c>
      <c r="J15" s="207" t="s">
        <v>271</v>
      </c>
      <c r="K15" s="207" t="s">
        <v>255</v>
      </c>
      <c r="L15" s="213">
        <v>1000</v>
      </c>
      <c r="M15" s="213">
        <v>3000</v>
      </c>
      <c r="N15" s="213">
        <v>3000</v>
      </c>
      <c r="O15" s="213">
        <v>2000</v>
      </c>
      <c r="P15" s="214" t="s">
        <v>272</v>
      </c>
      <c r="Q15" s="214" t="s">
        <v>273</v>
      </c>
      <c r="R15" s="176">
        <f>+Meta.2!D35</f>
        <v>0</v>
      </c>
      <c r="S15" s="176">
        <f>+Meta.2!E35</f>
        <v>0</v>
      </c>
      <c r="T15" s="176">
        <f>+Meta.2!F35</f>
        <v>0</v>
      </c>
      <c r="U15" s="176">
        <f>+Meta.2!G35</f>
        <v>0</v>
      </c>
      <c r="V15" s="176">
        <f>+Meta.2!H35</f>
        <v>0</v>
      </c>
      <c r="W15" s="176">
        <f>+Meta.2!I35</f>
        <v>0</v>
      </c>
      <c r="X15" s="176">
        <f>+Meta.2!J35</f>
        <v>0</v>
      </c>
      <c r="Y15" s="176">
        <f>+Meta.2!K35</f>
        <v>0</v>
      </c>
      <c r="Z15" s="176">
        <f>+Meta.2!L35</f>
        <v>140</v>
      </c>
      <c r="AA15" s="176">
        <f>+Meta.2!M35</f>
        <v>250</v>
      </c>
      <c r="AB15" s="176">
        <f>+Meta.2!N35</f>
        <v>500</v>
      </c>
      <c r="AC15" s="176">
        <f>+Meta.2!O35</f>
        <v>110</v>
      </c>
      <c r="AD15" s="176">
        <f>+Meta.2!D36</f>
        <v>0</v>
      </c>
      <c r="AE15" s="176">
        <f>+Meta.2!E36</f>
        <v>0</v>
      </c>
      <c r="AF15" s="176">
        <f>+Meta.2!F36</f>
        <v>0</v>
      </c>
      <c r="AG15" s="176">
        <f>+Meta.2!G36</f>
        <v>0</v>
      </c>
      <c r="AH15" s="176">
        <f>+Meta.2!H36</f>
        <v>0</v>
      </c>
      <c r="AI15" s="176">
        <f>+Meta.2!I36</f>
        <v>0</v>
      </c>
      <c r="AJ15" s="176">
        <f>+Meta.2!J36</f>
        <v>0</v>
      </c>
      <c r="AK15" s="176">
        <f>+Meta.2!K36</f>
        <v>0</v>
      </c>
      <c r="AL15" s="176">
        <f>+Meta.2!L36</f>
        <v>141</v>
      </c>
      <c r="AM15" s="176">
        <f>+Meta.2!M36</f>
        <v>388</v>
      </c>
      <c r="AN15" s="176">
        <f>+Meta.2!N36</f>
        <v>325</v>
      </c>
      <c r="AO15" s="176">
        <f>+Meta.2!O36</f>
        <v>216</v>
      </c>
      <c r="AP15" s="227">
        <f>IF(G15="suma",SUM(AD15:AO15),IF(G15="creciente",MAX(AD15:AO15),IF(G15="DECRECIENTE",O15-MIN(AD15:AO15),IF(G15="CONSTANTE",AVERAGE(AD15:AO15)," "))))</f>
        <v>1070</v>
      </c>
      <c r="AQ15" s="223">
        <f>+AP15/L15</f>
        <v>1.07</v>
      </c>
      <c r="AR15" s="231" t="s">
        <v>274</v>
      </c>
      <c r="AS15" s="232" t="s">
        <v>275</v>
      </c>
      <c r="AT15" s="224" t="s">
        <v>276</v>
      </c>
      <c r="AU15" s="226"/>
      <c r="AV15" s="208"/>
      <c r="AW15" s="164" t="s">
        <v>277</v>
      </c>
    </row>
    <row r="16" spans="1:49" s="164" customFormat="1" ht="208.5" customHeight="1">
      <c r="A16" s="207" t="s">
        <v>248</v>
      </c>
      <c r="B16" s="178">
        <v>9</v>
      </c>
      <c r="C16" s="178">
        <v>6</v>
      </c>
      <c r="D16" s="208" t="s">
        <v>205</v>
      </c>
      <c r="E16" s="208" t="s">
        <v>278</v>
      </c>
      <c r="F16" s="208" t="s">
        <v>279</v>
      </c>
      <c r="G16" s="207" t="s">
        <v>252</v>
      </c>
      <c r="H16" s="207">
        <v>50</v>
      </c>
      <c r="I16" s="207" t="s">
        <v>253</v>
      </c>
      <c r="J16" s="207" t="s">
        <v>280</v>
      </c>
      <c r="K16" s="207" t="s">
        <v>255</v>
      </c>
      <c r="L16" s="213">
        <v>50</v>
      </c>
      <c r="M16" s="213">
        <v>50</v>
      </c>
      <c r="N16" s="213">
        <v>50</v>
      </c>
      <c r="O16" s="213">
        <v>50</v>
      </c>
      <c r="P16" s="214" t="s">
        <v>272</v>
      </c>
      <c r="Q16" s="214" t="s">
        <v>257</v>
      </c>
      <c r="R16" s="178">
        <v>0</v>
      </c>
      <c r="S16" s="178">
        <v>0</v>
      </c>
      <c r="T16" s="178">
        <v>0</v>
      </c>
      <c r="U16" s="178">
        <v>0</v>
      </c>
      <c r="V16" s="178">
        <v>0</v>
      </c>
      <c r="W16" s="178">
        <v>0</v>
      </c>
      <c r="X16" s="178">
        <v>0</v>
      </c>
      <c r="Y16" s="176">
        <v>50</v>
      </c>
      <c r="Z16" s="176">
        <v>50</v>
      </c>
      <c r="AA16" s="176">
        <v>50</v>
      </c>
      <c r="AB16" s="176">
        <v>50</v>
      </c>
      <c r="AC16" s="176">
        <v>50</v>
      </c>
      <c r="AD16" s="178">
        <v>0</v>
      </c>
      <c r="AE16" s="178">
        <v>0</v>
      </c>
      <c r="AF16" s="178">
        <v>0</v>
      </c>
      <c r="AG16" s="178">
        <v>0</v>
      </c>
      <c r="AH16" s="178">
        <v>0</v>
      </c>
      <c r="AI16" s="178">
        <v>0</v>
      </c>
      <c r="AJ16" s="178">
        <v>0</v>
      </c>
      <c r="AK16" s="176">
        <v>63</v>
      </c>
      <c r="AL16" s="176">
        <v>56</v>
      </c>
      <c r="AM16" s="176">
        <v>58</v>
      </c>
      <c r="AN16" s="176">
        <v>59</v>
      </c>
      <c r="AO16" s="176">
        <v>60</v>
      </c>
      <c r="AP16" s="227">
        <v>50</v>
      </c>
      <c r="AQ16" s="223">
        <f>+AP16/L16</f>
        <v>1</v>
      </c>
      <c r="AR16" s="233" t="s">
        <v>281</v>
      </c>
      <c r="AS16" s="234" t="s">
        <v>282</v>
      </c>
      <c r="AT16" s="235" t="s">
        <v>283</v>
      </c>
      <c r="AU16" s="226"/>
      <c r="AV16" s="208"/>
      <c r="AW16" s="164" t="s">
        <v>284</v>
      </c>
    </row>
    <row r="17" spans="1:48" ht="15.95" customHeight="1">
      <c r="A17" s="209"/>
      <c r="B17" s="178"/>
      <c r="C17" s="178"/>
      <c r="D17" s="170"/>
      <c r="E17" s="170"/>
      <c r="F17" s="170"/>
      <c r="G17" s="207"/>
      <c r="H17" s="178"/>
      <c r="I17" s="207"/>
      <c r="J17" s="170"/>
      <c r="K17" s="170"/>
      <c r="L17" s="178"/>
      <c r="M17" s="178"/>
      <c r="N17" s="178"/>
      <c r="O17" s="178"/>
      <c r="P17" s="178"/>
      <c r="Q17" s="178"/>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t="str">
        <f t="shared" ref="AP17:AP18" si="0">IF(G17="suma",SUM(AD17:AO17),IF(G17="creciente",MAX(AD17:AO17),IF(G17="DECRECIENTE",O17-MIN(AD17:AO17),IF(G17="CONSTANTE",AVERAGE(AD17:AO17)," "))))</f>
        <v/>
      </c>
      <c r="AQ17" s="236" t="str">
        <f>IF(G17="suma",AP17/#REF!,IF(G17="creciente",AP17/(MAX(R17:AC17)),IF(G17="DECRECIENTE",AP17/(O17-(MIN(R17:AC17))),IF(G17="CONSTANTE",AP17/AVERAGE(R17:AC17)," "))))</f>
        <v/>
      </c>
      <c r="AR17" s="237"/>
      <c r="AS17" s="237"/>
      <c r="AT17" s="237"/>
      <c r="AU17" s="237"/>
      <c r="AV17" s="209"/>
    </row>
    <row r="18" spans="1:48" ht="15.95" customHeight="1">
      <c r="A18" s="209"/>
      <c r="B18" s="178"/>
      <c r="C18" s="178"/>
      <c r="D18" s="170"/>
      <c r="E18" s="170"/>
      <c r="F18" s="170"/>
      <c r="G18" s="207"/>
      <c r="H18" s="178"/>
      <c r="I18" s="207"/>
      <c r="J18" s="170"/>
      <c r="K18" s="170"/>
      <c r="L18" s="178"/>
      <c r="M18" s="178"/>
      <c r="N18" s="178"/>
      <c r="O18" s="178"/>
      <c r="P18" s="178"/>
      <c r="Q18" s="178"/>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t="str">
        <f t="shared" si="0"/>
        <v/>
      </c>
      <c r="AQ18" s="236" t="str">
        <f>IF(G18="suma",AP18/#REF!,IF(G18="creciente",AP18/(MAX(R18:AC18)),IF(G18="DECRECIENTE",AP18/(O18-(MIN(R18:AC18))),IF(G18="CONSTANTE",AP18/AVERAGE(R18:AC18)," "))))</f>
        <v/>
      </c>
      <c r="AR18" s="237"/>
      <c r="AS18" s="237"/>
      <c r="AT18" s="237"/>
      <c r="AU18" s="237"/>
      <c r="AV18" s="209"/>
    </row>
    <row r="19" spans="1:48">
      <c r="A19" s="689" t="s">
        <v>193</v>
      </c>
      <c r="B19" s="690"/>
      <c r="C19" s="690"/>
      <c r="D19" s="690"/>
      <c r="E19" s="690"/>
      <c r="F19" s="690"/>
      <c r="G19" s="690"/>
      <c r="H19" s="690"/>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0"/>
      <c r="AG19" s="690"/>
      <c r="AH19" s="690"/>
      <c r="AI19" s="690"/>
      <c r="AJ19" s="690"/>
      <c r="AK19" s="690"/>
      <c r="AL19" s="690"/>
      <c r="AM19" s="690"/>
      <c r="AN19" s="690"/>
      <c r="AO19" s="690"/>
      <c r="AP19" s="690"/>
      <c r="AQ19" s="690"/>
      <c r="AR19" s="690"/>
      <c r="AS19" s="690"/>
      <c r="AT19" s="690"/>
      <c r="AU19" s="690"/>
      <c r="AV19" s="691"/>
    </row>
    <row r="20" spans="1:48" ht="39" customHeight="1">
      <c r="A20" s="692" t="s">
        <v>285</v>
      </c>
      <c r="B20" s="686" t="s">
        <v>286</v>
      </c>
      <c r="C20" s="687"/>
      <c r="D20" s="688"/>
      <c r="E20" s="695" t="s">
        <v>287</v>
      </c>
      <c r="F20" s="696"/>
      <c r="G20" s="696"/>
      <c r="H20" s="696"/>
      <c r="I20" s="696"/>
      <c r="J20" s="696"/>
      <c r="K20" s="696"/>
      <c r="L20" s="697"/>
      <c r="M20" s="686" t="s">
        <v>286</v>
      </c>
      <c r="N20" s="687"/>
      <c r="O20" s="687"/>
      <c r="P20" s="687"/>
      <c r="Q20" s="688"/>
      <c r="R20" s="686" t="s">
        <v>286</v>
      </c>
      <c r="S20" s="687"/>
      <c r="T20" s="687"/>
      <c r="U20" s="687"/>
      <c r="V20" s="687"/>
      <c r="W20" s="687"/>
      <c r="X20" s="687"/>
      <c r="Y20" s="688"/>
      <c r="Z20" s="686" t="s">
        <v>286</v>
      </c>
      <c r="AA20" s="687"/>
      <c r="AB20" s="687"/>
      <c r="AC20" s="687"/>
      <c r="AD20" s="687"/>
      <c r="AE20" s="687"/>
      <c r="AF20" s="687"/>
      <c r="AG20" s="687"/>
      <c r="AH20" s="687"/>
      <c r="AI20" s="687"/>
      <c r="AJ20" s="687"/>
      <c r="AK20" s="688"/>
      <c r="AL20" s="695" t="s">
        <v>288</v>
      </c>
      <c r="AM20" s="696"/>
      <c r="AN20" s="696"/>
      <c r="AO20" s="697"/>
      <c r="AP20" s="686" t="s">
        <v>289</v>
      </c>
      <c r="AQ20" s="687"/>
      <c r="AR20" s="687"/>
      <c r="AS20" s="687"/>
      <c r="AT20" s="687"/>
      <c r="AU20" s="687"/>
      <c r="AV20" s="688"/>
    </row>
    <row r="21" spans="1:48" ht="56.1" customHeight="1">
      <c r="A21" s="693"/>
      <c r="B21" s="704" t="s">
        <v>290</v>
      </c>
      <c r="C21" s="705"/>
      <c r="D21" s="706"/>
      <c r="E21" s="698"/>
      <c r="F21" s="699"/>
      <c r="G21" s="699"/>
      <c r="H21" s="699"/>
      <c r="I21" s="699"/>
      <c r="J21" s="699"/>
      <c r="K21" s="699"/>
      <c r="L21" s="700"/>
      <c r="M21" s="686" t="s">
        <v>291</v>
      </c>
      <c r="N21" s="687"/>
      <c r="O21" s="687"/>
      <c r="P21" s="687"/>
      <c r="Q21" s="688"/>
      <c r="R21" s="686" t="s">
        <v>292</v>
      </c>
      <c r="S21" s="687"/>
      <c r="T21" s="687"/>
      <c r="U21" s="687"/>
      <c r="V21" s="687"/>
      <c r="W21" s="687"/>
      <c r="X21" s="687"/>
      <c r="Y21" s="688"/>
      <c r="Z21" s="686" t="s">
        <v>292</v>
      </c>
      <c r="AA21" s="687"/>
      <c r="AB21" s="687"/>
      <c r="AC21" s="687"/>
      <c r="AD21" s="687"/>
      <c r="AE21" s="687"/>
      <c r="AF21" s="687"/>
      <c r="AG21" s="687"/>
      <c r="AH21" s="687"/>
      <c r="AI21" s="687"/>
      <c r="AJ21" s="687"/>
      <c r="AK21" s="688"/>
      <c r="AL21" s="698"/>
      <c r="AM21" s="699"/>
      <c r="AN21" s="699"/>
      <c r="AO21" s="700"/>
      <c r="AP21" s="686" t="s">
        <v>293</v>
      </c>
      <c r="AQ21" s="687"/>
      <c r="AR21" s="687"/>
      <c r="AS21" s="687"/>
      <c r="AT21" s="687"/>
      <c r="AU21" s="687"/>
      <c r="AV21" s="688"/>
    </row>
    <row r="22" spans="1:48" ht="41.45" customHeight="1">
      <c r="A22" s="694"/>
      <c r="B22" s="686" t="s">
        <v>294</v>
      </c>
      <c r="C22" s="687"/>
      <c r="D22" s="688"/>
      <c r="E22" s="701"/>
      <c r="F22" s="702"/>
      <c r="G22" s="702"/>
      <c r="H22" s="702"/>
      <c r="I22" s="702"/>
      <c r="J22" s="702"/>
      <c r="K22" s="702"/>
      <c r="L22" s="703"/>
      <c r="M22" s="686" t="s">
        <v>295</v>
      </c>
      <c r="N22" s="687"/>
      <c r="O22" s="687"/>
      <c r="P22" s="687"/>
      <c r="Q22" s="688"/>
      <c r="R22" s="686" t="s">
        <v>296</v>
      </c>
      <c r="S22" s="687"/>
      <c r="T22" s="687"/>
      <c r="U22" s="687"/>
      <c r="V22" s="687"/>
      <c r="W22" s="687"/>
      <c r="X22" s="687"/>
      <c r="Y22" s="688"/>
      <c r="Z22" s="686" t="s">
        <v>296</v>
      </c>
      <c r="AA22" s="687"/>
      <c r="AB22" s="687"/>
      <c r="AC22" s="687"/>
      <c r="AD22" s="687"/>
      <c r="AE22" s="687"/>
      <c r="AF22" s="687"/>
      <c r="AG22" s="687"/>
      <c r="AH22" s="687"/>
      <c r="AI22" s="687"/>
      <c r="AJ22" s="687"/>
      <c r="AK22" s="688"/>
      <c r="AL22" s="701"/>
      <c r="AM22" s="702"/>
      <c r="AN22" s="702"/>
      <c r="AO22" s="703"/>
      <c r="AP22" s="686" t="s">
        <v>297</v>
      </c>
      <c r="AQ22" s="687"/>
      <c r="AR22" s="687"/>
      <c r="AS22" s="687"/>
      <c r="AT22" s="687"/>
      <c r="AU22" s="687"/>
      <c r="AV22" s="688"/>
    </row>
  </sheetData>
  <mergeCells count="54">
    <mergeCell ref="AP21:AV21"/>
    <mergeCell ref="A19:AV19"/>
    <mergeCell ref="B20:D20"/>
    <mergeCell ref="M20:Q20"/>
    <mergeCell ref="R20:Y20"/>
    <mergeCell ref="Z20:AK20"/>
    <mergeCell ref="AP20:AV20"/>
    <mergeCell ref="A20:A22"/>
    <mergeCell ref="B22:D22"/>
    <mergeCell ref="M22:Q22"/>
    <mergeCell ref="R22:Y22"/>
    <mergeCell ref="Z22:AK22"/>
    <mergeCell ref="AP22:AV22"/>
    <mergeCell ref="E20:L22"/>
    <mergeCell ref="AL20:AO22"/>
    <mergeCell ref="B21:D21"/>
    <mergeCell ref="M21:Q21"/>
    <mergeCell ref="L11:O11"/>
    <mergeCell ref="R11:AC11"/>
    <mergeCell ref="AD11:AO11"/>
    <mergeCell ref="R21:Y21"/>
    <mergeCell ref="Z21:AK21"/>
    <mergeCell ref="AP11:AQ11"/>
    <mergeCell ref="D11:D12"/>
    <mergeCell ref="E11:E12"/>
    <mergeCell ref="F11:F12"/>
    <mergeCell ref="G11:G12"/>
    <mergeCell ref="H11:H12"/>
    <mergeCell ref="I11:I12"/>
    <mergeCell ref="J11:J12"/>
    <mergeCell ref="K11:K12"/>
    <mergeCell ref="P11:P12"/>
    <mergeCell ref="Q11:Q12"/>
    <mergeCell ref="AU4:AV4"/>
    <mergeCell ref="A5:AC5"/>
    <mergeCell ref="A9:C9"/>
    <mergeCell ref="D9:AC9"/>
    <mergeCell ref="A10:C10"/>
    <mergeCell ref="D10:AC10"/>
    <mergeCell ref="A6:A8"/>
    <mergeCell ref="AR5:AR12"/>
    <mergeCell ref="AS5:AS12"/>
    <mergeCell ref="AT5:AT12"/>
    <mergeCell ref="AU5:AU12"/>
    <mergeCell ref="AV5:AV12"/>
    <mergeCell ref="AD5:AQ10"/>
    <mergeCell ref="B6:C8"/>
    <mergeCell ref="A3:AT4"/>
    <mergeCell ref="A11:C11"/>
    <mergeCell ref="A1:AT1"/>
    <mergeCell ref="AU1:AV1"/>
    <mergeCell ref="A2:AT2"/>
    <mergeCell ref="AU2:AV2"/>
    <mergeCell ref="AU3:AV3"/>
  </mergeCells>
  <printOptions horizontalCentered="1"/>
  <pageMargins left="0.39370078740157499" right="0.39370078740157499" top="0.39370078740157499" bottom="0.39370078740157499" header="0" footer="0"/>
  <pageSetup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Drop Down 35">
              <controlPr defaultSize="0" print="0" autoPict="0">
                <anchor moveWithCells="1" sizeWithCells="1">
                  <from>
                    <xdr:col>47</xdr:col>
                    <xdr:colOff>0</xdr:colOff>
                    <xdr:row>12</xdr:row>
                    <xdr:rowOff>0</xdr:rowOff>
                  </from>
                  <to>
                    <xdr:col>48</xdr:col>
                    <xdr:colOff>0</xdr:colOff>
                    <xdr:row>12</xdr:row>
                    <xdr:rowOff>0</xdr:rowOff>
                  </to>
                </anchor>
              </controlPr>
            </control>
          </mc:Choice>
        </mc:AlternateContent>
        <mc:AlternateContent xmlns:mc="http://schemas.openxmlformats.org/markup-compatibility/2006">
          <mc:Choice Requires="x14">
            <control shapeId="75812" r:id="rId5" name="Drop Down 36">
              <controlPr defaultSize="0" print="0" autoPict="0">
                <anchor moveWithCells="1" sizeWithCells="1">
                  <from>
                    <xdr:col>41</xdr:col>
                    <xdr:colOff>0</xdr:colOff>
                    <xdr:row>2</xdr:row>
                    <xdr:rowOff>0</xdr:rowOff>
                  </from>
                  <to>
                    <xdr:col>48</xdr:col>
                    <xdr:colOff>0</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listas!$A$3:$A$6</xm:f>
          </x14:formula1>
          <xm:sqref>D10:AC10</xm:sqref>
        </x14:dataValidation>
        <x14:dataValidation type="list" allowBlank="1" showInputMessage="1" showErrorMessage="1" xr:uid="{00000000-0002-0000-0500-000001000000}">
          <x14:formula1>
            <xm:f>listas!$H$2:$H$5</xm:f>
          </x14:formula1>
          <xm:sqref>G13:G18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4506668294322"/>
    <pageSetUpPr fitToPage="1"/>
  </sheetPr>
  <dimension ref="A1:BK42"/>
  <sheetViews>
    <sheetView view="pageBreakPreview" zoomScale="70" zoomScaleNormal="70" workbookViewId="0">
      <selection activeCell="S39" sqref="S39"/>
    </sheetView>
  </sheetViews>
  <sheetFormatPr defaultColWidth="19.375" defaultRowHeight="13.9"/>
  <cols>
    <col min="1" max="1" width="29.625" style="163" customWidth="1"/>
    <col min="2" max="10" width="11" style="163" customWidth="1"/>
    <col min="11" max="12" width="11" style="164" customWidth="1"/>
    <col min="13" max="13" width="18.625" style="164" customWidth="1"/>
    <col min="14" max="16" width="11" style="164" customWidth="1"/>
    <col min="17" max="17" width="18.625" style="163" customWidth="1"/>
    <col min="18" max="18" width="12.125" style="163" customWidth="1"/>
    <col min="19" max="19" width="20.625" style="163" customWidth="1"/>
    <col min="20" max="23" width="8.125" style="163" customWidth="1"/>
    <col min="24" max="24" width="9.375" style="163" customWidth="1"/>
    <col min="25" max="25" width="8.125" style="163" customWidth="1"/>
    <col min="26" max="30" width="7.875" style="163" customWidth="1"/>
    <col min="31" max="31" width="11.375" style="163" customWidth="1"/>
    <col min="32" max="32" width="2.375" style="163" customWidth="1"/>
    <col min="33" max="33" width="19.375" style="163" customWidth="1"/>
    <col min="34" max="34" width="11.125" style="163" customWidth="1"/>
    <col min="35" max="44" width="11.375" style="163" customWidth="1"/>
    <col min="45" max="45" width="25.125" style="163" customWidth="1"/>
    <col min="46" max="50" width="11.375" style="163" customWidth="1"/>
    <col min="51" max="51" width="20.875" style="163" customWidth="1"/>
    <col min="52" max="63" width="8.875" style="163" customWidth="1"/>
    <col min="64" max="16384" width="19.375" style="163"/>
  </cols>
  <sheetData>
    <row r="1" spans="1:63" ht="15.95" customHeight="1">
      <c r="A1" s="677" t="s">
        <v>121</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707" t="s">
        <v>298</v>
      </c>
      <c r="BJ1" s="707"/>
      <c r="BK1" s="707"/>
    </row>
    <row r="2" spans="1:63" ht="15.95" customHeight="1">
      <c r="A2" s="677" t="s">
        <v>123</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c r="BA2" s="677"/>
      <c r="BB2" s="677"/>
      <c r="BC2" s="677"/>
      <c r="BD2" s="677"/>
      <c r="BE2" s="677"/>
      <c r="BF2" s="677"/>
      <c r="BG2" s="677"/>
      <c r="BH2" s="677"/>
      <c r="BI2" s="707" t="s">
        <v>124</v>
      </c>
      <c r="BJ2" s="707"/>
      <c r="BK2" s="707"/>
    </row>
    <row r="3" spans="1:63" ht="26.1" customHeight="1">
      <c r="A3" s="677" t="s">
        <v>299</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c r="BI3" s="707" t="s">
        <v>126</v>
      </c>
      <c r="BJ3" s="707"/>
      <c r="BK3" s="707"/>
    </row>
    <row r="4" spans="1:63" ht="15.95" customHeight="1">
      <c r="A4" s="677" t="s">
        <v>300</v>
      </c>
      <c r="B4" s="677"/>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c r="AZ4" s="677"/>
      <c r="BA4" s="677"/>
      <c r="BB4" s="677"/>
      <c r="BC4" s="677"/>
      <c r="BD4" s="677"/>
      <c r="BE4" s="677"/>
      <c r="BF4" s="677"/>
      <c r="BG4" s="677"/>
      <c r="BH4" s="677"/>
      <c r="BI4" s="708" t="s">
        <v>301</v>
      </c>
      <c r="BJ4" s="709"/>
      <c r="BK4" s="710"/>
    </row>
    <row r="5" spans="1:63" ht="26.1" customHeight="1">
      <c r="A5" s="711" t="s">
        <v>235</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G5" s="711" t="s">
        <v>302</v>
      </c>
      <c r="AH5" s="711"/>
      <c r="AI5" s="711"/>
      <c r="AJ5" s="711"/>
      <c r="AK5" s="711"/>
      <c r="AL5" s="711"/>
      <c r="AM5" s="711"/>
      <c r="AN5" s="711"/>
      <c r="AO5" s="711"/>
      <c r="AP5" s="711"/>
      <c r="AQ5" s="711"/>
      <c r="AR5" s="711"/>
      <c r="AS5" s="711"/>
      <c r="AT5" s="711"/>
      <c r="AU5" s="711"/>
      <c r="AV5" s="711"/>
      <c r="AW5" s="711"/>
      <c r="AX5" s="711"/>
      <c r="AY5" s="711"/>
      <c r="AZ5" s="711"/>
      <c r="BA5" s="711"/>
      <c r="BB5" s="711"/>
      <c r="BC5" s="711"/>
      <c r="BD5" s="711"/>
      <c r="BE5" s="711"/>
      <c r="BF5" s="711"/>
      <c r="BG5" s="711"/>
      <c r="BH5" s="711"/>
      <c r="BI5" s="712"/>
      <c r="BJ5" s="712"/>
      <c r="BK5" s="712"/>
    </row>
    <row r="6" spans="1:63" ht="31.5" customHeight="1">
      <c r="A6" s="165" t="s">
        <v>303</v>
      </c>
      <c r="B6" s="713">
        <v>45601</v>
      </c>
      <c r="C6" s="714"/>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714"/>
      <c r="AQ6" s="714"/>
      <c r="AR6" s="714"/>
      <c r="AS6" s="714"/>
      <c r="AT6" s="714"/>
      <c r="AU6" s="714"/>
      <c r="AV6" s="714"/>
      <c r="AW6" s="714"/>
      <c r="AX6" s="714"/>
      <c r="AY6" s="714"/>
      <c r="AZ6" s="714"/>
      <c r="BA6" s="714"/>
      <c r="BB6" s="714"/>
      <c r="BC6" s="714"/>
      <c r="BD6" s="714"/>
      <c r="BE6" s="714"/>
      <c r="BF6" s="714"/>
      <c r="BG6" s="714"/>
      <c r="BH6" s="714"/>
      <c r="BI6" s="714"/>
      <c r="BJ6" s="714"/>
      <c r="BK6" s="714"/>
    </row>
    <row r="7" spans="1:63" ht="31.5" customHeight="1">
      <c r="A7" s="166" t="s">
        <v>304</v>
      </c>
      <c r="B7" s="715" t="s">
        <v>305</v>
      </c>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6"/>
      <c r="AL7" s="716"/>
      <c r="AM7" s="716"/>
      <c r="AN7" s="716"/>
      <c r="AO7" s="716"/>
      <c r="AP7" s="716"/>
      <c r="AQ7" s="716"/>
      <c r="AR7" s="716"/>
      <c r="AS7" s="716"/>
      <c r="AT7" s="716"/>
      <c r="AU7" s="716"/>
      <c r="AV7" s="716"/>
      <c r="AW7" s="716"/>
      <c r="AX7" s="716"/>
      <c r="AY7" s="716"/>
      <c r="AZ7" s="716"/>
      <c r="BA7" s="716"/>
      <c r="BB7" s="716"/>
      <c r="BC7" s="716"/>
      <c r="BD7" s="716"/>
      <c r="BE7" s="716"/>
      <c r="BF7" s="716"/>
      <c r="BG7" s="716"/>
      <c r="BH7" s="716"/>
      <c r="BI7" s="716"/>
      <c r="BJ7" s="716"/>
      <c r="BK7" s="717"/>
    </row>
    <row r="8" spans="1:63" ht="18.75" customHeight="1">
      <c r="A8" s="167"/>
      <c r="B8" s="167"/>
      <c r="C8" s="167"/>
      <c r="D8" s="167"/>
      <c r="E8" s="167"/>
      <c r="F8" s="167"/>
      <c r="G8" s="167"/>
      <c r="H8" s="167"/>
      <c r="I8" s="167"/>
      <c r="J8" s="167"/>
      <c r="K8" s="175"/>
      <c r="L8" s="175"/>
      <c r="M8" s="175"/>
      <c r="N8" s="175"/>
      <c r="O8" s="175"/>
      <c r="P8" s="175"/>
      <c r="Q8" s="175"/>
      <c r="R8" s="175"/>
      <c r="S8" s="175"/>
      <c r="T8" s="175"/>
      <c r="U8" s="175"/>
      <c r="V8" s="175"/>
      <c r="W8" s="175"/>
      <c r="X8" s="175"/>
      <c r="Y8" s="175"/>
      <c r="Z8" s="175"/>
      <c r="AA8" s="175"/>
      <c r="AB8" s="175"/>
      <c r="AC8" s="175"/>
      <c r="AD8" s="175"/>
      <c r="AE8" s="175"/>
      <c r="AG8" s="167"/>
      <c r="AH8" s="175"/>
      <c r="AI8" s="175"/>
      <c r="AJ8" s="175"/>
      <c r="AK8" s="175"/>
      <c r="AL8" s="175"/>
      <c r="AM8" s="175"/>
      <c r="AN8" s="175"/>
      <c r="AO8" s="175"/>
    </row>
    <row r="9" spans="1:63" ht="30" customHeight="1">
      <c r="A9" s="684" t="s">
        <v>306</v>
      </c>
      <c r="B9" s="169" t="s">
        <v>141</v>
      </c>
      <c r="C9" s="169" t="s">
        <v>142</v>
      </c>
      <c r="D9" s="681" t="s">
        <v>143</v>
      </c>
      <c r="E9" s="683"/>
      <c r="F9" s="169" t="s">
        <v>144</v>
      </c>
      <c r="G9" s="169" t="s">
        <v>145</v>
      </c>
      <c r="H9" s="681" t="s">
        <v>146</v>
      </c>
      <c r="I9" s="683"/>
      <c r="J9" s="169" t="s">
        <v>147</v>
      </c>
      <c r="K9" s="169" t="s">
        <v>148</v>
      </c>
      <c r="L9" s="681" t="s">
        <v>149</v>
      </c>
      <c r="M9" s="683"/>
      <c r="N9" s="169" t="s">
        <v>150</v>
      </c>
      <c r="O9" s="169" t="s">
        <v>151</v>
      </c>
      <c r="P9" s="681" t="s">
        <v>128</v>
      </c>
      <c r="Q9" s="683"/>
      <c r="R9" s="681" t="s">
        <v>307</v>
      </c>
      <c r="S9" s="683"/>
      <c r="T9" s="681" t="s">
        <v>308</v>
      </c>
      <c r="U9" s="682"/>
      <c r="V9" s="682"/>
      <c r="W9" s="682"/>
      <c r="X9" s="682"/>
      <c r="Y9" s="683"/>
      <c r="Z9" s="681" t="s">
        <v>309</v>
      </c>
      <c r="AA9" s="682"/>
      <c r="AB9" s="682"/>
      <c r="AC9" s="682"/>
      <c r="AD9" s="682"/>
      <c r="AE9" s="683"/>
      <c r="AG9" s="684" t="s">
        <v>306</v>
      </c>
      <c r="AH9" s="169" t="s">
        <v>141</v>
      </c>
      <c r="AI9" s="169" t="s">
        <v>142</v>
      </c>
      <c r="AJ9" s="681" t="s">
        <v>143</v>
      </c>
      <c r="AK9" s="683"/>
      <c r="AL9" s="169" t="s">
        <v>144</v>
      </c>
      <c r="AM9" s="169" t="s">
        <v>145</v>
      </c>
      <c r="AN9" s="681" t="s">
        <v>146</v>
      </c>
      <c r="AO9" s="683"/>
      <c r="AP9" s="169" t="s">
        <v>147</v>
      </c>
      <c r="AQ9" s="169" t="s">
        <v>148</v>
      </c>
      <c r="AR9" s="681" t="s">
        <v>149</v>
      </c>
      <c r="AS9" s="683"/>
      <c r="AT9" s="169" t="s">
        <v>150</v>
      </c>
      <c r="AU9" s="169" t="s">
        <v>151</v>
      </c>
      <c r="AV9" s="681" t="s">
        <v>128</v>
      </c>
      <c r="AW9" s="683"/>
      <c r="AX9" s="681" t="s">
        <v>307</v>
      </c>
      <c r="AY9" s="683"/>
      <c r="AZ9" s="681" t="s">
        <v>308</v>
      </c>
      <c r="BA9" s="682"/>
      <c r="BB9" s="682"/>
      <c r="BC9" s="682"/>
      <c r="BD9" s="682"/>
      <c r="BE9" s="683"/>
      <c r="BF9" s="681" t="s">
        <v>309</v>
      </c>
      <c r="BG9" s="682"/>
      <c r="BH9" s="682"/>
      <c r="BI9" s="682"/>
      <c r="BJ9" s="682"/>
      <c r="BK9" s="683"/>
    </row>
    <row r="10" spans="1:63" ht="36" customHeight="1">
      <c r="A10" s="685"/>
      <c r="B10" s="168" t="s">
        <v>310</v>
      </c>
      <c r="C10" s="168" t="s">
        <v>310</v>
      </c>
      <c r="D10" s="168" t="s">
        <v>310</v>
      </c>
      <c r="E10" s="168" t="s">
        <v>311</v>
      </c>
      <c r="F10" s="168" t="s">
        <v>310</v>
      </c>
      <c r="G10" s="168" t="s">
        <v>310</v>
      </c>
      <c r="H10" s="168" t="s">
        <v>310</v>
      </c>
      <c r="I10" s="168" t="s">
        <v>311</v>
      </c>
      <c r="J10" s="168" t="s">
        <v>310</v>
      </c>
      <c r="K10" s="168" t="s">
        <v>310</v>
      </c>
      <c r="L10" s="168" t="s">
        <v>310</v>
      </c>
      <c r="M10" s="168" t="s">
        <v>311</v>
      </c>
      <c r="N10" s="168" t="s">
        <v>310</v>
      </c>
      <c r="O10" s="168" t="s">
        <v>310</v>
      </c>
      <c r="P10" s="168" t="s">
        <v>310</v>
      </c>
      <c r="Q10" s="168" t="s">
        <v>311</v>
      </c>
      <c r="R10" s="168" t="s">
        <v>310</v>
      </c>
      <c r="S10" s="168" t="s">
        <v>311</v>
      </c>
      <c r="T10" s="179" t="s">
        <v>312</v>
      </c>
      <c r="U10" s="179" t="s">
        <v>313</v>
      </c>
      <c r="V10" s="179" t="s">
        <v>314</v>
      </c>
      <c r="W10" s="179" t="s">
        <v>315</v>
      </c>
      <c r="X10" s="180" t="s">
        <v>316</v>
      </c>
      <c r="Y10" s="179" t="s">
        <v>317</v>
      </c>
      <c r="Z10" s="168" t="s">
        <v>318</v>
      </c>
      <c r="AA10" s="185" t="s">
        <v>319</v>
      </c>
      <c r="AB10" s="168" t="s">
        <v>320</v>
      </c>
      <c r="AC10" s="168" t="s">
        <v>321</v>
      </c>
      <c r="AD10" s="168" t="s">
        <v>322</v>
      </c>
      <c r="AE10" s="168" t="s">
        <v>323</v>
      </c>
      <c r="AG10" s="685"/>
      <c r="AH10" s="168" t="s">
        <v>310</v>
      </c>
      <c r="AI10" s="168" t="s">
        <v>310</v>
      </c>
      <c r="AJ10" s="168" t="s">
        <v>310</v>
      </c>
      <c r="AK10" s="168" t="s">
        <v>311</v>
      </c>
      <c r="AL10" s="168" t="s">
        <v>310</v>
      </c>
      <c r="AM10" s="168" t="s">
        <v>310</v>
      </c>
      <c r="AN10" s="168" t="s">
        <v>310</v>
      </c>
      <c r="AO10" s="168" t="s">
        <v>311</v>
      </c>
      <c r="AP10" s="168" t="s">
        <v>310</v>
      </c>
      <c r="AQ10" s="168" t="s">
        <v>310</v>
      </c>
      <c r="AR10" s="168" t="s">
        <v>310</v>
      </c>
      <c r="AS10" s="168" t="s">
        <v>311</v>
      </c>
      <c r="AT10" s="168" t="s">
        <v>310</v>
      </c>
      <c r="AU10" s="168" t="s">
        <v>310</v>
      </c>
      <c r="AV10" s="168" t="s">
        <v>310</v>
      </c>
      <c r="AW10" s="168" t="s">
        <v>311</v>
      </c>
      <c r="AX10" s="168" t="s">
        <v>310</v>
      </c>
      <c r="AY10" s="168" t="s">
        <v>311</v>
      </c>
      <c r="AZ10" s="179" t="s">
        <v>312</v>
      </c>
      <c r="BA10" s="179" t="s">
        <v>313</v>
      </c>
      <c r="BB10" s="179" t="s">
        <v>314</v>
      </c>
      <c r="BC10" s="179" t="s">
        <v>315</v>
      </c>
      <c r="BD10" s="180" t="s">
        <v>316</v>
      </c>
      <c r="BE10" s="179" t="s">
        <v>317</v>
      </c>
      <c r="BF10" s="191" t="s">
        <v>318</v>
      </c>
      <c r="BG10" s="192" t="s">
        <v>319</v>
      </c>
      <c r="BH10" s="191" t="s">
        <v>320</v>
      </c>
      <c r="BI10" s="191" t="s">
        <v>321</v>
      </c>
      <c r="BJ10" s="191" t="s">
        <v>322</v>
      </c>
      <c r="BK10" s="191" t="s">
        <v>323</v>
      </c>
    </row>
    <row r="11" spans="1:63">
      <c r="A11" s="170" t="s">
        <v>324</v>
      </c>
      <c r="B11" s="170">
        <v>0</v>
      </c>
      <c r="C11" s="170">
        <v>0</v>
      </c>
      <c r="D11" s="170">
        <v>0</v>
      </c>
      <c r="E11" s="171">
        <v>0</v>
      </c>
      <c r="F11" s="170">
        <v>0</v>
      </c>
      <c r="G11" s="170">
        <v>0</v>
      </c>
      <c r="H11" s="170">
        <v>0</v>
      </c>
      <c r="I11" s="171">
        <v>0</v>
      </c>
      <c r="J11" s="170">
        <v>0</v>
      </c>
      <c r="K11" s="176">
        <f>+Meta.2!K35</f>
        <v>0</v>
      </c>
      <c r="L11" s="176">
        <v>141</v>
      </c>
      <c r="M11" s="177">
        <f>+I42+K42</f>
        <v>39783750</v>
      </c>
      <c r="N11" s="176">
        <f>+Meta.2!M35</f>
        <v>250</v>
      </c>
      <c r="O11" s="176">
        <f>+Meta.2!N35</f>
        <v>500</v>
      </c>
      <c r="P11" s="176">
        <f>+Meta.2!O35</f>
        <v>110</v>
      </c>
      <c r="Q11" s="171">
        <f>+K42+L42+M42</f>
        <v>79567500</v>
      </c>
      <c r="R11" s="181">
        <f t="shared" ref="R11:R31" si="0">B11+C11+D11+F11+G11+H11+J11+K11+L11+N11+O11+P11</f>
        <v>1001</v>
      </c>
      <c r="S11" s="182">
        <f>+E11+I11+M11+Q11</f>
        <v>119351250</v>
      </c>
      <c r="T11" s="183"/>
      <c r="U11" s="183"/>
      <c r="V11" s="183"/>
      <c r="W11" s="183"/>
      <c r="X11" s="183"/>
      <c r="Y11" s="186"/>
      <c r="Z11" s="186"/>
      <c r="AA11" s="186"/>
      <c r="AB11" s="186"/>
      <c r="AC11" s="186"/>
      <c r="AD11" s="186"/>
      <c r="AE11" s="187"/>
      <c r="AG11" s="170" t="s">
        <v>324</v>
      </c>
      <c r="AH11" s="170"/>
      <c r="AI11" s="170"/>
      <c r="AJ11" s="170"/>
      <c r="AK11" s="171">
        <v>0</v>
      </c>
      <c r="AL11" s="170"/>
      <c r="AM11" s="170"/>
      <c r="AN11" s="170"/>
      <c r="AO11" s="171">
        <v>0</v>
      </c>
      <c r="AP11" s="188">
        <f>+Meta.2!J36</f>
        <v>0</v>
      </c>
      <c r="AQ11" s="188">
        <f>+Meta.2!K36</f>
        <v>0</v>
      </c>
      <c r="AR11" s="188">
        <f>+Meta.2!L36</f>
        <v>141</v>
      </c>
      <c r="AS11" s="171" t="s">
        <v>325</v>
      </c>
      <c r="AT11" s="188">
        <f>+Meta.2!M36</f>
        <v>388</v>
      </c>
      <c r="AU11" s="188">
        <f>+Meta.2!N36</f>
        <v>325</v>
      </c>
      <c r="AV11" s="188">
        <f>+Meta.2!O36</f>
        <v>216</v>
      </c>
      <c r="AW11" s="171">
        <v>0</v>
      </c>
      <c r="AX11" s="181">
        <f t="shared" ref="AX11:AX31" si="1">AH11+AI11+AJ11+AL11+AM11+AN11+AP11+AQ11+AR11+AT11+AU11+AV11</f>
        <v>1070</v>
      </c>
      <c r="AY11" s="182">
        <f>+AK11+AO11+AS11+AW11</f>
        <v>39783750</v>
      </c>
      <c r="AZ11" s="186"/>
      <c r="BA11" s="186"/>
      <c r="BB11" s="186"/>
      <c r="BC11" s="186"/>
      <c r="BD11" s="186"/>
      <c r="BE11" s="186"/>
      <c r="BF11" s="186"/>
      <c r="BG11" s="186"/>
      <c r="BH11" s="186"/>
      <c r="BI11" s="186"/>
      <c r="BJ11" s="186"/>
      <c r="BK11" s="187"/>
    </row>
    <row r="12" spans="1:63">
      <c r="A12" s="170" t="s">
        <v>326</v>
      </c>
      <c r="B12" s="170"/>
      <c r="C12" s="170"/>
      <c r="D12" s="170"/>
      <c r="E12" s="171"/>
      <c r="F12" s="170"/>
      <c r="G12" s="170"/>
      <c r="H12" s="170"/>
      <c r="I12" s="171"/>
      <c r="J12" s="170"/>
      <c r="K12" s="178"/>
      <c r="L12" s="178"/>
      <c r="M12" s="177"/>
      <c r="N12" s="178"/>
      <c r="O12" s="178"/>
      <c r="P12" s="178"/>
      <c r="Q12" s="171"/>
      <c r="R12" s="181">
        <f t="shared" si="0"/>
        <v>0</v>
      </c>
      <c r="S12" s="182">
        <f t="shared" ref="S12:S31" si="2">+E12+I12+M12+Q12</f>
        <v>0</v>
      </c>
      <c r="T12" s="183"/>
      <c r="U12" s="183"/>
      <c r="V12" s="183"/>
      <c r="W12" s="183"/>
      <c r="X12" s="183"/>
      <c r="Y12" s="186"/>
      <c r="Z12" s="186"/>
      <c r="AA12" s="186"/>
      <c r="AB12" s="186"/>
      <c r="AC12" s="186"/>
      <c r="AD12" s="186"/>
      <c r="AE12" s="186"/>
      <c r="AG12" s="170" t="s">
        <v>326</v>
      </c>
      <c r="AH12" s="170"/>
      <c r="AI12" s="170"/>
      <c r="AJ12" s="170"/>
      <c r="AK12" s="171"/>
      <c r="AL12" s="170"/>
      <c r="AM12" s="170"/>
      <c r="AN12" s="170"/>
      <c r="AO12" s="171"/>
      <c r="AP12" s="170"/>
      <c r="AQ12" s="170"/>
      <c r="AR12" s="170"/>
      <c r="AS12" s="171"/>
      <c r="AT12" s="170"/>
      <c r="AU12" s="170"/>
      <c r="AV12" s="170"/>
      <c r="AW12" s="171"/>
      <c r="AX12" s="181">
        <f t="shared" si="1"/>
        <v>0</v>
      </c>
      <c r="AY12" s="182">
        <f t="shared" ref="AY12:AY31" si="3">+AK12+AO12+AS12+AW12</f>
        <v>0</v>
      </c>
      <c r="AZ12" s="186"/>
      <c r="BA12" s="186"/>
      <c r="BB12" s="186"/>
      <c r="BC12" s="186"/>
      <c r="BD12" s="186"/>
      <c r="BE12" s="186"/>
      <c r="BF12" s="186"/>
      <c r="BG12" s="186"/>
      <c r="BH12" s="186"/>
      <c r="BI12" s="186"/>
      <c r="BJ12" s="186"/>
      <c r="BK12" s="186"/>
    </row>
    <row r="13" spans="1:63">
      <c r="A13" s="170" t="s">
        <v>327</v>
      </c>
      <c r="B13" s="170"/>
      <c r="C13" s="170"/>
      <c r="D13" s="170"/>
      <c r="E13" s="171"/>
      <c r="F13" s="170"/>
      <c r="G13" s="170"/>
      <c r="H13" s="170"/>
      <c r="I13" s="171"/>
      <c r="J13" s="170"/>
      <c r="K13" s="178"/>
      <c r="L13" s="178"/>
      <c r="M13" s="177"/>
      <c r="N13" s="178"/>
      <c r="O13" s="178"/>
      <c r="P13" s="178"/>
      <c r="Q13" s="171"/>
      <c r="R13" s="181">
        <f t="shared" si="0"/>
        <v>0</v>
      </c>
      <c r="S13" s="182">
        <f t="shared" si="2"/>
        <v>0</v>
      </c>
      <c r="T13" s="183"/>
      <c r="U13" s="183"/>
      <c r="V13" s="183"/>
      <c r="W13" s="183"/>
      <c r="X13" s="183"/>
      <c r="Y13" s="186"/>
      <c r="Z13" s="186"/>
      <c r="AA13" s="186"/>
      <c r="AB13" s="186"/>
      <c r="AC13" s="186"/>
      <c r="AD13" s="186"/>
      <c r="AE13" s="186"/>
      <c r="AG13" s="170" t="s">
        <v>327</v>
      </c>
      <c r="AH13" s="170"/>
      <c r="AI13" s="170"/>
      <c r="AJ13" s="170"/>
      <c r="AK13" s="171"/>
      <c r="AL13" s="170"/>
      <c r="AM13" s="170"/>
      <c r="AN13" s="170"/>
      <c r="AO13" s="171"/>
      <c r="AP13" s="170"/>
      <c r="AQ13" s="170"/>
      <c r="AR13" s="170"/>
      <c r="AS13" s="171"/>
      <c r="AT13" s="170"/>
      <c r="AU13" s="170"/>
      <c r="AV13" s="170"/>
      <c r="AW13" s="171"/>
      <c r="AX13" s="181">
        <f t="shared" si="1"/>
        <v>0</v>
      </c>
      <c r="AY13" s="182">
        <f t="shared" si="3"/>
        <v>0</v>
      </c>
      <c r="AZ13" s="186"/>
      <c r="BA13" s="186"/>
      <c r="BB13" s="186"/>
      <c r="BC13" s="186"/>
      <c r="BD13" s="186"/>
      <c r="BE13" s="186"/>
      <c r="BF13" s="186"/>
      <c r="BG13" s="186"/>
      <c r="BH13" s="186"/>
      <c r="BI13" s="186"/>
      <c r="BJ13" s="186"/>
      <c r="BK13" s="186"/>
    </row>
    <row r="14" spans="1:63">
      <c r="A14" s="170" t="s">
        <v>328</v>
      </c>
      <c r="B14" s="170"/>
      <c r="C14" s="170"/>
      <c r="D14" s="170"/>
      <c r="E14" s="171"/>
      <c r="F14" s="170"/>
      <c r="G14" s="170"/>
      <c r="H14" s="170"/>
      <c r="I14" s="171"/>
      <c r="J14" s="170"/>
      <c r="K14" s="178"/>
      <c r="L14" s="178"/>
      <c r="M14" s="177"/>
      <c r="N14" s="178"/>
      <c r="O14" s="178"/>
      <c r="P14" s="178"/>
      <c r="Q14" s="171"/>
      <c r="R14" s="181">
        <f t="shared" si="0"/>
        <v>0</v>
      </c>
      <c r="S14" s="182">
        <f t="shared" si="2"/>
        <v>0</v>
      </c>
      <c r="T14" s="183"/>
      <c r="U14" s="183"/>
      <c r="V14" s="183"/>
      <c r="W14" s="183"/>
      <c r="X14" s="183"/>
      <c r="Y14" s="186"/>
      <c r="Z14" s="186"/>
      <c r="AA14" s="186"/>
      <c r="AB14" s="186"/>
      <c r="AC14" s="186"/>
      <c r="AD14" s="186"/>
      <c r="AE14" s="186"/>
      <c r="AG14" s="170" t="s">
        <v>328</v>
      </c>
      <c r="AH14" s="170"/>
      <c r="AI14" s="170"/>
      <c r="AJ14" s="170"/>
      <c r="AK14" s="171"/>
      <c r="AL14" s="170"/>
      <c r="AM14" s="170"/>
      <c r="AN14" s="170"/>
      <c r="AO14" s="171"/>
      <c r="AP14" s="170"/>
      <c r="AQ14" s="170"/>
      <c r="AR14" s="170"/>
      <c r="AS14" s="171"/>
      <c r="AT14" s="170"/>
      <c r="AU14" s="170"/>
      <c r="AV14" s="170"/>
      <c r="AW14" s="171"/>
      <c r="AX14" s="181">
        <f t="shared" si="1"/>
        <v>0</v>
      </c>
      <c r="AY14" s="182">
        <f t="shared" si="3"/>
        <v>0</v>
      </c>
      <c r="AZ14" s="186"/>
      <c r="BA14" s="186"/>
      <c r="BB14" s="186"/>
      <c r="BC14" s="186"/>
      <c r="BD14" s="186"/>
      <c r="BE14" s="186"/>
      <c r="BF14" s="186"/>
      <c r="BG14" s="186"/>
      <c r="BH14" s="186"/>
      <c r="BI14" s="186"/>
      <c r="BJ14" s="186"/>
      <c r="BK14" s="186"/>
    </row>
    <row r="15" spans="1:63">
      <c r="A15" s="170" t="s">
        <v>329</v>
      </c>
      <c r="B15" s="170"/>
      <c r="C15" s="170"/>
      <c r="D15" s="170"/>
      <c r="E15" s="171"/>
      <c r="F15" s="170"/>
      <c r="G15" s="170"/>
      <c r="H15" s="170"/>
      <c r="I15" s="171"/>
      <c r="J15" s="170"/>
      <c r="K15" s="178"/>
      <c r="L15" s="178"/>
      <c r="M15" s="177"/>
      <c r="N15" s="178"/>
      <c r="O15" s="178"/>
      <c r="P15" s="178"/>
      <c r="Q15" s="171"/>
      <c r="R15" s="181">
        <f t="shared" si="0"/>
        <v>0</v>
      </c>
      <c r="S15" s="182">
        <f t="shared" si="2"/>
        <v>0</v>
      </c>
      <c r="T15" s="183"/>
      <c r="U15" s="183"/>
      <c r="V15" s="183"/>
      <c r="W15" s="183"/>
      <c r="X15" s="183"/>
      <c r="Y15" s="186"/>
      <c r="Z15" s="186"/>
      <c r="AA15" s="186"/>
      <c r="AB15" s="186"/>
      <c r="AC15" s="186"/>
      <c r="AD15" s="186"/>
      <c r="AE15" s="186"/>
      <c r="AG15" s="170" t="s">
        <v>329</v>
      </c>
      <c r="AH15" s="170"/>
      <c r="AI15" s="170"/>
      <c r="AJ15" s="170"/>
      <c r="AK15" s="171"/>
      <c r="AL15" s="170"/>
      <c r="AM15" s="170"/>
      <c r="AN15" s="170"/>
      <c r="AO15" s="171"/>
      <c r="AP15" s="170"/>
      <c r="AQ15" s="170"/>
      <c r="AR15" s="170"/>
      <c r="AS15" s="171"/>
      <c r="AT15" s="170"/>
      <c r="AU15" s="170"/>
      <c r="AV15" s="170"/>
      <c r="AW15" s="171"/>
      <c r="AX15" s="181">
        <f t="shared" si="1"/>
        <v>0</v>
      </c>
      <c r="AY15" s="182">
        <f t="shared" si="3"/>
        <v>0</v>
      </c>
      <c r="AZ15" s="186"/>
      <c r="BA15" s="186"/>
      <c r="BB15" s="186"/>
      <c r="BC15" s="186"/>
      <c r="BD15" s="186"/>
      <c r="BE15" s="186"/>
      <c r="BF15" s="186"/>
      <c r="BG15" s="186"/>
      <c r="BH15" s="186"/>
      <c r="BI15" s="186"/>
      <c r="BJ15" s="186"/>
      <c r="BK15" s="186"/>
    </row>
    <row r="16" spans="1:63">
      <c r="A16" s="170" t="s">
        <v>330</v>
      </c>
      <c r="B16" s="170"/>
      <c r="C16" s="170"/>
      <c r="D16" s="170"/>
      <c r="E16" s="171"/>
      <c r="F16" s="170"/>
      <c r="G16" s="170"/>
      <c r="H16" s="170"/>
      <c r="I16" s="171"/>
      <c r="J16" s="170"/>
      <c r="K16" s="178"/>
      <c r="L16" s="178"/>
      <c r="M16" s="177"/>
      <c r="N16" s="178"/>
      <c r="O16" s="178"/>
      <c r="P16" s="178"/>
      <c r="Q16" s="171"/>
      <c r="R16" s="181">
        <f t="shared" si="0"/>
        <v>0</v>
      </c>
      <c r="S16" s="182">
        <f t="shared" si="2"/>
        <v>0</v>
      </c>
      <c r="T16" s="183"/>
      <c r="U16" s="183"/>
      <c r="V16" s="183"/>
      <c r="W16" s="183"/>
      <c r="X16" s="183"/>
      <c r="Y16" s="186"/>
      <c r="Z16" s="186"/>
      <c r="AA16" s="186"/>
      <c r="AB16" s="186"/>
      <c r="AC16" s="186"/>
      <c r="AD16" s="186"/>
      <c r="AE16" s="186"/>
      <c r="AG16" s="170" t="s">
        <v>330</v>
      </c>
      <c r="AH16" s="170"/>
      <c r="AI16" s="170"/>
      <c r="AJ16" s="170"/>
      <c r="AK16" s="171"/>
      <c r="AL16" s="170"/>
      <c r="AM16" s="170"/>
      <c r="AN16" s="170"/>
      <c r="AO16" s="171"/>
      <c r="AP16" s="170"/>
      <c r="AQ16" s="170"/>
      <c r="AR16" s="170"/>
      <c r="AS16" s="171"/>
      <c r="AT16" s="170"/>
      <c r="AU16" s="170"/>
      <c r="AV16" s="170"/>
      <c r="AW16" s="171"/>
      <c r="AX16" s="181">
        <f t="shared" si="1"/>
        <v>0</v>
      </c>
      <c r="AY16" s="182">
        <f t="shared" si="3"/>
        <v>0</v>
      </c>
      <c r="AZ16" s="186"/>
      <c r="BA16" s="186"/>
      <c r="BB16" s="186"/>
      <c r="BC16" s="186"/>
      <c r="BD16" s="186"/>
      <c r="BE16" s="186"/>
      <c r="BF16" s="186"/>
      <c r="BG16" s="186"/>
      <c r="BH16" s="186"/>
      <c r="BI16" s="186"/>
      <c r="BJ16" s="186"/>
      <c r="BK16" s="186"/>
    </row>
    <row r="17" spans="1:63">
      <c r="A17" s="170" t="s">
        <v>331</v>
      </c>
      <c r="B17" s="170"/>
      <c r="C17" s="170"/>
      <c r="D17" s="170"/>
      <c r="E17" s="171"/>
      <c r="F17" s="170"/>
      <c r="G17" s="170"/>
      <c r="H17" s="170"/>
      <c r="I17" s="171"/>
      <c r="J17" s="170"/>
      <c r="K17" s="178"/>
      <c r="L17" s="178"/>
      <c r="M17" s="177"/>
      <c r="N17" s="178"/>
      <c r="O17" s="178"/>
      <c r="P17" s="178"/>
      <c r="Q17" s="171"/>
      <c r="R17" s="181">
        <f t="shared" si="0"/>
        <v>0</v>
      </c>
      <c r="S17" s="182">
        <f t="shared" si="2"/>
        <v>0</v>
      </c>
      <c r="T17" s="183"/>
      <c r="U17" s="183"/>
      <c r="V17" s="183"/>
      <c r="W17" s="183"/>
      <c r="X17" s="183"/>
      <c r="Y17" s="186"/>
      <c r="Z17" s="186"/>
      <c r="AA17" s="186"/>
      <c r="AB17" s="186"/>
      <c r="AC17" s="186"/>
      <c r="AD17" s="186"/>
      <c r="AE17" s="186"/>
      <c r="AG17" s="170" t="s">
        <v>331</v>
      </c>
      <c r="AH17" s="170"/>
      <c r="AI17" s="170"/>
      <c r="AJ17" s="170"/>
      <c r="AK17" s="171"/>
      <c r="AL17" s="170"/>
      <c r="AM17" s="170"/>
      <c r="AN17" s="170"/>
      <c r="AO17" s="171"/>
      <c r="AP17" s="170"/>
      <c r="AQ17" s="170"/>
      <c r="AR17" s="170"/>
      <c r="AS17" s="171"/>
      <c r="AT17" s="170"/>
      <c r="AU17" s="170"/>
      <c r="AV17" s="170"/>
      <c r="AW17" s="171"/>
      <c r="AX17" s="181">
        <f t="shared" si="1"/>
        <v>0</v>
      </c>
      <c r="AY17" s="182">
        <f t="shared" si="3"/>
        <v>0</v>
      </c>
      <c r="AZ17" s="186"/>
      <c r="BA17" s="186"/>
      <c r="BB17" s="186"/>
      <c r="BC17" s="186"/>
      <c r="BD17" s="186"/>
      <c r="BE17" s="186"/>
      <c r="BF17" s="186"/>
      <c r="BG17" s="186"/>
      <c r="BH17" s="186"/>
      <c r="BI17" s="186"/>
      <c r="BJ17" s="186"/>
      <c r="BK17" s="186"/>
    </row>
    <row r="18" spans="1:63">
      <c r="A18" s="170" t="s">
        <v>332</v>
      </c>
      <c r="B18" s="170"/>
      <c r="C18" s="170"/>
      <c r="D18" s="170"/>
      <c r="E18" s="171"/>
      <c r="F18" s="170"/>
      <c r="G18" s="170"/>
      <c r="H18" s="170"/>
      <c r="I18" s="171"/>
      <c r="J18" s="170"/>
      <c r="K18" s="178"/>
      <c r="L18" s="178"/>
      <c r="M18" s="177"/>
      <c r="N18" s="178"/>
      <c r="O18" s="178"/>
      <c r="P18" s="178"/>
      <c r="Q18" s="171"/>
      <c r="R18" s="181">
        <f t="shared" si="0"/>
        <v>0</v>
      </c>
      <c r="S18" s="182">
        <f t="shared" si="2"/>
        <v>0</v>
      </c>
      <c r="T18" s="183"/>
      <c r="U18" s="183"/>
      <c r="V18" s="183"/>
      <c r="W18" s="183"/>
      <c r="X18" s="183"/>
      <c r="Y18" s="186"/>
      <c r="Z18" s="186"/>
      <c r="AA18" s="186"/>
      <c r="AB18" s="186"/>
      <c r="AC18" s="186"/>
      <c r="AD18" s="186"/>
      <c r="AE18" s="186"/>
      <c r="AG18" s="170" t="s">
        <v>332</v>
      </c>
      <c r="AH18" s="170"/>
      <c r="AI18" s="170"/>
      <c r="AJ18" s="170"/>
      <c r="AK18" s="171"/>
      <c r="AL18" s="170"/>
      <c r="AM18" s="170"/>
      <c r="AN18" s="170"/>
      <c r="AO18" s="171"/>
      <c r="AP18" s="170"/>
      <c r="AQ18" s="170"/>
      <c r="AR18" s="170"/>
      <c r="AS18" s="171"/>
      <c r="AT18" s="170"/>
      <c r="AU18" s="170"/>
      <c r="AV18" s="170"/>
      <c r="AW18" s="171"/>
      <c r="AX18" s="181">
        <f t="shared" si="1"/>
        <v>0</v>
      </c>
      <c r="AY18" s="182">
        <f t="shared" si="3"/>
        <v>0</v>
      </c>
      <c r="AZ18" s="186"/>
      <c r="BA18" s="186"/>
      <c r="BB18" s="186"/>
      <c r="BC18" s="186"/>
      <c r="BD18" s="186"/>
      <c r="BE18" s="186"/>
      <c r="BF18" s="186"/>
      <c r="BG18" s="186"/>
      <c r="BH18" s="186"/>
      <c r="BI18" s="186"/>
      <c r="BJ18" s="186"/>
      <c r="BK18" s="186"/>
    </row>
    <row r="19" spans="1:63">
      <c r="A19" s="170" t="s">
        <v>333</v>
      </c>
      <c r="B19" s="170"/>
      <c r="C19" s="170"/>
      <c r="D19" s="170"/>
      <c r="E19" s="171"/>
      <c r="F19" s="170"/>
      <c r="G19" s="170"/>
      <c r="H19" s="170"/>
      <c r="I19" s="171"/>
      <c r="J19" s="170"/>
      <c r="K19" s="178"/>
      <c r="L19" s="178"/>
      <c r="M19" s="177"/>
      <c r="N19" s="178"/>
      <c r="O19" s="178"/>
      <c r="P19" s="178"/>
      <c r="Q19" s="171"/>
      <c r="R19" s="181">
        <f t="shared" si="0"/>
        <v>0</v>
      </c>
      <c r="S19" s="182">
        <f t="shared" si="2"/>
        <v>0</v>
      </c>
      <c r="T19" s="183"/>
      <c r="U19" s="183"/>
      <c r="V19" s="183"/>
      <c r="W19" s="183"/>
      <c r="X19" s="183"/>
      <c r="Y19" s="186"/>
      <c r="Z19" s="186"/>
      <c r="AA19" s="186"/>
      <c r="AB19" s="186"/>
      <c r="AC19" s="186"/>
      <c r="AD19" s="186"/>
      <c r="AE19" s="186"/>
      <c r="AG19" s="170" t="s">
        <v>333</v>
      </c>
      <c r="AH19" s="170"/>
      <c r="AI19" s="170"/>
      <c r="AJ19" s="170"/>
      <c r="AK19" s="171"/>
      <c r="AL19" s="170"/>
      <c r="AM19" s="170"/>
      <c r="AN19" s="170"/>
      <c r="AO19" s="171"/>
      <c r="AP19" s="170"/>
      <c r="AQ19" s="170"/>
      <c r="AR19" s="170"/>
      <c r="AS19" s="171"/>
      <c r="AT19" s="170"/>
      <c r="AU19" s="170"/>
      <c r="AV19" s="170"/>
      <c r="AW19" s="171"/>
      <c r="AX19" s="181">
        <f t="shared" si="1"/>
        <v>0</v>
      </c>
      <c r="AY19" s="182">
        <f t="shared" si="3"/>
        <v>0</v>
      </c>
      <c r="AZ19" s="186"/>
      <c r="BA19" s="186"/>
      <c r="BB19" s="186"/>
      <c r="BC19" s="186"/>
      <c r="BD19" s="186"/>
      <c r="BE19" s="186"/>
      <c r="BF19" s="186"/>
      <c r="BG19" s="186"/>
      <c r="BH19" s="186"/>
      <c r="BI19" s="170"/>
      <c r="BJ19" s="170"/>
      <c r="BK19" s="170"/>
    </row>
    <row r="20" spans="1:63">
      <c r="A20" s="170" t="s">
        <v>334</v>
      </c>
      <c r="B20" s="170"/>
      <c r="C20" s="170"/>
      <c r="D20" s="170"/>
      <c r="E20" s="171"/>
      <c r="F20" s="170"/>
      <c r="G20" s="170"/>
      <c r="H20" s="170"/>
      <c r="I20" s="171"/>
      <c r="J20" s="170"/>
      <c r="K20" s="178"/>
      <c r="L20" s="178"/>
      <c r="M20" s="177"/>
      <c r="N20" s="178"/>
      <c r="O20" s="178"/>
      <c r="P20" s="178"/>
      <c r="Q20" s="171"/>
      <c r="R20" s="181">
        <f t="shared" si="0"/>
        <v>0</v>
      </c>
      <c r="S20" s="182">
        <f t="shared" si="2"/>
        <v>0</v>
      </c>
      <c r="T20" s="183"/>
      <c r="U20" s="183"/>
      <c r="V20" s="183"/>
      <c r="W20" s="183"/>
      <c r="X20" s="183"/>
      <c r="Y20" s="186"/>
      <c r="Z20" s="186"/>
      <c r="AA20" s="186"/>
      <c r="AB20" s="186"/>
      <c r="AC20" s="186"/>
      <c r="AD20" s="186"/>
      <c r="AE20" s="186"/>
      <c r="AG20" s="170" t="s">
        <v>334</v>
      </c>
      <c r="AH20" s="170"/>
      <c r="AI20" s="170"/>
      <c r="AJ20" s="170"/>
      <c r="AK20" s="171"/>
      <c r="AL20" s="170"/>
      <c r="AM20" s="170"/>
      <c r="AN20" s="170"/>
      <c r="AO20" s="171"/>
      <c r="AP20" s="170"/>
      <c r="AQ20" s="170"/>
      <c r="AR20" s="170"/>
      <c r="AS20" s="171"/>
      <c r="AT20" s="170"/>
      <c r="AU20" s="170"/>
      <c r="AV20" s="170"/>
      <c r="AW20" s="171"/>
      <c r="AX20" s="181">
        <f t="shared" si="1"/>
        <v>0</v>
      </c>
      <c r="AY20" s="182">
        <f t="shared" si="3"/>
        <v>0</v>
      </c>
      <c r="AZ20" s="186"/>
      <c r="BA20" s="186"/>
      <c r="BB20" s="186"/>
      <c r="BC20" s="186"/>
      <c r="BD20" s="186"/>
      <c r="BE20" s="186"/>
      <c r="BF20" s="186"/>
      <c r="BG20" s="186"/>
      <c r="BH20" s="186"/>
      <c r="BI20" s="170"/>
      <c r="BJ20" s="170"/>
      <c r="BK20" s="170"/>
    </row>
    <row r="21" spans="1:63">
      <c r="A21" s="170" t="s">
        <v>335</v>
      </c>
      <c r="B21" s="170"/>
      <c r="C21" s="170"/>
      <c r="D21" s="170"/>
      <c r="E21" s="171"/>
      <c r="F21" s="170"/>
      <c r="G21" s="170"/>
      <c r="H21" s="170"/>
      <c r="I21" s="171"/>
      <c r="J21" s="170"/>
      <c r="K21" s="178"/>
      <c r="L21" s="178"/>
      <c r="M21" s="177"/>
      <c r="N21" s="178"/>
      <c r="O21" s="178"/>
      <c r="P21" s="178"/>
      <c r="Q21" s="171"/>
      <c r="R21" s="181">
        <f t="shared" si="0"/>
        <v>0</v>
      </c>
      <c r="S21" s="182">
        <f t="shared" si="2"/>
        <v>0</v>
      </c>
      <c r="T21" s="183"/>
      <c r="U21" s="183"/>
      <c r="V21" s="183"/>
      <c r="W21" s="183"/>
      <c r="X21" s="183"/>
      <c r="Y21" s="186"/>
      <c r="Z21" s="186"/>
      <c r="AA21" s="186"/>
      <c r="AB21" s="186"/>
      <c r="AC21" s="186"/>
      <c r="AD21" s="186"/>
      <c r="AE21" s="186"/>
      <c r="AG21" s="170" t="s">
        <v>335</v>
      </c>
      <c r="AH21" s="170"/>
      <c r="AI21" s="170"/>
      <c r="AJ21" s="170"/>
      <c r="AK21" s="171"/>
      <c r="AL21" s="170"/>
      <c r="AM21" s="170"/>
      <c r="AN21" s="170"/>
      <c r="AO21" s="171"/>
      <c r="AP21" s="170"/>
      <c r="AQ21" s="170"/>
      <c r="AR21" s="170"/>
      <c r="AS21" s="171"/>
      <c r="AT21" s="170"/>
      <c r="AU21" s="170"/>
      <c r="AV21" s="170"/>
      <c r="AW21" s="171"/>
      <c r="AX21" s="181">
        <f t="shared" si="1"/>
        <v>0</v>
      </c>
      <c r="AY21" s="182">
        <f t="shared" si="3"/>
        <v>0</v>
      </c>
      <c r="AZ21" s="186"/>
      <c r="BA21" s="186"/>
      <c r="BB21" s="186"/>
      <c r="BC21" s="186"/>
      <c r="BD21" s="186"/>
      <c r="BE21" s="186"/>
      <c r="BF21" s="186"/>
      <c r="BG21" s="186"/>
      <c r="BH21" s="186"/>
      <c r="BI21" s="170"/>
      <c r="BJ21" s="170"/>
      <c r="BK21" s="170"/>
    </row>
    <row r="22" spans="1:63">
      <c r="A22" s="170" t="s">
        <v>336</v>
      </c>
      <c r="B22" s="170"/>
      <c r="C22" s="170"/>
      <c r="D22" s="170"/>
      <c r="E22" s="171"/>
      <c r="F22" s="170"/>
      <c r="G22" s="170"/>
      <c r="H22" s="170"/>
      <c r="I22" s="171"/>
      <c r="J22" s="170"/>
      <c r="K22" s="178"/>
      <c r="L22" s="178"/>
      <c r="M22" s="177"/>
      <c r="N22" s="178"/>
      <c r="O22" s="178"/>
      <c r="P22" s="178"/>
      <c r="Q22" s="171"/>
      <c r="R22" s="181">
        <f t="shared" si="0"/>
        <v>0</v>
      </c>
      <c r="S22" s="182">
        <f t="shared" si="2"/>
        <v>0</v>
      </c>
      <c r="T22" s="183"/>
      <c r="U22" s="183"/>
      <c r="V22" s="183"/>
      <c r="W22" s="183"/>
      <c r="X22" s="183"/>
      <c r="Y22" s="186"/>
      <c r="Z22" s="186"/>
      <c r="AA22" s="186"/>
      <c r="AB22" s="186"/>
      <c r="AC22" s="186"/>
      <c r="AD22" s="186"/>
      <c r="AE22" s="186"/>
      <c r="AG22" s="170" t="s">
        <v>336</v>
      </c>
      <c r="AH22" s="170"/>
      <c r="AI22" s="170"/>
      <c r="AJ22" s="170"/>
      <c r="AK22" s="171"/>
      <c r="AL22" s="170"/>
      <c r="AM22" s="170"/>
      <c r="AN22" s="170"/>
      <c r="AO22" s="171"/>
      <c r="AP22" s="170"/>
      <c r="AQ22" s="170"/>
      <c r="AR22" s="170"/>
      <c r="AS22" s="171"/>
      <c r="AT22" s="170"/>
      <c r="AU22" s="170"/>
      <c r="AV22" s="170"/>
      <c r="AW22" s="171"/>
      <c r="AX22" s="181">
        <f t="shared" si="1"/>
        <v>0</v>
      </c>
      <c r="AY22" s="182">
        <f t="shared" si="3"/>
        <v>0</v>
      </c>
      <c r="AZ22" s="186"/>
      <c r="BA22" s="186"/>
      <c r="BB22" s="186"/>
      <c r="BC22" s="186"/>
      <c r="BD22" s="186"/>
      <c r="BE22" s="186"/>
      <c r="BF22" s="186"/>
      <c r="BG22" s="186"/>
      <c r="BH22" s="186"/>
      <c r="BI22" s="186"/>
      <c r="BJ22" s="186"/>
      <c r="BK22" s="186"/>
    </row>
    <row r="23" spans="1:63">
      <c r="A23" s="170" t="s">
        <v>337</v>
      </c>
      <c r="B23" s="170"/>
      <c r="C23" s="170"/>
      <c r="D23" s="170"/>
      <c r="E23" s="171"/>
      <c r="F23" s="170"/>
      <c r="G23" s="170"/>
      <c r="H23" s="170"/>
      <c r="I23" s="171"/>
      <c r="J23" s="170"/>
      <c r="K23" s="178"/>
      <c r="L23" s="178"/>
      <c r="M23" s="177"/>
      <c r="N23" s="178"/>
      <c r="O23" s="178"/>
      <c r="P23" s="178"/>
      <c r="Q23" s="171"/>
      <c r="R23" s="181">
        <f t="shared" si="0"/>
        <v>0</v>
      </c>
      <c r="S23" s="182">
        <f t="shared" si="2"/>
        <v>0</v>
      </c>
      <c r="T23" s="183"/>
      <c r="U23" s="183"/>
      <c r="V23" s="183"/>
      <c r="W23" s="183"/>
      <c r="X23" s="183"/>
      <c r="Y23" s="186"/>
      <c r="Z23" s="186"/>
      <c r="AA23" s="186"/>
      <c r="AB23" s="186"/>
      <c r="AC23" s="186"/>
      <c r="AD23" s="186"/>
      <c r="AE23" s="186"/>
      <c r="AG23" s="170" t="s">
        <v>337</v>
      </c>
      <c r="AH23" s="170"/>
      <c r="AI23" s="170"/>
      <c r="AJ23" s="170"/>
      <c r="AK23" s="171"/>
      <c r="AL23" s="170"/>
      <c r="AM23" s="170"/>
      <c r="AN23" s="170"/>
      <c r="AO23" s="171"/>
      <c r="AP23" s="170"/>
      <c r="AQ23" s="170"/>
      <c r="AR23" s="170"/>
      <c r="AS23" s="171"/>
      <c r="AT23" s="170"/>
      <c r="AU23" s="170"/>
      <c r="AV23" s="170"/>
      <c r="AW23" s="171"/>
      <c r="AX23" s="181">
        <f t="shared" si="1"/>
        <v>0</v>
      </c>
      <c r="AY23" s="182">
        <f t="shared" si="3"/>
        <v>0</v>
      </c>
      <c r="AZ23" s="186"/>
      <c r="BA23" s="186"/>
      <c r="BB23" s="186"/>
      <c r="BC23" s="186"/>
      <c r="BD23" s="186"/>
      <c r="BE23" s="186"/>
      <c r="BF23" s="186"/>
      <c r="BG23" s="186"/>
      <c r="BH23" s="186"/>
      <c r="BI23" s="186"/>
      <c r="BJ23" s="186"/>
      <c r="BK23" s="186"/>
    </row>
    <row r="24" spans="1:63">
      <c r="A24" s="170" t="s">
        <v>338</v>
      </c>
      <c r="B24" s="170"/>
      <c r="C24" s="170"/>
      <c r="D24" s="170"/>
      <c r="E24" s="171"/>
      <c r="F24" s="170"/>
      <c r="G24" s="170"/>
      <c r="H24" s="170"/>
      <c r="I24" s="171"/>
      <c r="J24" s="170"/>
      <c r="K24" s="178"/>
      <c r="L24" s="178"/>
      <c r="M24" s="177"/>
      <c r="N24" s="178"/>
      <c r="O24" s="178"/>
      <c r="P24" s="178"/>
      <c r="Q24" s="171"/>
      <c r="R24" s="181">
        <f t="shared" si="0"/>
        <v>0</v>
      </c>
      <c r="S24" s="182">
        <f t="shared" si="2"/>
        <v>0</v>
      </c>
      <c r="T24" s="183"/>
      <c r="U24" s="183"/>
      <c r="V24" s="183"/>
      <c r="W24" s="183"/>
      <c r="X24" s="183"/>
      <c r="Y24" s="186"/>
      <c r="Z24" s="186"/>
      <c r="AA24" s="186"/>
      <c r="AB24" s="186"/>
      <c r="AC24" s="186"/>
      <c r="AD24" s="186"/>
      <c r="AE24" s="186"/>
      <c r="AG24" s="170" t="s">
        <v>338</v>
      </c>
      <c r="AH24" s="170"/>
      <c r="AI24" s="170"/>
      <c r="AJ24" s="170"/>
      <c r="AK24" s="171"/>
      <c r="AL24" s="170"/>
      <c r="AM24" s="170"/>
      <c r="AN24" s="170"/>
      <c r="AO24" s="171"/>
      <c r="AP24" s="170"/>
      <c r="AQ24" s="170"/>
      <c r="AR24" s="170"/>
      <c r="AS24" s="171"/>
      <c r="AT24" s="170"/>
      <c r="AU24" s="170"/>
      <c r="AV24" s="170"/>
      <c r="AW24" s="171"/>
      <c r="AX24" s="181">
        <f t="shared" si="1"/>
        <v>0</v>
      </c>
      <c r="AY24" s="182">
        <f t="shared" si="3"/>
        <v>0</v>
      </c>
      <c r="AZ24" s="186"/>
      <c r="BA24" s="186"/>
      <c r="BB24" s="186"/>
      <c r="BC24" s="186"/>
      <c r="BD24" s="186"/>
      <c r="BE24" s="186"/>
      <c r="BF24" s="186"/>
      <c r="BG24" s="186"/>
      <c r="BH24" s="186"/>
      <c r="BI24" s="186"/>
      <c r="BJ24" s="186"/>
      <c r="BK24" s="186"/>
    </row>
    <row r="25" spans="1:63">
      <c r="A25" s="170" t="s">
        <v>339</v>
      </c>
      <c r="B25" s="170"/>
      <c r="C25" s="170"/>
      <c r="D25" s="170"/>
      <c r="E25" s="171"/>
      <c r="F25" s="170"/>
      <c r="G25" s="170"/>
      <c r="H25" s="170"/>
      <c r="I25" s="171"/>
      <c r="J25" s="170"/>
      <c r="K25" s="178"/>
      <c r="L25" s="178"/>
      <c r="M25" s="177"/>
      <c r="N25" s="178"/>
      <c r="O25" s="178"/>
      <c r="P25" s="178"/>
      <c r="Q25" s="171"/>
      <c r="R25" s="181">
        <f t="shared" si="0"/>
        <v>0</v>
      </c>
      <c r="S25" s="182">
        <f t="shared" si="2"/>
        <v>0</v>
      </c>
      <c r="T25" s="183"/>
      <c r="U25" s="183"/>
      <c r="V25" s="183"/>
      <c r="W25" s="183"/>
      <c r="X25" s="183"/>
      <c r="Y25" s="186"/>
      <c r="Z25" s="186"/>
      <c r="AA25" s="186"/>
      <c r="AB25" s="186"/>
      <c r="AC25" s="186"/>
      <c r="AD25" s="186"/>
      <c r="AE25" s="186"/>
      <c r="AG25" s="170" t="s">
        <v>339</v>
      </c>
      <c r="AH25" s="170"/>
      <c r="AI25" s="170"/>
      <c r="AJ25" s="170"/>
      <c r="AK25" s="171"/>
      <c r="AL25" s="170"/>
      <c r="AM25" s="170"/>
      <c r="AN25" s="170"/>
      <c r="AO25" s="171"/>
      <c r="AP25" s="170"/>
      <c r="AQ25" s="170"/>
      <c r="AR25" s="170"/>
      <c r="AS25" s="171"/>
      <c r="AT25" s="170"/>
      <c r="AU25" s="170"/>
      <c r="AV25" s="170"/>
      <c r="AW25" s="171"/>
      <c r="AX25" s="181">
        <f t="shared" si="1"/>
        <v>0</v>
      </c>
      <c r="AY25" s="182">
        <f t="shared" si="3"/>
        <v>0</v>
      </c>
      <c r="AZ25" s="186"/>
      <c r="BA25" s="186"/>
      <c r="BB25" s="186"/>
      <c r="BC25" s="186"/>
      <c r="BD25" s="186"/>
      <c r="BE25" s="186"/>
      <c r="BF25" s="186"/>
      <c r="BG25" s="186"/>
      <c r="BH25" s="186"/>
      <c r="BI25" s="186"/>
      <c r="BJ25" s="186"/>
      <c r="BK25" s="186"/>
    </row>
    <row r="26" spans="1:63">
      <c r="A26" s="170" t="s">
        <v>340</v>
      </c>
      <c r="B26" s="170"/>
      <c r="C26" s="170"/>
      <c r="D26" s="170"/>
      <c r="E26" s="171"/>
      <c r="F26" s="170"/>
      <c r="G26" s="170"/>
      <c r="H26" s="170"/>
      <c r="I26" s="171"/>
      <c r="J26" s="170"/>
      <c r="K26" s="178"/>
      <c r="L26" s="178"/>
      <c r="M26" s="177"/>
      <c r="N26" s="178"/>
      <c r="O26" s="178"/>
      <c r="P26" s="178"/>
      <c r="Q26" s="171"/>
      <c r="R26" s="181">
        <f t="shared" si="0"/>
        <v>0</v>
      </c>
      <c r="S26" s="182">
        <f t="shared" si="2"/>
        <v>0</v>
      </c>
      <c r="T26" s="183"/>
      <c r="U26" s="183"/>
      <c r="V26" s="183"/>
      <c r="W26" s="183"/>
      <c r="X26" s="183"/>
      <c r="Y26" s="186"/>
      <c r="Z26" s="186"/>
      <c r="AA26" s="186"/>
      <c r="AB26" s="186"/>
      <c r="AC26" s="186"/>
      <c r="AD26" s="186"/>
      <c r="AE26" s="186"/>
      <c r="AG26" s="170" t="s">
        <v>340</v>
      </c>
      <c r="AH26" s="170"/>
      <c r="AI26" s="170"/>
      <c r="AJ26" s="170"/>
      <c r="AK26" s="171"/>
      <c r="AL26" s="170"/>
      <c r="AM26" s="170"/>
      <c r="AN26" s="170"/>
      <c r="AO26" s="171"/>
      <c r="AP26" s="170"/>
      <c r="AQ26" s="170"/>
      <c r="AR26" s="170"/>
      <c r="AS26" s="171"/>
      <c r="AT26" s="170"/>
      <c r="AU26" s="170"/>
      <c r="AV26" s="170"/>
      <c r="AW26" s="171"/>
      <c r="AX26" s="181">
        <f t="shared" si="1"/>
        <v>0</v>
      </c>
      <c r="AY26" s="182">
        <f t="shared" si="3"/>
        <v>0</v>
      </c>
      <c r="AZ26" s="186"/>
      <c r="BA26" s="186"/>
      <c r="BB26" s="186"/>
      <c r="BC26" s="186"/>
      <c r="BD26" s="186"/>
      <c r="BE26" s="186"/>
      <c r="BF26" s="186"/>
      <c r="BG26" s="186"/>
      <c r="BH26" s="186"/>
      <c r="BI26" s="186"/>
      <c r="BJ26" s="186"/>
      <c r="BK26" s="186"/>
    </row>
    <row r="27" spans="1:63">
      <c r="A27" s="170" t="s">
        <v>341</v>
      </c>
      <c r="B27" s="170"/>
      <c r="C27" s="170"/>
      <c r="D27" s="170"/>
      <c r="E27" s="171"/>
      <c r="F27" s="170"/>
      <c r="G27" s="170"/>
      <c r="H27" s="170"/>
      <c r="I27" s="171"/>
      <c r="J27" s="170"/>
      <c r="K27" s="178"/>
      <c r="L27" s="178"/>
      <c r="M27" s="177"/>
      <c r="N27" s="178"/>
      <c r="O27" s="178"/>
      <c r="P27" s="178"/>
      <c r="Q27" s="171"/>
      <c r="R27" s="181">
        <f t="shared" si="0"/>
        <v>0</v>
      </c>
      <c r="S27" s="182">
        <f t="shared" si="2"/>
        <v>0</v>
      </c>
      <c r="T27" s="183"/>
      <c r="U27" s="183"/>
      <c r="V27" s="183"/>
      <c r="W27" s="183"/>
      <c r="X27" s="183"/>
      <c r="Y27" s="186"/>
      <c r="Z27" s="186"/>
      <c r="AA27" s="186"/>
      <c r="AB27" s="186"/>
      <c r="AC27" s="186"/>
      <c r="AD27" s="186"/>
      <c r="AE27" s="186"/>
      <c r="AG27" s="170" t="s">
        <v>341</v>
      </c>
      <c r="AH27" s="170"/>
      <c r="AI27" s="170"/>
      <c r="AJ27" s="170"/>
      <c r="AK27" s="171"/>
      <c r="AL27" s="170"/>
      <c r="AM27" s="170"/>
      <c r="AN27" s="170"/>
      <c r="AO27" s="171"/>
      <c r="AP27" s="170"/>
      <c r="AQ27" s="170"/>
      <c r="AR27" s="170"/>
      <c r="AS27" s="171"/>
      <c r="AT27" s="170"/>
      <c r="AU27" s="170"/>
      <c r="AV27" s="170"/>
      <c r="AW27" s="171"/>
      <c r="AX27" s="181">
        <f t="shared" si="1"/>
        <v>0</v>
      </c>
      <c r="AY27" s="182">
        <f t="shared" si="3"/>
        <v>0</v>
      </c>
      <c r="AZ27" s="186"/>
      <c r="BA27" s="186"/>
      <c r="BB27" s="186"/>
      <c r="BC27" s="186"/>
      <c r="BD27" s="186"/>
      <c r="BE27" s="186"/>
      <c r="BF27" s="186"/>
      <c r="BG27" s="186"/>
      <c r="BH27" s="186"/>
      <c r="BI27" s="186"/>
      <c r="BJ27" s="186"/>
      <c r="BK27" s="186"/>
    </row>
    <row r="28" spans="1:63">
      <c r="A28" s="170" t="s">
        <v>342</v>
      </c>
      <c r="B28" s="170"/>
      <c r="C28" s="170"/>
      <c r="D28" s="170"/>
      <c r="E28" s="171"/>
      <c r="F28" s="170"/>
      <c r="G28" s="170"/>
      <c r="H28" s="170"/>
      <c r="I28" s="171"/>
      <c r="J28" s="170"/>
      <c r="K28" s="178"/>
      <c r="L28" s="178"/>
      <c r="M28" s="177"/>
      <c r="N28" s="178"/>
      <c r="O28" s="178"/>
      <c r="P28" s="178"/>
      <c r="Q28" s="171"/>
      <c r="R28" s="181">
        <f t="shared" si="0"/>
        <v>0</v>
      </c>
      <c r="S28" s="182">
        <f t="shared" si="2"/>
        <v>0</v>
      </c>
      <c r="T28" s="183"/>
      <c r="U28" s="183"/>
      <c r="V28" s="183"/>
      <c r="W28" s="183"/>
      <c r="X28" s="183"/>
      <c r="Y28" s="186"/>
      <c r="Z28" s="186"/>
      <c r="AA28" s="186"/>
      <c r="AB28" s="186"/>
      <c r="AC28" s="186"/>
      <c r="AD28" s="186"/>
      <c r="AE28" s="186"/>
      <c r="AG28" s="170" t="s">
        <v>342</v>
      </c>
      <c r="AH28" s="170"/>
      <c r="AI28" s="170"/>
      <c r="AJ28" s="170"/>
      <c r="AK28" s="171"/>
      <c r="AL28" s="170"/>
      <c r="AM28" s="170"/>
      <c r="AN28" s="170"/>
      <c r="AO28" s="171"/>
      <c r="AP28" s="170"/>
      <c r="AQ28" s="170"/>
      <c r="AR28" s="170"/>
      <c r="AS28" s="171"/>
      <c r="AT28" s="170"/>
      <c r="AU28" s="170"/>
      <c r="AV28" s="170"/>
      <c r="AW28" s="171"/>
      <c r="AX28" s="181">
        <f t="shared" si="1"/>
        <v>0</v>
      </c>
      <c r="AY28" s="182">
        <f t="shared" si="3"/>
        <v>0</v>
      </c>
      <c r="AZ28" s="186"/>
      <c r="BA28" s="186"/>
      <c r="BB28" s="186"/>
      <c r="BC28" s="186"/>
      <c r="BD28" s="186"/>
      <c r="BE28" s="186"/>
      <c r="BF28" s="186"/>
      <c r="BG28" s="186"/>
      <c r="BH28" s="186"/>
      <c r="BI28" s="186"/>
      <c r="BJ28" s="186"/>
      <c r="BK28" s="186"/>
    </row>
    <row r="29" spans="1:63">
      <c r="A29" s="170" t="s">
        <v>343</v>
      </c>
      <c r="B29" s="170"/>
      <c r="C29" s="170"/>
      <c r="D29" s="170"/>
      <c r="E29" s="171"/>
      <c r="F29" s="170"/>
      <c r="G29" s="170"/>
      <c r="H29" s="170"/>
      <c r="I29" s="171"/>
      <c r="J29" s="170"/>
      <c r="K29" s="178"/>
      <c r="L29" s="178"/>
      <c r="M29" s="177"/>
      <c r="N29" s="178"/>
      <c r="O29" s="178"/>
      <c r="P29" s="178"/>
      <c r="Q29" s="171"/>
      <c r="R29" s="181">
        <f t="shared" si="0"/>
        <v>0</v>
      </c>
      <c r="S29" s="182">
        <f t="shared" si="2"/>
        <v>0</v>
      </c>
      <c r="T29" s="183"/>
      <c r="U29" s="183"/>
      <c r="V29" s="183"/>
      <c r="W29" s="183"/>
      <c r="X29" s="183"/>
      <c r="Y29" s="186"/>
      <c r="Z29" s="186"/>
      <c r="AA29" s="186"/>
      <c r="AB29" s="186"/>
      <c r="AC29" s="186"/>
      <c r="AD29" s="186"/>
      <c r="AE29" s="186"/>
      <c r="AG29" s="170" t="s">
        <v>343</v>
      </c>
      <c r="AH29" s="170"/>
      <c r="AI29" s="170"/>
      <c r="AJ29" s="170"/>
      <c r="AK29" s="171"/>
      <c r="AL29" s="170"/>
      <c r="AM29" s="170"/>
      <c r="AN29" s="170"/>
      <c r="AO29" s="171"/>
      <c r="AP29" s="170"/>
      <c r="AQ29" s="170"/>
      <c r="AR29" s="170"/>
      <c r="AS29" s="171"/>
      <c r="AT29" s="170"/>
      <c r="AU29" s="170"/>
      <c r="AV29" s="170"/>
      <c r="AW29" s="171"/>
      <c r="AX29" s="181">
        <f t="shared" si="1"/>
        <v>0</v>
      </c>
      <c r="AY29" s="182">
        <f t="shared" si="3"/>
        <v>0</v>
      </c>
      <c r="AZ29" s="186"/>
      <c r="BA29" s="186"/>
      <c r="BB29" s="186"/>
      <c r="BC29" s="186"/>
      <c r="BD29" s="186"/>
      <c r="BE29" s="186"/>
      <c r="BF29" s="186"/>
      <c r="BG29" s="186"/>
      <c r="BH29" s="186"/>
      <c r="BI29" s="186"/>
      <c r="BJ29" s="186"/>
      <c r="BK29" s="186"/>
    </row>
    <row r="30" spans="1:63">
      <c r="A30" s="170" t="s">
        <v>344</v>
      </c>
      <c r="B30" s="170"/>
      <c r="C30" s="170"/>
      <c r="D30" s="170"/>
      <c r="E30" s="171"/>
      <c r="F30" s="170"/>
      <c r="G30" s="170"/>
      <c r="H30" s="170"/>
      <c r="I30" s="171"/>
      <c r="J30" s="170"/>
      <c r="K30" s="178"/>
      <c r="L30" s="178"/>
      <c r="M30" s="177"/>
      <c r="N30" s="178"/>
      <c r="O30" s="178"/>
      <c r="P30" s="178"/>
      <c r="Q30" s="171"/>
      <c r="R30" s="181">
        <f t="shared" si="0"/>
        <v>0</v>
      </c>
      <c r="S30" s="182">
        <f t="shared" si="2"/>
        <v>0</v>
      </c>
      <c r="T30" s="183"/>
      <c r="U30" s="183"/>
      <c r="V30" s="183"/>
      <c r="W30" s="183"/>
      <c r="X30" s="183"/>
      <c r="Y30" s="186"/>
      <c r="Z30" s="186"/>
      <c r="AA30" s="186"/>
      <c r="AB30" s="186"/>
      <c r="AC30" s="186"/>
      <c r="AD30" s="186"/>
      <c r="AE30" s="186"/>
      <c r="AG30" s="170" t="s">
        <v>344</v>
      </c>
      <c r="AH30" s="170"/>
      <c r="AI30" s="170"/>
      <c r="AJ30" s="170"/>
      <c r="AK30" s="171"/>
      <c r="AL30" s="170"/>
      <c r="AM30" s="170"/>
      <c r="AN30" s="170"/>
      <c r="AO30" s="171"/>
      <c r="AP30" s="170"/>
      <c r="AQ30" s="170"/>
      <c r="AR30" s="170"/>
      <c r="AS30" s="171"/>
      <c r="AT30" s="170"/>
      <c r="AU30" s="170"/>
      <c r="AV30" s="170"/>
      <c r="AW30" s="171"/>
      <c r="AX30" s="181">
        <f t="shared" si="1"/>
        <v>0</v>
      </c>
      <c r="AY30" s="182">
        <f t="shared" si="3"/>
        <v>0</v>
      </c>
      <c r="AZ30" s="186"/>
      <c r="BA30" s="186"/>
      <c r="BB30" s="186"/>
      <c r="BC30" s="186"/>
      <c r="BD30" s="186"/>
      <c r="BE30" s="186"/>
      <c r="BF30" s="186"/>
      <c r="BG30" s="186"/>
      <c r="BH30" s="186"/>
      <c r="BI30" s="186"/>
      <c r="BJ30" s="186"/>
      <c r="BK30" s="186"/>
    </row>
    <row r="31" spans="1:63">
      <c r="A31" s="170" t="s">
        <v>345</v>
      </c>
      <c r="B31" s="170"/>
      <c r="C31" s="170"/>
      <c r="D31" s="170"/>
      <c r="E31" s="171"/>
      <c r="F31" s="170"/>
      <c r="G31" s="170"/>
      <c r="H31" s="170"/>
      <c r="I31" s="171"/>
      <c r="J31" s="170"/>
      <c r="K31" s="178"/>
      <c r="L31" s="178"/>
      <c r="M31" s="177"/>
      <c r="N31" s="178"/>
      <c r="O31" s="178"/>
      <c r="P31" s="178"/>
      <c r="Q31" s="171"/>
      <c r="R31" s="181">
        <f t="shared" si="0"/>
        <v>0</v>
      </c>
      <c r="S31" s="182">
        <f t="shared" si="2"/>
        <v>0</v>
      </c>
      <c r="T31" s="183"/>
      <c r="U31" s="183"/>
      <c r="V31" s="183"/>
      <c r="W31" s="183"/>
      <c r="X31" s="183"/>
      <c r="Y31" s="186"/>
      <c r="Z31" s="186"/>
      <c r="AA31" s="186"/>
      <c r="AB31" s="186"/>
      <c r="AC31" s="186"/>
      <c r="AD31" s="186"/>
      <c r="AE31" s="186"/>
      <c r="AG31" s="170" t="s">
        <v>345</v>
      </c>
      <c r="AH31" s="170"/>
      <c r="AI31" s="170"/>
      <c r="AJ31" s="170"/>
      <c r="AK31" s="171"/>
      <c r="AL31" s="170"/>
      <c r="AM31" s="170"/>
      <c r="AN31" s="170"/>
      <c r="AO31" s="171"/>
      <c r="AP31" s="170"/>
      <c r="AQ31" s="170"/>
      <c r="AR31" s="170"/>
      <c r="AS31" s="171"/>
      <c r="AT31" s="170"/>
      <c r="AU31" s="170"/>
      <c r="AV31" s="170"/>
      <c r="AW31" s="171"/>
      <c r="AX31" s="181">
        <f t="shared" si="1"/>
        <v>0</v>
      </c>
      <c r="AY31" s="182">
        <f t="shared" si="3"/>
        <v>0</v>
      </c>
      <c r="AZ31" s="186"/>
      <c r="BA31" s="186"/>
      <c r="BB31" s="186"/>
      <c r="BC31" s="186"/>
      <c r="BD31" s="186"/>
      <c r="BE31" s="186"/>
      <c r="BF31" s="186"/>
      <c r="BG31" s="186"/>
      <c r="BH31" s="186"/>
      <c r="BI31" s="186"/>
      <c r="BJ31" s="186"/>
      <c r="BK31" s="186"/>
    </row>
    <row r="32" spans="1:63">
      <c r="A32" s="172" t="s">
        <v>346</v>
      </c>
      <c r="B32" s="173">
        <f t="shared" ref="B32:Q32" si="4">SUM(B11:B31)</f>
        <v>0</v>
      </c>
      <c r="C32" s="173">
        <f t="shared" si="4"/>
        <v>0</v>
      </c>
      <c r="D32" s="173">
        <f t="shared" si="4"/>
        <v>0</v>
      </c>
      <c r="E32" s="174">
        <f t="shared" si="4"/>
        <v>0</v>
      </c>
      <c r="F32" s="173">
        <f t="shared" si="4"/>
        <v>0</v>
      </c>
      <c r="G32" s="173">
        <f t="shared" si="4"/>
        <v>0</v>
      </c>
      <c r="H32" s="173">
        <f t="shared" si="4"/>
        <v>0</v>
      </c>
      <c r="I32" s="174">
        <f t="shared" si="4"/>
        <v>0</v>
      </c>
      <c r="J32" s="173">
        <f t="shared" si="4"/>
        <v>0</v>
      </c>
      <c r="K32" s="173">
        <f t="shared" si="4"/>
        <v>0</v>
      </c>
      <c r="L32" s="173">
        <f t="shared" si="4"/>
        <v>141</v>
      </c>
      <c r="M32" s="174">
        <f t="shared" si="4"/>
        <v>39783750</v>
      </c>
      <c r="N32" s="173">
        <f t="shared" si="4"/>
        <v>250</v>
      </c>
      <c r="O32" s="173">
        <f t="shared" si="4"/>
        <v>500</v>
      </c>
      <c r="P32" s="173">
        <f t="shared" si="4"/>
        <v>110</v>
      </c>
      <c r="Q32" s="174">
        <f t="shared" si="4"/>
        <v>79567500</v>
      </c>
      <c r="R32" s="173">
        <f t="shared" ref="R32:AE32" si="5">SUM(R11:R31)</f>
        <v>1001</v>
      </c>
      <c r="S32" s="182">
        <f t="shared" si="5"/>
        <v>119351250</v>
      </c>
      <c r="T32" s="173">
        <f t="shared" si="5"/>
        <v>0</v>
      </c>
      <c r="U32" s="173">
        <f t="shared" si="5"/>
        <v>0</v>
      </c>
      <c r="V32" s="173">
        <f t="shared" si="5"/>
        <v>0</v>
      </c>
      <c r="W32" s="173">
        <f t="shared" si="5"/>
        <v>0</v>
      </c>
      <c r="X32" s="173">
        <f t="shared" si="5"/>
        <v>0</v>
      </c>
      <c r="Y32" s="173">
        <f t="shared" si="5"/>
        <v>0</v>
      </c>
      <c r="Z32" s="173">
        <f t="shared" si="5"/>
        <v>0</v>
      </c>
      <c r="AA32" s="173">
        <f t="shared" si="5"/>
        <v>0</v>
      </c>
      <c r="AB32" s="173">
        <f t="shared" si="5"/>
        <v>0</v>
      </c>
      <c r="AC32" s="173">
        <f t="shared" si="5"/>
        <v>0</v>
      </c>
      <c r="AD32" s="173">
        <f t="shared" si="5"/>
        <v>0</v>
      </c>
      <c r="AE32" s="173">
        <f t="shared" si="5"/>
        <v>0</v>
      </c>
      <c r="AG32" s="172" t="s">
        <v>346</v>
      </c>
      <c r="AH32" s="173">
        <f t="shared" ref="AH32:AW32" si="6">SUM(AH11:AH31)</f>
        <v>0</v>
      </c>
      <c r="AI32" s="173">
        <f t="shared" si="6"/>
        <v>0</v>
      </c>
      <c r="AJ32" s="173">
        <f t="shared" si="6"/>
        <v>0</v>
      </c>
      <c r="AK32" s="174">
        <f t="shared" si="6"/>
        <v>0</v>
      </c>
      <c r="AL32" s="173">
        <f t="shared" si="6"/>
        <v>0</v>
      </c>
      <c r="AM32" s="173">
        <f t="shared" si="6"/>
        <v>0</v>
      </c>
      <c r="AN32" s="173">
        <f t="shared" si="6"/>
        <v>0</v>
      </c>
      <c r="AO32" s="174">
        <f t="shared" si="6"/>
        <v>0</v>
      </c>
      <c r="AP32" s="173">
        <f t="shared" si="6"/>
        <v>0</v>
      </c>
      <c r="AQ32" s="173">
        <f t="shared" si="6"/>
        <v>0</v>
      </c>
      <c r="AR32" s="173">
        <f t="shared" si="6"/>
        <v>141</v>
      </c>
      <c r="AS32" s="174">
        <f t="shared" si="6"/>
        <v>0</v>
      </c>
      <c r="AT32" s="173">
        <f t="shared" si="6"/>
        <v>388</v>
      </c>
      <c r="AU32" s="173">
        <f t="shared" si="6"/>
        <v>325</v>
      </c>
      <c r="AV32" s="173">
        <f t="shared" si="6"/>
        <v>216</v>
      </c>
      <c r="AW32" s="174">
        <f t="shared" si="6"/>
        <v>0</v>
      </c>
      <c r="AX32" s="189">
        <f t="shared" ref="AX32:BK32" si="7">SUM(AX11:AX31)</f>
        <v>1070</v>
      </c>
      <c r="AY32" s="190">
        <f t="shared" si="7"/>
        <v>39783750</v>
      </c>
      <c r="AZ32" s="173">
        <f t="shared" si="7"/>
        <v>0</v>
      </c>
      <c r="BA32" s="173">
        <f t="shared" si="7"/>
        <v>0</v>
      </c>
      <c r="BB32" s="173">
        <f t="shared" si="7"/>
        <v>0</v>
      </c>
      <c r="BC32" s="173">
        <f t="shared" si="7"/>
        <v>0</v>
      </c>
      <c r="BD32" s="173">
        <f t="shared" si="7"/>
        <v>0</v>
      </c>
      <c r="BE32" s="173">
        <f t="shared" si="7"/>
        <v>0</v>
      </c>
      <c r="BF32" s="173">
        <f t="shared" si="7"/>
        <v>0</v>
      </c>
      <c r="BG32" s="173">
        <f t="shared" si="7"/>
        <v>0</v>
      </c>
      <c r="BH32" s="173">
        <f t="shared" si="7"/>
        <v>0</v>
      </c>
      <c r="BI32" s="173">
        <f t="shared" si="7"/>
        <v>0</v>
      </c>
      <c r="BJ32" s="173">
        <f t="shared" si="7"/>
        <v>0</v>
      </c>
      <c r="BK32" s="173">
        <f t="shared" si="7"/>
        <v>0</v>
      </c>
    </row>
    <row r="41" spans="8:19">
      <c r="H41" s="163" t="s">
        <v>347</v>
      </c>
      <c r="I41" s="163">
        <v>13261250</v>
      </c>
      <c r="J41" s="163">
        <v>26522500</v>
      </c>
      <c r="K41" s="164">
        <v>26522500</v>
      </c>
      <c r="L41" s="164">
        <v>26522500</v>
      </c>
      <c r="M41" s="164">
        <v>26522500</v>
      </c>
      <c r="S41" s="184" t="e">
        <f>+#REF!+S32</f>
        <v>#REF!</v>
      </c>
    </row>
    <row r="42" spans="8:19">
      <c r="H42" s="163" t="s">
        <v>348</v>
      </c>
      <c r="I42" s="163">
        <v>13261250</v>
      </c>
      <c r="J42" s="163">
        <v>26522500</v>
      </c>
      <c r="K42" s="164">
        <v>26522500</v>
      </c>
      <c r="L42" s="164">
        <v>26522500</v>
      </c>
      <c r="M42" s="164">
        <v>26522500</v>
      </c>
    </row>
  </sheetData>
  <mergeCells count="28">
    <mergeCell ref="AZ9:BE9"/>
    <mergeCell ref="AJ9:AK9"/>
    <mergeCell ref="AN9:AO9"/>
    <mergeCell ref="AR9:AS9"/>
    <mergeCell ref="AV9:AW9"/>
    <mergeCell ref="AX9:AY9"/>
    <mergeCell ref="BF9:BK9"/>
    <mergeCell ref="A4:BH4"/>
    <mergeCell ref="BI4:BK4"/>
    <mergeCell ref="A5:AE5"/>
    <mergeCell ref="AG5:BK5"/>
    <mergeCell ref="B6:BK6"/>
    <mergeCell ref="A9:A10"/>
    <mergeCell ref="AG9:AG10"/>
    <mergeCell ref="B7:BK7"/>
    <mergeCell ref="D9:E9"/>
    <mergeCell ref="H9:I9"/>
    <mergeCell ref="L9:M9"/>
    <mergeCell ref="P9:Q9"/>
    <mergeCell ref="R9:S9"/>
    <mergeCell ref="T9:Y9"/>
    <mergeCell ref="Z9:AE9"/>
    <mergeCell ref="A1:BH1"/>
    <mergeCell ref="BI1:BK1"/>
    <mergeCell ref="A2:BH2"/>
    <mergeCell ref="BI2:BK2"/>
    <mergeCell ref="A3:BH3"/>
    <mergeCell ref="BI3:BK3"/>
  </mergeCells>
  <printOptions horizontalCentered="1"/>
  <pageMargins left="0.39370078740157499" right="0.39370078740157499" top="0.39370078740157499" bottom="0.39370078740157499" header="0" footer="0"/>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7" tint="0.39994506668294322"/>
  </sheetPr>
  <dimension ref="A1:E11"/>
  <sheetViews>
    <sheetView view="pageBreakPreview" topLeftCell="A8" zoomScale="90" zoomScaleNormal="100" workbookViewId="0">
      <selection activeCell="F14" sqref="F14"/>
    </sheetView>
  </sheetViews>
  <sheetFormatPr defaultColWidth="11.375" defaultRowHeight="13.9"/>
  <cols>
    <col min="1" max="1" width="21" style="152" customWidth="1"/>
    <col min="2" max="2" width="17.375" style="152" customWidth="1"/>
    <col min="3" max="4" width="20.625" style="152" customWidth="1"/>
    <col min="5" max="5" width="24.375" style="152" customWidth="1"/>
    <col min="6" max="16384" width="11.375" style="152"/>
  </cols>
  <sheetData>
    <row r="1" spans="1:5" s="151" customFormat="1" ht="16.5" customHeight="1">
      <c r="A1" s="721"/>
      <c r="B1" s="729" t="s">
        <v>121</v>
      </c>
      <c r="C1" s="729"/>
      <c r="D1" s="729"/>
      <c r="E1" s="153" t="s">
        <v>122</v>
      </c>
    </row>
    <row r="2" spans="1:5" s="151" customFormat="1" ht="20.25" customHeight="1">
      <c r="A2" s="722"/>
      <c r="B2" s="730" t="s">
        <v>123</v>
      </c>
      <c r="C2" s="730"/>
      <c r="D2" s="730"/>
      <c r="E2" s="154" t="s">
        <v>124</v>
      </c>
    </row>
    <row r="3" spans="1:5" s="151" customFormat="1" ht="30" customHeight="1">
      <c r="A3" s="722"/>
      <c r="B3" s="724" t="s">
        <v>125</v>
      </c>
      <c r="C3" s="724"/>
      <c r="D3" s="724"/>
      <c r="E3" s="154" t="s">
        <v>126</v>
      </c>
    </row>
    <row r="4" spans="1:5" s="151" customFormat="1" ht="16.5" customHeight="1">
      <c r="A4" s="723"/>
      <c r="B4" s="725"/>
      <c r="C4" s="725"/>
      <c r="D4" s="725"/>
      <c r="E4" s="155" t="s">
        <v>349</v>
      </c>
    </row>
    <row r="5" spans="1:5" s="151" customFormat="1" ht="9" customHeight="1">
      <c r="A5" s="152"/>
      <c r="B5" s="152"/>
      <c r="C5" s="152"/>
      <c r="D5" s="152"/>
      <c r="E5" s="152"/>
    </row>
    <row r="6" spans="1:5" ht="14.25" customHeight="1">
      <c r="A6" s="731" t="s">
        <v>350</v>
      </c>
      <c r="B6" s="732"/>
      <c r="C6" s="732"/>
      <c r="D6" s="732"/>
      <c r="E6" s="733"/>
    </row>
    <row r="7" spans="1:5" ht="42.6" customHeight="1">
      <c r="A7" s="156" t="s">
        <v>351</v>
      </c>
      <c r="B7" s="157" t="s">
        <v>352</v>
      </c>
      <c r="C7" s="734" t="s">
        <v>353</v>
      </c>
      <c r="D7" s="734"/>
      <c r="E7" s="735"/>
    </row>
    <row r="8" spans="1:5" s="151" customFormat="1" ht="221.1" customHeight="1">
      <c r="A8" s="158">
        <v>45572</v>
      </c>
      <c r="B8" s="159" t="s">
        <v>354</v>
      </c>
      <c r="C8" s="736" t="s">
        <v>355</v>
      </c>
      <c r="D8" s="737"/>
      <c r="E8" s="738"/>
    </row>
    <row r="9" spans="1:5" s="151" customFormat="1" ht="123" customHeight="1">
      <c r="A9" s="158">
        <v>45594</v>
      </c>
      <c r="B9" s="160" t="s">
        <v>356</v>
      </c>
      <c r="C9" s="726" t="s">
        <v>357</v>
      </c>
      <c r="D9" s="727"/>
      <c r="E9" s="728"/>
    </row>
    <row r="10" spans="1:5" ht="96" customHeight="1">
      <c r="A10" s="158">
        <v>45653</v>
      </c>
      <c r="B10" s="160" t="s">
        <v>356</v>
      </c>
      <c r="C10" s="726" t="s">
        <v>358</v>
      </c>
      <c r="D10" s="727"/>
      <c r="E10" s="728"/>
    </row>
    <row r="11" spans="1:5" ht="14.45" thickBot="1">
      <c r="A11" s="161"/>
      <c r="B11" s="162"/>
      <c r="C11" s="718"/>
      <c r="D11" s="719"/>
      <c r="E11" s="720"/>
    </row>
  </sheetData>
  <mergeCells count="10">
    <mergeCell ref="C11:E11"/>
    <mergeCell ref="A1:A4"/>
    <mergeCell ref="B3:D4"/>
    <mergeCell ref="C9:E9"/>
    <mergeCell ref="C10:E10"/>
    <mergeCell ref="B1:D1"/>
    <mergeCell ref="B2:D2"/>
    <mergeCell ref="A6:E6"/>
    <mergeCell ref="C7:E7"/>
    <mergeCell ref="C8:E8"/>
  </mergeCells>
  <pageMargins left="0.7" right="0.7" top="0.75" bottom="0.75" header="0.3" footer="0.3"/>
  <pageSetup paperSize="9" scale="81"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674EC"/>
  </sheetPr>
  <dimension ref="A1:T21"/>
  <sheetViews>
    <sheetView topLeftCell="H2" workbookViewId="0">
      <selection activeCell="Q17" sqref="Q17"/>
    </sheetView>
  </sheetViews>
  <sheetFormatPr defaultColWidth="10.875" defaultRowHeight="10.15"/>
  <cols>
    <col min="1" max="1" width="3.625" style="124" customWidth="1"/>
    <col min="2" max="2" width="42.125" style="125" customWidth="1"/>
    <col min="3" max="3" width="14.625" style="126" customWidth="1"/>
    <col min="4" max="4" width="15.125" style="127" customWidth="1"/>
    <col min="5" max="5" width="12.625" style="124" customWidth="1"/>
    <col min="6" max="6" width="12.375" style="128" customWidth="1"/>
    <col min="7" max="7" width="10.875" style="125"/>
    <col min="8" max="10" width="11.375" style="125" customWidth="1"/>
    <col min="11" max="13" width="10.875" style="125"/>
    <col min="14" max="14" width="10.875" style="129"/>
    <col min="15" max="16" width="11.375" style="129" customWidth="1"/>
    <col min="17" max="18" width="13.375" style="129" customWidth="1"/>
    <col min="19" max="16384" width="10.875" style="129"/>
  </cols>
  <sheetData>
    <row r="1" spans="1:20" s="122" customFormat="1" ht="30.6">
      <c r="A1" s="739" t="s">
        <v>359</v>
      </c>
      <c r="B1" s="739"/>
      <c r="C1" s="131" t="s">
        <v>360</v>
      </c>
      <c r="D1" s="132" t="s">
        <v>361</v>
      </c>
      <c r="E1" s="130" t="s">
        <v>362</v>
      </c>
      <c r="F1" s="133" t="s">
        <v>363</v>
      </c>
      <c r="G1" s="124"/>
      <c r="H1" s="134" t="s">
        <v>364</v>
      </c>
      <c r="I1" s="134" t="s">
        <v>365</v>
      </c>
      <c r="J1" s="134" t="s">
        <v>366</v>
      </c>
      <c r="K1" s="147" t="s">
        <v>367</v>
      </c>
      <c r="L1" s="147" t="s">
        <v>368</v>
      </c>
      <c r="M1" s="376" t="s">
        <v>369</v>
      </c>
      <c r="N1" s="376" t="s">
        <v>370</v>
      </c>
      <c r="O1" s="147" t="s">
        <v>371</v>
      </c>
      <c r="P1" s="147" t="s">
        <v>372</v>
      </c>
      <c r="Q1" s="376" t="s">
        <v>373</v>
      </c>
      <c r="R1" s="376" t="s">
        <v>374</v>
      </c>
      <c r="S1" s="147" t="s">
        <v>375</v>
      </c>
      <c r="T1" s="147" t="s">
        <v>376</v>
      </c>
    </row>
    <row r="2" spans="1:20" ht="47.1" customHeight="1">
      <c r="A2" s="122">
        <v>1</v>
      </c>
      <c r="B2" s="135" t="str">
        <f>+Meta.1!C17</f>
        <v>Desarrollar 1 estrategia para potenciar las habilidades y capacidades de las mujeres en sus diversidades que aporten a su empoderamiento y autonomía económica. (Producto MGA - Servicio de educación informal)</v>
      </c>
      <c r="C2" s="136">
        <f>+Meta.1!AC22</f>
        <v>171792927</v>
      </c>
      <c r="D2" s="137">
        <v>0.39</v>
      </c>
      <c r="E2" s="135" t="s">
        <v>377</v>
      </c>
      <c r="F2" s="138">
        <v>1</v>
      </c>
      <c r="G2" s="139"/>
      <c r="H2" s="126">
        <f>+Meta.1!AC22</f>
        <v>171792927</v>
      </c>
      <c r="I2" s="126">
        <f>+Meta.1!AC23</f>
        <v>171792927</v>
      </c>
      <c r="J2" s="148">
        <f>+I2/H2</f>
        <v>1</v>
      </c>
      <c r="K2" s="126">
        <f>+Meta.1!X24</f>
        <v>0</v>
      </c>
      <c r="L2" s="126">
        <f>+Meta.1!X25</f>
        <v>0</v>
      </c>
      <c r="M2" s="126">
        <f>+Meta.1!Y24</f>
        <v>21248350</v>
      </c>
      <c r="N2" s="126">
        <f>+Meta.1!Y25</f>
        <v>10702902</v>
      </c>
      <c r="O2" s="126">
        <f>+Meta.1!Z24</f>
        <v>39790700</v>
      </c>
      <c r="P2" s="126">
        <f>+Meta.1!Z25</f>
        <v>39437064</v>
      </c>
      <c r="Q2" s="126">
        <f>Meta.1!AA24</f>
        <v>39790700</v>
      </c>
      <c r="R2" s="126">
        <f>Meta.1!AA25</f>
        <v>39790700</v>
      </c>
      <c r="S2" s="126">
        <f>Meta.1!AB24</f>
        <v>70963177</v>
      </c>
      <c r="T2" s="126">
        <f>Meta.1!AB25</f>
        <v>78645860</v>
      </c>
    </row>
    <row r="3" spans="1:20" ht="47.1" customHeight="1">
      <c r="A3" s="122">
        <v>2</v>
      </c>
      <c r="B3" s="135" t="str">
        <f>+Meta.2!C17</f>
        <v>Cualificar 9000 mujeres en sus diferencias y diversidades en herramientas para la autonomía económica. (Producto MGA - Servicio de educación informal)</v>
      </c>
      <c r="C3" s="136">
        <f>+Meta.2!AC22</f>
        <v>195686688</v>
      </c>
      <c r="D3" s="137">
        <v>0.39</v>
      </c>
      <c r="E3" s="135" t="s">
        <v>377</v>
      </c>
      <c r="F3" s="138">
        <v>1000</v>
      </c>
      <c r="G3" s="139"/>
      <c r="H3" s="126">
        <f>+Meta.2!AC22</f>
        <v>195686688</v>
      </c>
      <c r="I3" s="126">
        <f>+Meta.2!AC23</f>
        <v>195686688</v>
      </c>
      <c r="J3" s="148">
        <f t="shared" ref="J3:J4" si="0">+I3/H3</f>
        <v>1</v>
      </c>
      <c r="K3" s="126">
        <f>+Meta.2!X24</f>
        <v>0</v>
      </c>
      <c r="L3" s="126">
        <f>+Meta.2!X25</f>
        <v>0</v>
      </c>
      <c r="M3" s="126">
        <f>+Meta.2!Y24</f>
        <v>21248350</v>
      </c>
      <c r="N3" s="126">
        <f>+Meta.2!Y25</f>
        <v>10702909</v>
      </c>
      <c r="O3" s="126">
        <f>+Meta.2!Z24</f>
        <v>39790700</v>
      </c>
      <c r="P3" s="126">
        <f>+Meta.2!Z25</f>
        <v>39437068</v>
      </c>
      <c r="Q3" s="126">
        <f>Meta.2!AA24</f>
        <v>39790700</v>
      </c>
      <c r="R3" s="126">
        <f>Meta.2!AA25</f>
        <v>39790700</v>
      </c>
      <c r="S3" s="126">
        <f>Meta.2!AB24</f>
        <v>67746767</v>
      </c>
      <c r="T3" s="126">
        <f>Meta.2!AB25</f>
        <v>78645840</v>
      </c>
    </row>
    <row r="4" spans="1:20" ht="50.25" customHeight="1">
      <c r="A4" s="122">
        <v>3</v>
      </c>
      <c r="B4" s="135" t="str">
        <f>+Meta.3!C17</f>
        <v>Gestionar 1 portafolio de oportunidades a través de aliados públicos y privados para el empoderamiento y autonomía económica de las mujeres de Bogotá. (Producto MGA - Documento de lineamientos técnicos)</v>
      </c>
      <c r="C4" s="136">
        <f>+Meta.3!AC22</f>
        <v>121942254</v>
      </c>
      <c r="D4" s="137">
        <v>0.22</v>
      </c>
      <c r="E4" s="135" t="s">
        <v>378</v>
      </c>
      <c r="F4" s="128">
        <v>1</v>
      </c>
      <c r="G4" s="139"/>
      <c r="H4" s="126">
        <f>+Meta.3!AC22</f>
        <v>121942254</v>
      </c>
      <c r="I4" s="126">
        <f>+Meta.3!AC23</f>
        <v>121942254</v>
      </c>
      <c r="J4" s="148">
        <f t="shared" si="0"/>
        <v>1</v>
      </c>
      <c r="K4" s="126">
        <f>+Meta.3!X24</f>
        <v>0</v>
      </c>
      <c r="L4" s="126">
        <f>+Meta.3!X25</f>
        <v>0</v>
      </c>
      <c r="M4" s="126">
        <f>+Meta.3!Y24</f>
        <v>13580800</v>
      </c>
      <c r="N4" s="126">
        <f>+Meta.3!Y25</f>
        <v>16997887</v>
      </c>
      <c r="O4" s="126">
        <f>+Meta.3!Z24</f>
        <v>24373600</v>
      </c>
      <c r="P4" s="126">
        <f>+Meta.3!Z25</f>
        <v>24373600</v>
      </c>
      <c r="Q4" s="126">
        <f>Meta.3!AA24</f>
        <v>24373600</v>
      </c>
      <c r="R4" s="126">
        <f>Meta.3!AA25</f>
        <v>24373600</v>
      </c>
      <c r="S4" s="126">
        <f>Meta.3!AB24</f>
        <v>51200387</v>
      </c>
      <c r="T4" s="126">
        <f>Meta.3!AB25</f>
        <v>47783300</v>
      </c>
    </row>
    <row r="5" spans="1:20" s="123" customFormat="1">
      <c r="A5" s="140"/>
      <c r="B5" s="141"/>
      <c r="C5" s="142"/>
      <c r="D5" s="143"/>
      <c r="E5" s="141"/>
      <c r="F5" s="144"/>
      <c r="G5" s="145"/>
      <c r="H5" s="145"/>
      <c r="I5" s="145"/>
      <c r="J5" s="145"/>
      <c r="K5" s="142">
        <f t="shared" ref="K5:P5" si="1">SUM(K2:K4)</f>
        <v>0</v>
      </c>
      <c r="L5" s="142">
        <f t="shared" si="1"/>
        <v>0</v>
      </c>
      <c r="M5" s="142">
        <f t="shared" si="1"/>
        <v>56077500</v>
      </c>
      <c r="N5" s="142">
        <f t="shared" si="1"/>
        <v>38403698</v>
      </c>
      <c r="O5" s="142">
        <f t="shared" si="1"/>
        <v>103955000</v>
      </c>
      <c r="P5" s="142">
        <f t="shared" si="1"/>
        <v>103247732</v>
      </c>
      <c r="Q5" s="142">
        <f t="shared" ref="Q5:T5" si="2">SUM(Q2:Q4)</f>
        <v>103955000</v>
      </c>
      <c r="R5" s="142">
        <f t="shared" si="2"/>
        <v>103955000</v>
      </c>
      <c r="S5" s="142">
        <f t="shared" si="2"/>
        <v>189910331</v>
      </c>
      <c r="T5" s="142">
        <f t="shared" si="2"/>
        <v>205075000</v>
      </c>
    </row>
    <row r="6" spans="1:20" s="123" customFormat="1">
      <c r="A6" s="140"/>
      <c r="B6" s="145"/>
      <c r="C6" s="142">
        <f>+C2+C3+C4+C5</f>
        <v>489421869</v>
      </c>
      <c r="D6" s="143">
        <f>SUM(D2:D5)</f>
        <v>1</v>
      </c>
      <c r="E6" s="140"/>
      <c r="F6" s="144"/>
      <c r="G6" s="146"/>
      <c r="H6" s="142">
        <f>SUM(H2:H4)</f>
        <v>489421869</v>
      </c>
      <c r="I6" s="142">
        <f>SUM(I2:I4)</f>
        <v>489421869</v>
      </c>
      <c r="J6" s="145"/>
      <c r="K6" s="145"/>
      <c r="L6" s="145"/>
      <c r="M6" s="145"/>
      <c r="N6" s="149">
        <f>+N5/M5</f>
        <v>0.68483256207926502</v>
      </c>
      <c r="P6" s="149">
        <f>+P5/O5</f>
        <v>0.99319640228945205</v>
      </c>
      <c r="Q6" s="145"/>
      <c r="R6" s="149">
        <f>+R5/Q5</f>
        <v>1</v>
      </c>
      <c r="T6" s="149">
        <f>+T5/S5</f>
        <v>1.0798517327632902</v>
      </c>
    </row>
    <row r="7" spans="1:20">
      <c r="I7" s="150">
        <f>+I6/H6</f>
        <v>1</v>
      </c>
    </row>
    <row r="9" spans="1:20">
      <c r="I9" s="126"/>
      <c r="R9" s="136">
        <f>L5+N5+P5+R5</f>
        <v>245606430</v>
      </c>
    </row>
    <row r="12" spans="1:20">
      <c r="H12" s="740" t="s">
        <v>379</v>
      </c>
      <c r="I12" s="740"/>
      <c r="J12" s="740"/>
    </row>
    <row r="13" spans="1:20" ht="30.6">
      <c r="H13" s="134" t="s">
        <v>380</v>
      </c>
      <c r="I13" s="134" t="s">
        <v>381</v>
      </c>
      <c r="J13" s="134" t="s">
        <v>366</v>
      </c>
    </row>
    <row r="14" spans="1:20">
      <c r="H14" s="126">
        <f>+Meta.1!X22</f>
        <v>178540050</v>
      </c>
      <c r="I14" s="126">
        <f>+Meta.1!AC23</f>
        <v>171792927</v>
      </c>
      <c r="J14" s="148">
        <f>+I14/C2</f>
        <v>1</v>
      </c>
    </row>
    <row r="15" spans="1:20">
      <c r="H15" s="126">
        <f>+Meta.2!X22</f>
        <v>178540050</v>
      </c>
      <c r="I15" s="126">
        <f>+Meta.2!X23</f>
        <v>178540050</v>
      </c>
      <c r="J15" s="148">
        <f>+I15/C3</f>
        <v>0.91237708514950189</v>
      </c>
    </row>
    <row r="16" spans="1:20">
      <c r="H16" s="126">
        <f>+Meta.3!X22</f>
        <v>106312400</v>
      </c>
      <c r="I16" s="126">
        <f>+Meta.3!X23</f>
        <v>106312400</v>
      </c>
      <c r="J16" s="148">
        <f>+I16/C4</f>
        <v>0.87182577418980622</v>
      </c>
    </row>
    <row r="17" spans="8:10">
      <c r="H17" s="145"/>
      <c r="I17" s="145"/>
      <c r="J17" s="145"/>
    </row>
    <row r="18" spans="8:10">
      <c r="H18" s="142">
        <v>463392500</v>
      </c>
      <c r="I18" s="142">
        <v>463392500</v>
      </c>
      <c r="J18" s="145"/>
    </row>
    <row r="19" spans="8:10">
      <c r="I19" s="150">
        <f>+I18/H18</f>
        <v>1</v>
      </c>
    </row>
    <row r="21" spans="8:10">
      <c r="I21" s="126">
        <f>+C6-I18</f>
        <v>26029369</v>
      </c>
    </row>
  </sheetData>
  <mergeCells count="2">
    <mergeCell ref="A1:B1"/>
    <mergeCell ref="H12:J12"/>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26100-ED27-4D8E-8D4B-4B9F3D76A4E8}"/>
</file>

<file path=customXml/itemProps2.xml><?xml version="1.0" encoding="utf-8"?>
<ds:datastoreItem xmlns:ds="http://schemas.openxmlformats.org/officeDocument/2006/customXml" ds:itemID="{202E8B72-858C-4889-8960-E361352B4DBB}"/>
</file>

<file path=customXml/itemProps3.xml><?xml version="1.0" encoding="utf-8"?>
<ds:datastoreItem xmlns:ds="http://schemas.openxmlformats.org/officeDocument/2006/customXml" ds:itemID="{76725F5B-FF5C-430D-AB20-F37D6003D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Mcallister Granados Gonzalez</cp:lastModifiedBy>
  <cp:revision/>
  <dcterms:created xsi:type="dcterms:W3CDTF">2011-04-26T22:16:00Z</dcterms:created>
  <dcterms:modified xsi:type="dcterms:W3CDTF">2025-01-31T14:56:29Z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y fmtid="{D5CDD505-2E9C-101B-9397-08002B2CF9AE}" pid="4" name="ICV">
    <vt:lpwstr>479BC5AA1A474B2CB36FD9D3933EF427_12</vt:lpwstr>
  </property>
  <property fmtid="{D5CDD505-2E9C-101B-9397-08002B2CF9AE}" pid="5" name="KSOProductBuildVer">
    <vt:lpwstr>1033-12.2.0.19307</vt:lpwstr>
  </property>
</Properties>
</file>