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5.xml" ContentType="application/vnd.openxmlformats-officedocument.spreadsheetml.comments+xml"/>
  <Override PartName="/xl/threadedComments/threadedComment2.xml" ContentType="application/vnd.ms-excel.threadedcomments+xml"/>
  <Override PartName="/xl/documenttasks/documenttask1.xml" ContentType="application/vnd.ms-excel.documenttasks+xml"/>
  <Override PartName="/xl/comments6.xml" ContentType="application/vnd.openxmlformats-officedocument.spreadsheetml.comments+xml"/>
  <Override PartName="/xl/drawings/drawing6.xml" ContentType="application/vnd.openxmlformats-officedocument.drawing+xml"/>
  <Override PartName="/xl/comments7.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codeName="ThisWorkbook" defaultThemeVersion="124226"/>
  <mc:AlternateContent xmlns:mc="http://schemas.openxmlformats.org/markup-compatibility/2006">
    <mc:Choice Requires="x15">
      <x15ac:absPath xmlns:x15ac="http://schemas.microsoft.com/office/spreadsheetml/2010/11/ac" url="https://secretariadistritald-my.sharepoint.com/personal/yesanchez_sdmujer_gov_co/Documents/SDM_2024/8198/Plan_Acción_2024/Seguimientos PA/"/>
    </mc:Choice>
  </mc:AlternateContent>
  <xr:revisionPtr revIDLastSave="8" documentId="8_{68103F93-332C-42BE-952F-73A0BF1F86E5}" xr6:coauthVersionLast="47" xr6:coauthVersionMax="47" xr10:uidLastSave="{E369667E-957E-4FDE-897E-7E1DF7384474}"/>
  <bookViews>
    <workbookView xWindow="-120" yWindow="-120" windowWidth="29040" windowHeight="15720" activeTab="1" xr2:uid="{00000000-000D-0000-FFFF-FFFF00000000}"/>
  </bookViews>
  <sheets>
    <sheet name="Instructivo" sheetId="44" r:id="rId1"/>
    <sheet name="Meta.1" sheetId="45" r:id="rId2"/>
    <sheet name="Meta.3" sheetId="40" r:id="rId3"/>
    <sheet name="Meta.4" sheetId="46" r:id="rId4"/>
    <sheet name="Meta.5" sheetId="47" r:id="rId5"/>
    <sheet name="Indicadores PA" sheetId="36" r:id="rId6"/>
    <sheet name="Hoja1" sheetId="42" state="hidden" r:id="rId7"/>
    <sheet name="Territorialización PA" sheetId="37" r:id="rId8"/>
    <sheet name="Control de Cambios" sheetId="41" r:id="rId9"/>
    <sheet name="Proyecto" sheetId="48" r:id="rId10"/>
    <sheet name="8198.SCPI" sheetId="52" r:id="rId11"/>
    <sheet name="listas" sheetId="43" state="hidden" r:id="rId12"/>
  </sheets>
  <definedNames>
    <definedName name="_xlnm._FilterDatabase" localSheetId="10" hidden="1">'8198.SCPI'!$A$1:$CC$1</definedName>
    <definedName name="_xlnm._FilterDatabase" localSheetId="5" hidden="1">'Indicadores PA'!$A$12:$AV$12</definedName>
    <definedName name="_xlnm.Print_Area" localSheetId="5">'Indicadores PA'!$A$1:$AV$23</definedName>
    <definedName name="_xlnm.Print_Area" localSheetId="1">Meta.1!$A$1:$AE$48</definedName>
    <definedName name="_xlnm.Print_Area" localSheetId="2">Meta.3!$A$1:$AE$52</definedName>
    <definedName name="_xlnm.Print_Area" localSheetId="3">Meta.4!$A$1:$AE$46</definedName>
    <definedName name="_xlnm.Print_Area" localSheetId="4">Meta.5!$A$1:$AE$48</definedName>
    <definedName name="_xlnm.Print_Area" localSheetId="7">'Territorialización PA'!$A$1:$BK$86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3" i="45" l="1"/>
  <c r="AC23" i="47" l="1"/>
  <c r="AA25" i="46"/>
  <c r="AA25" i="45"/>
  <c r="AA25" i="40"/>
  <c r="AA23" i="40"/>
  <c r="T6" i="48"/>
  <c r="T5" i="48"/>
  <c r="T4" i="48"/>
  <c r="T3" i="48"/>
  <c r="T2" i="48"/>
  <c r="Z23" i="40"/>
  <c r="G5" i="48"/>
  <c r="BT100" i="52" l="1"/>
  <c r="BP97" i="52"/>
  <c r="BP80" i="52"/>
  <c r="BP76" i="52"/>
  <c r="BP63" i="52"/>
  <c r="BP62" i="52"/>
  <c r="BP56" i="52"/>
  <c r="BS52" i="52"/>
  <c r="BS51" i="52"/>
  <c r="AS51" i="52"/>
  <c r="BH47" i="52"/>
  <c r="BP66" i="52" s="1"/>
  <c r="BH46" i="52"/>
  <c r="BL46" i="52" s="1"/>
  <c r="BH45" i="52"/>
  <c r="BE44" i="52"/>
  <c r="BP64" i="52" s="1"/>
  <c r="BN42" i="52"/>
  <c r="BP42" i="52" s="1"/>
  <c r="BE42" i="52"/>
  <c r="BL41" i="52"/>
  <c r="BP65" i="52" s="1"/>
  <c r="BQ65" i="52" s="1"/>
  <c r="BE41" i="52"/>
  <c r="BO39" i="52"/>
  <c r="BP39" i="52" s="1"/>
  <c r="BS37" i="52"/>
  <c r="BR37" i="52"/>
  <c r="BK37" i="52"/>
  <c r="BJ37" i="52"/>
  <c r="AZ37" i="52"/>
  <c r="AX37" i="52"/>
  <c r="AL37" i="52"/>
  <c r="AK37" i="52"/>
  <c r="AJ37" i="52"/>
  <c r="AI37" i="52"/>
  <c r="AH37" i="52"/>
  <c r="AG37" i="52"/>
  <c r="BH35" i="52"/>
  <c r="AG35" i="52"/>
  <c r="BG34" i="52"/>
  <c r="BC34" i="52"/>
  <c r="AL34" i="52"/>
  <c r="BH34" i="52" s="1"/>
  <c r="AG34" i="52"/>
  <c r="BG33" i="52"/>
  <c r="BC33" i="52"/>
  <c r="BH33" i="52" s="1"/>
  <c r="AL33" i="52"/>
  <c r="AG33" i="52"/>
  <c r="BY31" i="52"/>
  <c r="BU31" i="52"/>
  <c r="BS31" i="52"/>
  <c r="BR31" i="52"/>
  <c r="BZ30" i="52"/>
  <c r="BL30" i="52"/>
  <c r="BG30" i="52"/>
  <c r="BA30" i="52"/>
  <c r="BH30" i="52" s="1"/>
  <c r="BU29" i="52"/>
  <c r="CA29" i="52" s="1"/>
  <c r="BM29" i="52"/>
  <c r="BG29" i="52"/>
  <c r="AS29" i="52"/>
  <c r="BE29" i="52" s="1"/>
  <c r="BT28" i="52"/>
  <c r="BZ28" i="52" s="1"/>
  <c r="BL28" i="52"/>
  <c r="BG28" i="52"/>
  <c r="BE28" i="52"/>
  <c r="AS28" i="52"/>
  <c r="BC28" i="52" s="1"/>
  <c r="BU27" i="52"/>
  <c r="CA27" i="52" s="1"/>
  <c r="BM27" i="52"/>
  <c r="BG27" i="52"/>
  <c r="BE27" i="52"/>
  <c r="BC27" i="52"/>
  <c r="AS27" i="52"/>
  <c r="BA27" i="52" s="1"/>
  <c r="BT26" i="52"/>
  <c r="BZ26" i="52" s="1"/>
  <c r="BL26" i="52"/>
  <c r="BG26" i="52"/>
  <c r="BE26" i="52"/>
  <c r="BC26" i="52"/>
  <c r="BA26" i="52"/>
  <c r="AS26" i="52"/>
  <c r="AY26" i="52" s="1"/>
  <c r="BU25" i="52"/>
  <c r="CA25" i="52" s="1"/>
  <c r="BM25" i="52"/>
  <c r="BG25" i="52"/>
  <c r="BE25" i="52"/>
  <c r="BC25" i="52"/>
  <c r="BA25" i="52"/>
  <c r="AY25" i="52"/>
  <c r="AS25" i="52"/>
  <c r="AW25" i="52" s="1"/>
  <c r="BH25" i="52" s="1"/>
  <c r="BT24" i="52"/>
  <c r="BZ24" i="52" s="1"/>
  <c r="BL24" i="52"/>
  <c r="BG24" i="52"/>
  <c r="BE24" i="52"/>
  <c r="BC24" i="52"/>
  <c r="BA24" i="52"/>
  <c r="AY24" i="52"/>
  <c r="AW24" i="52"/>
  <c r="BH24" i="52" s="1"/>
  <c r="AS24" i="52"/>
  <c r="BU23" i="52"/>
  <c r="CA23" i="52" s="1"/>
  <c r="BM23" i="52"/>
  <c r="BG23" i="52"/>
  <c r="AS23" i="52"/>
  <c r="BT22" i="52"/>
  <c r="BZ22" i="52" s="1"/>
  <c r="BL22" i="52"/>
  <c r="BG22" i="52"/>
  <c r="AS22" i="52"/>
  <c r="CA21" i="52"/>
  <c r="BU21" i="52"/>
  <c r="BM21" i="52"/>
  <c r="BG21" i="52"/>
  <c r="AS21" i="52"/>
  <c r="BT20" i="52"/>
  <c r="BZ20" i="52" s="1"/>
  <c r="BL20" i="52"/>
  <c r="BG20" i="52"/>
  <c r="AS20" i="52"/>
  <c r="BC20" i="52" s="1"/>
  <c r="BU19" i="52"/>
  <c r="CA19" i="52" s="1"/>
  <c r="BM19" i="52"/>
  <c r="BG19" i="52"/>
  <c r="AS19" i="52"/>
  <c r="BC19" i="52" s="1"/>
  <c r="BT18" i="52"/>
  <c r="BZ18" i="52" s="1"/>
  <c r="BL18" i="52"/>
  <c r="BG18" i="52"/>
  <c r="AS18" i="52"/>
  <c r="BC18" i="52" s="1"/>
  <c r="BU17" i="52"/>
  <c r="CA17" i="52" s="1"/>
  <c r="BM17" i="52"/>
  <c r="BG17" i="52"/>
  <c r="AS17" i="52"/>
  <c r="BE17" i="52" s="1"/>
  <c r="BT16" i="52"/>
  <c r="BZ16" i="52" s="1"/>
  <c r="BL16" i="52"/>
  <c r="BG16" i="52"/>
  <c r="BE16" i="52"/>
  <c r="AS16" i="52"/>
  <c r="BC16" i="52" s="1"/>
  <c r="BU15" i="52"/>
  <c r="CA15" i="52" s="1"/>
  <c r="BM15" i="52"/>
  <c r="BG15" i="52"/>
  <c r="BE15" i="52"/>
  <c r="BC15" i="52"/>
  <c r="AS15" i="52"/>
  <c r="BA15" i="52" s="1"/>
  <c r="BT14" i="52"/>
  <c r="BZ14" i="52" s="1"/>
  <c r="BL14" i="52"/>
  <c r="BG14" i="52"/>
  <c r="BE14" i="52"/>
  <c r="BC14" i="52"/>
  <c r="BA14" i="52"/>
  <c r="AS14" i="52"/>
  <c r="AY14" i="52" s="1"/>
  <c r="BU13" i="52"/>
  <c r="CA13" i="52" s="1"/>
  <c r="BM13" i="52"/>
  <c r="BG13" i="52"/>
  <c r="BE13" i="52"/>
  <c r="BC13" i="52"/>
  <c r="BA13" i="52"/>
  <c r="AY13" i="52"/>
  <c r="AS13" i="52"/>
  <c r="AW13" i="52" s="1"/>
  <c r="BH13" i="52" s="1"/>
  <c r="BT12" i="52"/>
  <c r="BZ12" i="52" s="1"/>
  <c r="BL12" i="52"/>
  <c r="BG12" i="52"/>
  <c r="BE12" i="52"/>
  <c r="BC12" i="52"/>
  <c r="BA12" i="52"/>
  <c r="AY12" i="52"/>
  <c r="AW12" i="52"/>
  <c r="AS12" i="52"/>
  <c r="BT11" i="52"/>
  <c r="BZ11" i="52" s="1"/>
  <c r="BL11" i="52"/>
  <c r="BG11" i="52"/>
  <c r="BE11" i="52"/>
  <c r="BC11" i="52"/>
  <c r="BA11" i="52"/>
  <c r="AY11" i="52"/>
  <c r="AW11" i="52"/>
  <c r="BH11" i="52" s="1"/>
  <c r="CB10" i="52"/>
  <c r="BV10" i="52"/>
  <c r="BN10" i="52"/>
  <c r="BG10" i="52"/>
  <c r="BE10" i="52"/>
  <c r="BC10" i="52"/>
  <c r="BA10" i="52"/>
  <c r="AY10" i="52"/>
  <c r="AW10" i="52"/>
  <c r="BH10" i="52" s="1"/>
  <c r="BT9" i="52"/>
  <c r="BT31" i="52" s="1"/>
  <c r="BL9" i="52"/>
  <c r="BL37" i="52" s="1"/>
  <c r="BG9" i="52"/>
  <c r="BE9" i="52"/>
  <c r="BC9" i="52"/>
  <c r="BA9" i="52"/>
  <c r="AY9" i="52"/>
  <c r="AW9" i="52"/>
  <c r="BH9" i="52" s="1"/>
  <c r="BV8" i="52"/>
  <c r="CB8" i="52" s="1"/>
  <c r="BN8" i="52"/>
  <c r="BG8" i="52"/>
  <c r="BH8" i="52" s="1"/>
  <c r="BE8" i="52"/>
  <c r="BC8" i="52"/>
  <c r="BA8" i="52"/>
  <c r="AY8" i="52"/>
  <c r="AW8" i="52"/>
  <c r="BU7" i="52"/>
  <c r="BU37" i="52" s="1"/>
  <c r="BM7" i="52"/>
  <c r="BM37" i="52" s="1"/>
  <c r="BG7" i="52"/>
  <c r="BP54" i="52" s="1"/>
  <c r="BR56" i="52" s="1"/>
  <c r="BE7" i="52"/>
  <c r="BC7" i="52"/>
  <c r="BH7" i="52" s="1"/>
  <c r="BA7" i="52"/>
  <c r="AY7" i="52"/>
  <c r="AW7" i="52"/>
  <c r="BT6" i="52"/>
  <c r="BZ6" i="52" s="1"/>
  <c r="BL6" i="52"/>
  <c r="BG6" i="52"/>
  <c r="BE6" i="52"/>
  <c r="BC6" i="52"/>
  <c r="BA6" i="52"/>
  <c r="AY6" i="52"/>
  <c r="BH6" i="52" s="1"/>
  <c r="AW6" i="52"/>
  <c r="BT5" i="52"/>
  <c r="BZ5" i="52" s="1"/>
  <c r="BL5" i="52"/>
  <c r="BG5" i="52"/>
  <c r="BE5" i="52"/>
  <c r="BC5" i="52"/>
  <c r="BA5" i="52"/>
  <c r="AY5" i="52"/>
  <c r="AW5" i="52"/>
  <c r="BH5" i="52" s="1"/>
  <c r="BX4" i="52"/>
  <c r="BR4" i="52"/>
  <c r="BJ4" i="52"/>
  <c r="BG4" i="52"/>
  <c r="BC4" i="52"/>
  <c r="BA4" i="52"/>
  <c r="AY4" i="52"/>
  <c r="AW4" i="52"/>
  <c r="CB3" i="52"/>
  <c r="BV3" i="52"/>
  <c r="BN3" i="52"/>
  <c r="BG3" i="52"/>
  <c r="BH3" i="52" s="1"/>
  <c r="BZ2" i="52"/>
  <c r="BT2" i="52"/>
  <c r="BL2" i="52"/>
  <c r="BG2" i="52"/>
  <c r="R5" i="48"/>
  <c r="Q5" i="48"/>
  <c r="R4" i="48"/>
  <c r="Q4" i="48"/>
  <c r="R3" i="48"/>
  <c r="Q3" i="48"/>
  <c r="R2" i="48"/>
  <c r="Q2" i="48"/>
  <c r="AB24" i="47"/>
  <c r="AC22" i="46"/>
  <c r="AB24" i="40"/>
  <c r="AB24" i="45"/>
  <c r="P43" i="46"/>
  <c r="N59" i="46"/>
  <c r="N72" i="46"/>
  <c r="N73" i="46"/>
  <c r="N35" i="46"/>
  <c r="AP13" i="36"/>
  <c r="BK86" i="37"/>
  <c r="BJ86" i="37"/>
  <c r="BI86" i="37"/>
  <c r="BH86" i="37"/>
  <c r="BG86" i="37"/>
  <c r="BF86" i="37"/>
  <c r="BE86" i="37"/>
  <c r="BD86" i="37"/>
  <c r="BC86" i="37"/>
  <c r="BB86" i="37"/>
  <c r="BA86" i="37"/>
  <c r="AZ86" i="37"/>
  <c r="AW86" i="37"/>
  <c r="AQ86" i="37"/>
  <c r="AP86" i="37"/>
  <c r="AO86" i="37"/>
  <c r="AN86" i="37"/>
  <c r="AM86" i="37"/>
  <c r="AL86" i="37"/>
  <c r="AK86" i="37"/>
  <c r="AJ86" i="37"/>
  <c r="AI86" i="37"/>
  <c r="AH86" i="37"/>
  <c r="AE86" i="37"/>
  <c r="AD86" i="37"/>
  <c r="AC86" i="37"/>
  <c r="AB86" i="37"/>
  <c r="AA86" i="37"/>
  <c r="Z86" i="37"/>
  <c r="Y86" i="37"/>
  <c r="X86" i="37"/>
  <c r="W86" i="37"/>
  <c r="V86" i="37"/>
  <c r="U86" i="37"/>
  <c r="T86" i="37"/>
  <c r="Q86" i="37"/>
  <c r="P86" i="37"/>
  <c r="N86" i="37"/>
  <c r="I86" i="37"/>
  <c r="H86" i="37"/>
  <c r="G86" i="37"/>
  <c r="F86" i="37"/>
  <c r="E86" i="37"/>
  <c r="D86" i="37"/>
  <c r="C86" i="37"/>
  <c r="B86" i="37"/>
  <c r="AY85" i="37"/>
  <c r="AX85" i="37"/>
  <c r="S85" i="37"/>
  <c r="R85" i="37"/>
  <c r="AY84" i="37"/>
  <c r="AX84" i="37"/>
  <c r="S84" i="37"/>
  <c r="R84" i="37"/>
  <c r="AY83" i="37"/>
  <c r="AX83" i="37"/>
  <c r="S83" i="37"/>
  <c r="R83" i="37"/>
  <c r="AY82" i="37"/>
  <c r="AX82" i="37"/>
  <c r="S82" i="37"/>
  <c r="R82" i="37"/>
  <c r="AY81" i="37"/>
  <c r="AX81" i="37"/>
  <c r="S81" i="37"/>
  <c r="R81" i="37"/>
  <c r="AY80" i="37"/>
  <c r="AX80" i="37"/>
  <c r="S80" i="37"/>
  <c r="R80" i="37"/>
  <c r="AY79" i="37"/>
  <c r="AX79" i="37"/>
  <c r="S79" i="37"/>
  <c r="R79" i="37"/>
  <c r="AY78" i="37"/>
  <c r="AX78" i="37"/>
  <c r="S78" i="37"/>
  <c r="R78" i="37"/>
  <c r="AY77" i="37"/>
  <c r="AX77" i="37"/>
  <c r="S77" i="37"/>
  <c r="R77" i="37"/>
  <c r="AY76" i="37"/>
  <c r="AX76" i="37"/>
  <c r="S76" i="37"/>
  <c r="R76" i="37"/>
  <c r="AY75" i="37"/>
  <c r="AX75" i="37"/>
  <c r="S75" i="37"/>
  <c r="R75" i="37"/>
  <c r="AY74" i="37"/>
  <c r="AX74" i="37"/>
  <c r="S74" i="37"/>
  <c r="R74" i="37"/>
  <c r="AY73" i="37"/>
  <c r="AX73" i="37"/>
  <c r="S73" i="37"/>
  <c r="R73" i="37"/>
  <c r="AY72" i="37"/>
  <c r="AX72" i="37"/>
  <c r="S72" i="37"/>
  <c r="R72" i="37"/>
  <c r="AY71" i="37"/>
  <c r="AX71" i="37"/>
  <c r="S71" i="37"/>
  <c r="R71" i="37"/>
  <c r="AY70" i="37"/>
  <c r="AX70" i="37"/>
  <c r="S70" i="37"/>
  <c r="R70" i="37"/>
  <c r="AY69" i="37"/>
  <c r="AX69" i="37"/>
  <c r="S69" i="37"/>
  <c r="R69" i="37"/>
  <c r="AY68" i="37"/>
  <c r="AX68" i="37"/>
  <c r="S68" i="37"/>
  <c r="R68" i="37"/>
  <c r="AY67" i="37"/>
  <c r="AY86" i="37"/>
  <c r="AX67" i="37"/>
  <c r="S67" i="37"/>
  <c r="R67" i="37"/>
  <c r="AY66" i="37"/>
  <c r="AX66" i="37"/>
  <c r="S66" i="37"/>
  <c r="R66" i="37"/>
  <c r="AV86" i="37"/>
  <c r="AU86" i="37"/>
  <c r="AT86" i="37"/>
  <c r="AS86" i="37"/>
  <c r="AR86" i="37"/>
  <c r="M86" i="37"/>
  <c r="L86" i="37"/>
  <c r="K86" i="37"/>
  <c r="J86" i="37"/>
  <c r="N60" i="46"/>
  <c r="N58" i="46"/>
  <c r="N62" i="46"/>
  <c r="N69" i="46"/>
  <c r="N70" i="46"/>
  <c r="N36" i="46"/>
  <c r="AU39" i="37"/>
  <c r="O60" i="46"/>
  <c r="O58" i="46"/>
  <c r="O62" i="46"/>
  <c r="O69" i="46"/>
  <c r="O70" i="46"/>
  <c r="O36" i="46"/>
  <c r="AV39" i="37"/>
  <c r="M58" i="46"/>
  <c r="M62" i="46"/>
  <c r="M60" i="46"/>
  <c r="M69" i="46"/>
  <c r="M70" i="46"/>
  <c r="M36" i="46"/>
  <c r="AT39" i="37"/>
  <c r="K60" i="46"/>
  <c r="K69" i="46"/>
  <c r="K70" i="46"/>
  <c r="K36" i="46"/>
  <c r="AQ39" i="37"/>
  <c r="L60" i="46"/>
  <c r="L69" i="46"/>
  <c r="L70" i="46"/>
  <c r="L36" i="46"/>
  <c r="AR39" i="37"/>
  <c r="J60" i="46"/>
  <c r="J69" i="46"/>
  <c r="J70" i="46"/>
  <c r="J36" i="46"/>
  <c r="AP39" i="37"/>
  <c r="O39" i="37"/>
  <c r="O59" i="46"/>
  <c r="O72" i="46"/>
  <c r="O73" i="46"/>
  <c r="O35" i="46"/>
  <c r="P39" i="37"/>
  <c r="M59" i="46"/>
  <c r="M72" i="46"/>
  <c r="M73" i="46"/>
  <c r="M35" i="46"/>
  <c r="N39" i="37"/>
  <c r="K59" i="46"/>
  <c r="K72" i="46"/>
  <c r="K73" i="46"/>
  <c r="K35" i="46"/>
  <c r="K39" i="37"/>
  <c r="L59" i="46"/>
  <c r="L72" i="46"/>
  <c r="L73" i="46"/>
  <c r="L35" i="46"/>
  <c r="L39" i="37"/>
  <c r="J59" i="46"/>
  <c r="J72" i="46"/>
  <c r="J73" i="46"/>
  <c r="J35" i="46"/>
  <c r="J39" i="37"/>
  <c r="AU11" i="37"/>
  <c r="AV11" i="37"/>
  <c r="AT11" i="37"/>
  <c r="AQ11" i="37"/>
  <c r="AR11" i="37"/>
  <c r="AP11" i="37"/>
  <c r="O11" i="37"/>
  <c r="P11" i="37"/>
  <c r="N11" i="37"/>
  <c r="K11" i="37"/>
  <c r="L11" i="37"/>
  <c r="J11" i="37"/>
  <c r="K97" i="37"/>
  <c r="K96" i="37"/>
  <c r="K98" i="37" s="1"/>
  <c r="M11" i="37"/>
  <c r="AE25" i="40"/>
  <c r="AX86" i="37"/>
  <c r="R86" i="37"/>
  <c r="O86" i="37"/>
  <c r="S86" i="37"/>
  <c r="AX39" i="37"/>
  <c r="R11" i="37"/>
  <c r="AH35" i="47"/>
  <c r="AH35" i="46"/>
  <c r="AH35" i="40"/>
  <c r="AK36" i="45"/>
  <c r="AY15" i="36"/>
  <c r="AY14" i="36"/>
  <c r="P5" i="48"/>
  <c r="O5" i="48"/>
  <c r="P4" i="48"/>
  <c r="O4" i="48"/>
  <c r="P3" i="48"/>
  <c r="O3" i="48"/>
  <c r="P2" i="48"/>
  <c r="P6" i="48"/>
  <c r="O2" i="48"/>
  <c r="O6" i="48"/>
  <c r="A35" i="46"/>
  <c r="P7" i="48"/>
  <c r="AS39" i="37"/>
  <c r="AY39" i="37" s="1"/>
  <c r="AY60" i="37" s="1"/>
  <c r="AS11" i="37"/>
  <c r="AS89" i="37"/>
  <c r="N5" i="48"/>
  <c r="M5" i="48"/>
  <c r="K5" i="48"/>
  <c r="J5" i="48"/>
  <c r="N4" i="48"/>
  <c r="M4" i="48"/>
  <c r="K4" i="48"/>
  <c r="J4" i="48"/>
  <c r="N3" i="48"/>
  <c r="M3" i="48"/>
  <c r="K3" i="48"/>
  <c r="J3" i="48"/>
  <c r="N2" i="48"/>
  <c r="N6" i="48"/>
  <c r="M2" i="48"/>
  <c r="M6" i="48"/>
  <c r="K2" i="48"/>
  <c r="J2" i="48"/>
  <c r="J6" i="48"/>
  <c r="AQ13" i="36" a="1"/>
  <c r="AQ13" i="36"/>
  <c r="AE15" i="36"/>
  <c r="AF15" i="36"/>
  <c r="AG15" i="36"/>
  <c r="AH15" i="36"/>
  <c r="AI15" i="36"/>
  <c r="AJ15" i="36"/>
  <c r="AD15" i="36"/>
  <c r="B53" i="40"/>
  <c r="B60" i="40"/>
  <c r="B62" i="40"/>
  <c r="B64" i="40"/>
  <c r="B66" i="40"/>
  <c r="B68" i="40"/>
  <c r="B70" i="40"/>
  <c r="A62" i="40"/>
  <c r="A64" i="40"/>
  <c r="A66" i="40"/>
  <c r="A68" i="40"/>
  <c r="A70" i="40"/>
  <c r="A63" i="47"/>
  <c r="A65" i="47"/>
  <c r="A67" i="47"/>
  <c r="B63" i="47"/>
  <c r="B65" i="47"/>
  <c r="B67" i="47"/>
  <c r="B49" i="47"/>
  <c r="P48" i="47"/>
  <c r="P47" i="47"/>
  <c r="P46" i="47"/>
  <c r="P45" i="47"/>
  <c r="B61" i="47"/>
  <c r="A61" i="47"/>
  <c r="B61" i="46"/>
  <c r="A61" i="46"/>
  <c r="B59" i="46"/>
  <c r="A59" i="46"/>
  <c r="B57" i="46"/>
  <c r="A57" i="46"/>
  <c r="A60" i="40"/>
  <c r="R68" i="45"/>
  <c r="R67" i="45"/>
  <c r="R66" i="45"/>
  <c r="R65" i="45"/>
  <c r="B63" i="45"/>
  <c r="A63" i="45"/>
  <c r="B61" i="45"/>
  <c r="A61" i="45"/>
  <c r="B59" i="45"/>
  <c r="A59" i="45"/>
  <c r="B57" i="45"/>
  <c r="A57" i="45"/>
  <c r="D66" i="47"/>
  <c r="D65" i="47"/>
  <c r="E65" i="47"/>
  <c r="F65" i="47"/>
  <c r="G65" i="47"/>
  <c r="H65" i="47"/>
  <c r="I65" i="47"/>
  <c r="J65" i="47"/>
  <c r="K65" i="47"/>
  <c r="L65" i="47"/>
  <c r="M65" i="47"/>
  <c r="N65" i="47"/>
  <c r="O65" i="47"/>
  <c r="E66" i="47"/>
  <c r="F66" i="47"/>
  <c r="G66" i="47"/>
  <c r="H66" i="47"/>
  <c r="I66" i="47"/>
  <c r="J66" i="47"/>
  <c r="K66" i="47"/>
  <c r="L66" i="47"/>
  <c r="M66" i="47"/>
  <c r="N66" i="47"/>
  <c r="O66" i="47"/>
  <c r="K67" i="47"/>
  <c r="D67" i="47"/>
  <c r="E67" i="47"/>
  <c r="J67" i="47"/>
  <c r="L67" i="47"/>
  <c r="M67" i="47"/>
  <c r="N67" i="47"/>
  <c r="E68" i="47"/>
  <c r="F68" i="47"/>
  <c r="G68" i="47"/>
  <c r="M68" i="47"/>
  <c r="N68" i="47"/>
  <c r="O68" i="47"/>
  <c r="L2" i="48"/>
  <c r="L3" i="48"/>
  <c r="L4" i="48"/>
  <c r="L5" i="48"/>
  <c r="K68" i="47"/>
  <c r="I67" i="47"/>
  <c r="J68" i="47"/>
  <c r="H67" i="47"/>
  <c r="I68" i="47"/>
  <c r="G67" i="47"/>
  <c r="H68" i="47"/>
  <c r="F67" i="47"/>
  <c r="O67" i="47"/>
  <c r="D68" i="47"/>
  <c r="L68" i="47"/>
  <c r="B47" i="46"/>
  <c r="H5" i="48"/>
  <c r="H4" i="48"/>
  <c r="H3" i="48"/>
  <c r="H2" i="48"/>
  <c r="P52" i="40"/>
  <c r="P51" i="40"/>
  <c r="P50" i="40"/>
  <c r="P49" i="40"/>
  <c r="A35" i="45"/>
  <c r="A35" i="47"/>
  <c r="A35" i="40"/>
  <c r="B2" i="48"/>
  <c r="Q11" i="37"/>
  <c r="Q39" i="37"/>
  <c r="M39" i="37"/>
  <c r="AC24" i="47"/>
  <c r="B5" i="48"/>
  <c r="B4" i="48"/>
  <c r="AB24" i="46"/>
  <c r="AC24" i="46"/>
  <c r="B3" i="48"/>
  <c r="P44" i="47"/>
  <c r="P43" i="47"/>
  <c r="P42" i="47"/>
  <c r="P41" i="47"/>
  <c r="P30" i="47"/>
  <c r="AC25" i="47"/>
  <c r="AD25" i="47"/>
  <c r="N25" i="47"/>
  <c r="O25" i="47"/>
  <c r="M24" i="47"/>
  <c r="L24" i="47"/>
  <c r="K24" i="47"/>
  <c r="J24" i="47"/>
  <c r="I24" i="47"/>
  <c r="H24" i="47"/>
  <c r="G24" i="47"/>
  <c r="F24" i="47"/>
  <c r="E24" i="47"/>
  <c r="D24" i="47"/>
  <c r="C24" i="47"/>
  <c r="B24" i="47"/>
  <c r="AD23" i="47"/>
  <c r="N23" i="47"/>
  <c r="O23" i="47"/>
  <c r="AC22" i="47"/>
  <c r="C5" i="48" s="1"/>
  <c r="N22" i="47"/>
  <c r="P46" i="46"/>
  <c r="P45" i="46"/>
  <c r="P44" i="46"/>
  <c r="P42" i="46"/>
  <c r="P41" i="46"/>
  <c r="P30" i="46"/>
  <c r="AD25" i="46"/>
  <c r="N25" i="46"/>
  <c r="O25" i="46"/>
  <c r="M24" i="46"/>
  <c r="L24" i="46"/>
  <c r="K24" i="46"/>
  <c r="J24" i="46"/>
  <c r="I24" i="46"/>
  <c r="H24" i="46"/>
  <c r="G24" i="46"/>
  <c r="F24" i="46"/>
  <c r="E24" i="46"/>
  <c r="D24" i="46"/>
  <c r="C24" i="46"/>
  <c r="B24" i="46"/>
  <c r="AC23" i="46"/>
  <c r="G4" i="48" s="1"/>
  <c r="N23" i="46"/>
  <c r="O23" i="46"/>
  <c r="C4" i="48"/>
  <c r="N22" i="46"/>
  <c r="P48" i="45"/>
  <c r="P47" i="45"/>
  <c r="P46" i="45"/>
  <c r="P45" i="45"/>
  <c r="P44" i="45"/>
  <c r="P43" i="45"/>
  <c r="P42" i="45"/>
  <c r="P41" i="45"/>
  <c r="K58" i="45"/>
  <c r="P30" i="45"/>
  <c r="AD25" i="45"/>
  <c r="N25" i="45"/>
  <c r="O25" i="45"/>
  <c r="AC24" i="45"/>
  <c r="M24" i="45"/>
  <c r="L24" i="45"/>
  <c r="K24" i="45"/>
  <c r="J24" i="45"/>
  <c r="I24" i="45"/>
  <c r="H24" i="45"/>
  <c r="G24" i="45"/>
  <c r="F24" i="45"/>
  <c r="E24" i="45"/>
  <c r="D24" i="45"/>
  <c r="C24" i="45"/>
  <c r="B24" i="45"/>
  <c r="AD23" i="45"/>
  <c r="N23" i="45"/>
  <c r="O23" i="45"/>
  <c r="C2" i="48"/>
  <c r="N22" i="45"/>
  <c r="M24" i="40"/>
  <c r="L24" i="40"/>
  <c r="K24" i="40"/>
  <c r="J24" i="40"/>
  <c r="I24" i="40"/>
  <c r="H24" i="40"/>
  <c r="G24" i="40"/>
  <c r="F24" i="40"/>
  <c r="E24" i="40"/>
  <c r="D24" i="40"/>
  <c r="C24" i="40"/>
  <c r="B24" i="40"/>
  <c r="O64" i="45"/>
  <c r="N64" i="45"/>
  <c r="M64" i="45"/>
  <c r="L64" i="45"/>
  <c r="K64" i="45"/>
  <c r="J64" i="45"/>
  <c r="I64" i="45"/>
  <c r="H64" i="45"/>
  <c r="G64" i="45"/>
  <c r="F64" i="45"/>
  <c r="E64" i="45"/>
  <c r="O63" i="45"/>
  <c r="N63" i="45"/>
  <c r="M63" i="45"/>
  <c r="L63" i="45"/>
  <c r="K63" i="45"/>
  <c r="J63" i="45"/>
  <c r="I63" i="45"/>
  <c r="H63" i="45"/>
  <c r="G63" i="45"/>
  <c r="F63" i="45"/>
  <c r="E63" i="45"/>
  <c r="D64" i="45"/>
  <c r="P64" i="45"/>
  <c r="R64" i="45"/>
  <c r="D63" i="45"/>
  <c r="P63" i="45"/>
  <c r="R63" i="45"/>
  <c r="D62" i="47"/>
  <c r="D61" i="47"/>
  <c r="E61" i="47"/>
  <c r="F61" i="47"/>
  <c r="G61" i="47"/>
  <c r="H61" i="47"/>
  <c r="I61" i="47"/>
  <c r="J61" i="47"/>
  <c r="K61" i="47"/>
  <c r="L61" i="47"/>
  <c r="M61" i="47"/>
  <c r="N61" i="47"/>
  <c r="O61" i="47"/>
  <c r="E62" i="47"/>
  <c r="F62" i="47"/>
  <c r="G62" i="47"/>
  <c r="H62" i="47"/>
  <c r="I62" i="47"/>
  <c r="J62" i="47"/>
  <c r="K62" i="47"/>
  <c r="L62" i="47"/>
  <c r="M62" i="47"/>
  <c r="N62" i="47"/>
  <c r="O62" i="47"/>
  <c r="D64" i="47"/>
  <c r="D63" i="47"/>
  <c r="E63" i="47"/>
  <c r="F63" i="47"/>
  <c r="G63" i="47"/>
  <c r="H63" i="47"/>
  <c r="I63" i="47"/>
  <c r="J63" i="47"/>
  <c r="K63" i="47"/>
  <c r="L63" i="47"/>
  <c r="M63" i="47"/>
  <c r="N63" i="47"/>
  <c r="O63" i="47"/>
  <c r="E64" i="47"/>
  <c r="F64" i="47"/>
  <c r="G64" i="47"/>
  <c r="H64" i="47"/>
  <c r="I64" i="47"/>
  <c r="J64" i="47"/>
  <c r="K64" i="47"/>
  <c r="L64" i="47"/>
  <c r="M64" i="47"/>
  <c r="N64" i="47"/>
  <c r="O64" i="47"/>
  <c r="E68" i="40"/>
  <c r="F68" i="40"/>
  <c r="G68" i="40"/>
  <c r="H68" i="40"/>
  <c r="I68" i="40"/>
  <c r="J68" i="40"/>
  <c r="K68" i="40"/>
  <c r="L68" i="40"/>
  <c r="M68" i="40"/>
  <c r="N68" i="40"/>
  <c r="O68" i="40"/>
  <c r="E69" i="40"/>
  <c r="F69" i="40"/>
  <c r="G69" i="40"/>
  <c r="H69" i="40"/>
  <c r="I69" i="40"/>
  <c r="J69" i="40"/>
  <c r="K69" i="40"/>
  <c r="L69" i="40"/>
  <c r="M69" i="40"/>
  <c r="N69" i="40"/>
  <c r="O69" i="40"/>
  <c r="D69" i="40"/>
  <c r="D68" i="40"/>
  <c r="E70" i="40"/>
  <c r="F70" i="40"/>
  <c r="G70" i="40"/>
  <c r="H70" i="40"/>
  <c r="I70" i="40"/>
  <c r="J70" i="40"/>
  <c r="K70" i="40"/>
  <c r="L70" i="40"/>
  <c r="M70" i="40"/>
  <c r="N70" i="40"/>
  <c r="O70" i="40"/>
  <c r="E71" i="40"/>
  <c r="F71" i="40"/>
  <c r="G71" i="40"/>
  <c r="H71" i="40"/>
  <c r="I71" i="40"/>
  <c r="J71" i="40"/>
  <c r="K71" i="40"/>
  <c r="L71" i="40"/>
  <c r="M71" i="40"/>
  <c r="N71" i="40"/>
  <c r="O71" i="40"/>
  <c r="D71" i="40"/>
  <c r="D70" i="40"/>
  <c r="N57" i="46"/>
  <c r="M57" i="46"/>
  <c r="L58" i="46"/>
  <c r="L57" i="46"/>
  <c r="K58" i="46"/>
  <c r="K57" i="46"/>
  <c r="J58" i="46"/>
  <c r="J57" i="46"/>
  <c r="I58" i="46"/>
  <c r="I57" i="46"/>
  <c r="H58" i="46"/>
  <c r="H57" i="46"/>
  <c r="G58" i="46"/>
  <c r="G57" i="46"/>
  <c r="F58" i="46"/>
  <c r="F57" i="46"/>
  <c r="E58" i="46"/>
  <c r="E57" i="46"/>
  <c r="D58" i="46"/>
  <c r="O57" i="46"/>
  <c r="D57" i="46"/>
  <c r="I60" i="46"/>
  <c r="I59" i="46"/>
  <c r="H60" i="46"/>
  <c r="H59" i="46"/>
  <c r="G60" i="46"/>
  <c r="G59" i="46"/>
  <c r="F60" i="46"/>
  <c r="F59" i="46"/>
  <c r="E60" i="46"/>
  <c r="E59" i="46"/>
  <c r="D60" i="46"/>
  <c r="D59" i="46"/>
  <c r="J62" i="46"/>
  <c r="J61" i="46"/>
  <c r="I62" i="46"/>
  <c r="I61" i="46"/>
  <c r="H62" i="46"/>
  <c r="H61" i="46"/>
  <c r="G62" i="46"/>
  <c r="G61" i="46"/>
  <c r="F62" i="46"/>
  <c r="F61" i="46"/>
  <c r="E62" i="46"/>
  <c r="E61" i="46"/>
  <c r="D62" i="46"/>
  <c r="D61" i="46"/>
  <c r="O61" i="46"/>
  <c r="N61" i="46"/>
  <c r="M61" i="46"/>
  <c r="L62" i="46"/>
  <c r="K62" i="46"/>
  <c r="L61" i="46"/>
  <c r="K61" i="46"/>
  <c r="I58" i="45"/>
  <c r="I57" i="45"/>
  <c r="H58" i="45"/>
  <c r="H57" i="45"/>
  <c r="G58" i="45"/>
  <c r="G57" i="45"/>
  <c r="F58" i="45"/>
  <c r="F57" i="45"/>
  <c r="E58" i="45"/>
  <c r="E57" i="45"/>
  <c r="D58" i="45"/>
  <c r="D57" i="45"/>
  <c r="O58" i="45"/>
  <c r="O57" i="45"/>
  <c r="N58" i="45"/>
  <c r="N57" i="45"/>
  <c r="M58" i="45"/>
  <c r="M57" i="45"/>
  <c r="L58" i="45"/>
  <c r="L57" i="45"/>
  <c r="K57" i="45"/>
  <c r="J58" i="45"/>
  <c r="J57" i="45"/>
  <c r="N24" i="45"/>
  <c r="G60" i="45"/>
  <c r="G59" i="45"/>
  <c r="F60" i="45"/>
  <c r="F59" i="45"/>
  <c r="E60" i="45"/>
  <c r="E59" i="45"/>
  <c r="D60" i="45"/>
  <c r="D59" i="45"/>
  <c r="O60" i="45"/>
  <c r="O59" i="45"/>
  <c r="N60" i="45"/>
  <c r="N59" i="45"/>
  <c r="M60" i="45"/>
  <c r="M59" i="45"/>
  <c r="L60" i="45"/>
  <c r="L59" i="45"/>
  <c r="K60" i="45"/>
  <c r="K59" i="45"/>
  <c r="J60" i="45"/>
  <c r="J59" i="45"/>
  <c r="I60" i="45"/>
  <c r="I59" i="45"/>
  <c r="H60" i="45"/>
  <c r="H59" i="45"/>
  <c r="E62" i="45"/>
  <c r="E61" i="45"/>
  <c r="D62" i="45"/>
  <c r="D61" i="45"/>
  <c r="O62" i="45"/>
  <c r="O61" i="45"/>
  <c r="N62" i="45"/>
  <c r="N61" i="45"/>
  <c r="F62" i="45"/>
  <c r="M62" i="45"/>
  <c r="M61" i="45"/>
  <c r="L62" i="45"/>
  <c r="L61" i="45"/>
  <c r="K62" i="45"/>
  <c r="K61" i="45"/>
  <c r="J62" i="45"/>
  <c r="J61" i="45"/>
  <c r="I62" i="45"/>
  <c r="I61" i="45"/>
  <c r="H62" i="45"/>
  <c r="H61" i="45"/>
  <c r="G62" i="45"/>
  <c r="G61" i="45"/>
  <c r="F61" i="45"/>
  <c r="H6" i="48"/>
  <c r="N24" i="47"/>
  <c r="N24" i="46"/>
  <c r="AE25" i="47"/>
  <c r="AE23" i="46"/>
  <c r="AE25" i="45"/>
  <c r="AE25" i="46"/>
  <c r="AQ19" i="36"/>
  <c r="AQ18" i="36"/>
  <c r="AP19" i="36"/>
  <c r="AP18" i="36"/>
  <c r="N22" i="40"/>
  <c r="BK60" i="37"/>
  <c r="BJ60" i="37"/>
  <c r="BI60" i="37"/>
  <c r="BH60" i="37"/>
  <c r="BG60" i="37"/>
  <c r="BF60" i="37"/>
  <c r="BE60" i="37"/>
  <c r="BD60" i="37"/>
  <c r="BC60" i="37"/>
  <c r="BB60" i="37"/>
  <c r="BA60" i="37"/>
  <c r="AZ60" i="37"/>
  <c r="AW60" i="37"/>
  <c r="AV60" i="37"/>
  <c r="AU60" i="37"/>
  <c r="AT60" i="37"/>
  <c r="AS60" i="37"/>
  <c r="AR60" i="37"/>
  <c r="AQ60" i="37"/>
  <c r="AP60" i="37"/>
  <c r="AO60" i="37"/>
  <c r="AN60" i="37"/>
  <c r="AM60" i="37"/>
  <c r="AL60" i="37"/>
  <c r="AK60" i="37"/>
  <c r="AJ60" i="37"/>
  <c r="AI60" i="37"/>
  <c r="AH60" i="37"/>
  <c r="AE60" i="37"/>
  <c r="AD60" i="37"/>
  <c r="AC60" i="37"/>
  <c r="AB60" i="37"/>
  <c r="AA60" i="37"/>
  <c r="Z60" i="37"/>
  <c r="Y60" i="37"/>
  <c r="X60" i="37"/>
  <c r="W60" i="37"/>
  <c r="V60" i="37"/>
  <c r="U60" i="37"/>
  <c r="T60" i="37"/>
  <c r="Q60" i="37"/>
  <c r="M60" i="37"/>
  <c r="L60" i="37"/>
  <c r="K60" i="37"/>
  <c r="J60" i="37"/>
  <c r="I60" i="37"/>
  <c r="H60" i="37"/>
  <c r="G60" i="37"/>
  <c r="F60" i="37"/>
  <c r="E60" i="37"/>
  <c r="D60" i="37"/>
  <c r="C60" i="37"/>
  <c r="B60" i="37"/>
  <c r="AY59" i="37"/>
  <c r="AX59" i="37"/>
  <c r="S59" i="37"/>
  <c r="R59" i="37"/>
  <c r="AY58" i="37"/>
  <c r="AX58" i="37"/>
  <c r="S58" i="37"/>
  <c r="R58" i="37"/>
  <c r="AY57" i="37"/>
  <c r="AX57" i="37"/>
  <c r="S57" i="37"/>
  <c r="R57" i="37"/>
  <c r="AY56" i="37"/>
  <c r="AX56" i="37"/>
  <c r="S56" i="37"/>
  <c r="R56" i="37"/>
  <c r="AY55" i="37"/>
  <c r="AX55" i="37"/>
  <c r="S55" i="37"/>
  <c r="R55" i="37"/>
  <c r="AY54" i="37"/>
  <c r="AX54" i="37"/>
  <c r="S54" i="37"/>
  <c r="R54" i="37"/>
  <c r="AY53" i="37"/>
  <c r="AX53" i="37"/>
  <c r="S53" i="37"/>
  <c r="R53" i="37"/>
  <c r="AY52" i="37"/>
  <c r="AX52" i="37"/>
  <c r="S52" i="37"/>
  <c r="R52" i="37"/>
  <c r="AY51" i="37"/>
  <c r="AX51" i="37"/>
  <c r="S51" i="37"/>
  <c r="R51" i="37"/>
  <c r="AY50" i="37"/>
  <c r="AX50" i="37"/>
  <c r="S50" i="37"/>
  <c r="R50" i="37"/>
  <c r="AY49" i="37"/>
  <c r="AX49" i="37"/>
  <c r="S49" i="37"/>
  <c r="R49" i="37"/>
  <c r="AY48" i="37"/>
  <c r="AX48" i="37"/>
  <c r="S48" i="37"/>
  <c r="R48" i="37"/>
  <c r="AY47" i="37"/>
  <c r="AX47" i="37"/>
  <c r="S47" i="37"/>
  <c r="R47" i="37"/>
  <c r="AY46" i="37"/>
  <c r="AX46" i="37"/>
  <c r="S46" i="37"/>
  <c r="R46" i="37"/>
  <c r="AY45" i="37"/>
  <c r="AX45" i="37"/>
  <c r="S45" i="37"/>
  <c r="R45" i="37"/>
  <c r="AY44" i="37"/>
  <c r="AX44" i="37"/>
  <c r="S44" i="37"/>
  <c r="R44" i="37"/>
  <c r="AY43" i="37"/>
  <c r="AX43" i="37"/>
  <c r="S43" i="37"/>
  <c r="R43" i="37"/>
  <c r="AY42" i="37"/>
  <c r="AX42" i="37"/>
  <c r="S42" i="37"/>
  <c r="R42" i="37"/>
  <c r="AY41" i="37"/>
  <c r="AX41" i="37"/>
  <c r="S41" i="37"/>
  <c r="R41" i="37"/>
  <c r="AY40" i="37"/>
  <c r="AX40" i="37"/>
  <c r="S40" i="37"/>
  <c r="R40" i="37"/>
  <c r="S39" i="37"/>
  <c r="R39" i="37"/>
  <c r="AW32" i="37"/>
  <c r="AV32" i="37"/>
  <c r="AU32" i="37"/>
  <c r="AT32" i="37"/>
  <c r="AS32" i="37"/>
  <c r="AR32" i="37"/>
  <c r="AQ32" i="37"/>
  <c r="AP32" i="37"/>
  <c r="AO32" i="37"/>
  <c r="AN32" i="37"/>
  <c r="AM32" i="37"/>
  <c r="AL32" i="37"/>
  <c r="AK32" i="37"/>
  <c r="AJ32" i="37"/>
  <c r="AI32" i="37"/>
  <c r="AH32" i="37"/>
  <c r="Q32" i="37"/>
  <c r="M32" i="37"/>
  <c r="I32" i="37"/>
  <c r="E32" i="37"/>
  <c r="AY12" i="37"/>
  <c r="AY13" i="37"/>
  <c r="AY14" i="37"/>
  <c r="AY15" i="37"/>
  <c r="AY16" i="37"/>
  <c r="AY17" i="37"/>
  <c r="AY18" i="37"/>
  <c r="AY19" i="37"/>
  <c r="AY20" i="37"/>
  <c r="AY21" i="37"/>
  <c r="AY22" i="37"/>
  <c r="AY23" i="37"/>
  <c r="AY24" i="37"/>
  <c r="AY25" i="37"/>
  <c r="AY26" i="37"/>
  <c r="AY27" i="37"/>
  <c r="AY28" i="37"/>
  <c r="AY29" i="37"/>
  <c r="AY30" i="37"/>
  <c r="AY31" i="37"/>
  <c r="AY11" i="37"/>
  <c r="AY32" i="37" s="1"/>
  <c r="S12" i="37"/>
  <c r="S13" i="37"/>
  <c r="S14" i="37"/>
  <c r="S15" i="37"/>
  <c r="S16" i="37"/>
  <c r="S17" i="37"/>
  <c r="S18" i="37"/>
  <c r="S19" i="37"/>
  <c r="S20" i="37"/>
  <c r="S21" i="37"/>
  <c r="S22" i="37"/>
  <c r="S23" i="37"/>
  <c r="S24" i="37"/>
  <c r="S25" i="37"/>
  <c r="S26" i="37"/>
  <c r="S27" i="37"/>
  <c r="S28" i="37"/>
  <c r="S29" i="37"/>
  <c r="S30" i="37"/>
  <c r="S31" i="37"/>
  <c r="S11" i="37"/>
  <c r="J32" i="37"/>
  <c r="K32" i="37"/>
  <c r="L32" i="37"/>
  <c r="AX14" i="37"/>
  <c r="AX15" i="37"/>
  <c r="AX16" i="37"/>
  <c r="AX17" i="37"/>
  <c r="AX18" i="37"/>
  <c r="AX19" i="37"/>
  <c r="AX20" i="37"/>
  <c r="AX21" i="37"/>
  <c r="AX22" i="37"/>
  <c r="N23" i="40"/>
  <c r="O23" i="40"/>
  <c r="T32" i="37"/>
  <c r="U32" i="37"/>
  <c r="V32" i="37"/>
  <c r="W32" i="37"/>
  <c r="X32" i="37"/>
  <c r="AZ32" i="37"/>
  <c r="BA32" i="37"/>
  <c r="BB32" i="37"/>
  <c r="BC32" i="37"/>
  <c r="BD32" i="37"/>
  <c r="BE32" i="37"/>
  <c r="AC24" i="40"/>
  <c r="C3" i="48"/>
  <c r="N25" i="40"/>
  <c r="O25" i="40"/>
  <c r="N24" i="40"/>
  <c r="P48" i="40"/>
  <c r="P47" i="40"/>
  <c r="P46" i="40"/>
  <c r="P45" i="40"/>
  <c r="P44" i="40"/>
  <c r="P43" i="40"/>
  <c r="P42" i="40"/>
  <c r="P41" i="40"/>
  <c r="P30" i="40"/>
  <c r="AX12" i="37"/>
  <c r="AX13" i="37"/>
  <c r="AX23" i="37"/>
  <c r="AX24" i="37"/>
  <c r="AX25" i="37"/>
  <c r="AX26" i="37"/>
  <c r="AX27" i="37"/>
  <c r="AX28" i="37"/>
  <c r="AX29" i="37"/>
  <c r="AX30" i="37"/>
  <c r="AX31" i="37"/>
  <c r="AX11" i="37"/>
  <c r="R12" i="37"/>
  <c r="R13" i="37"/>
  <c r="R14" i="37"/>
  <c r="R15" i="37"/>
  <c r="R16" i="37"/>
  <c r="R17" i="37"/>
  <c r="R18" i="37"/>
  <c r="R19" i="37"/>
  <c r="R20" i="37"/>
  <c r="R21" i="37"/>
  <c r="R22" i="37"/>
  <c r="R23" i="37"/>
  <c r="R24" i="37"/>
  <c r="R25" i="37"/>
  <c r="R26" i="37"/>
  <c r="R27" i="37"/>
  <c r="R28" i="37"/>
  <c r="R29" i="37"/>
  <c r="R30" i="37"/>
  <c r="R31" i="37"/>
  <c r="C32" i="37"/>
  <c r="D32" i="37"/>
  <c r="F32" i="37"/>
  <c r="G32" i="37"/>
  <c r="H32" i="37"/>
  <c r="N32" i="37"/>
  <c r="N60" i="37"/>
  <c r="O32" i="37"/>
  <c r="O60" i="37"/>
  <c r="P32" i="37"/>
  <c r="P60" i="37"/>
  <c r="Y32" i="37"/>
  <c r="Z32" i="37"/>
  <c r="AA32" i="37"/>
  <c r="AB32" i="37"/>
  <c r="AC32" i="37"/>
  <c r="AD32" i="37"/>
  <c r="AE32" i="37"/>
  <c r="B32" i="37"/>
  <c r="BK32" i="37"/>
  <c r="BJ32" i="37"/>
  <c r="BI32" i="37"/>
  <c r="BH32" i="37"/>
  <c r="BG32" i="37"/>
  <c r="BF32" i="37"/>
  <c r="E60" i="40"/>
  <c r="F60" i="40"/>
  <c r="G60" i="40"/>
  <c r="H60" i="40"/>
  <c r="I60" i="40"/>
  <c r="J60" i="40"/>
  <c r="K60" i="40"/>
  <c r="L60" i="40"/>
  <c r="M60" i="40"/>
  <c r="N60" i="40"/>
  <c r="O60" i="40"/>
  <c r="E61" i="40"/>
  <c r="F61" i="40"/>
  <c r="G61" i="40"/>
  <c r="H61" i="40"/>
  <c r="I61" i="40"/>
  <c r="J61" i="40"/>
  <c r="K61" i="40"/>
  <c r="L61" i="40"/>
  <c r="M61" i="40"/>
  <c r="N61" i="40"/>
  <c r="O61" i="40"/>
  <c r="D61" i="40"/>
  <c r="D60" i="40"/>
  <c r="E62" i="40"/>
  <c r="F62" i="40"/>
  <c r="G62" i="40"/>
  <c r="H62" i="40"/>
  <c r="I62" i="40"/>
  <c r="J62" i="40"/>
  <c r="K62" i="40"/>
  <c r="L62" i="40"/>
  <c r="M62" i="40"/>
  <c r="N62" i="40"/>
  <c r="O62" i="40"/>
  <c r="E63" i="40"/>
  <c r="F63" i="40"/>
  <c r="G63" i="40"/>
  <c r="H63" i="40"/>
  <c r="I63" i="40"/>
  <c r="J63" i="40"/>
  <c r="K63" i="40"/>
  <c r="L63" i="40"/>
  <c r="M63" i="40"/>
  <c r="N63" i="40"/>
  <c r="O63" i="40"/>
  <c r="D63" i="40"/>
  <c r="D62" i="40"/>
  <c r="E64" i="40"/>
  <c r="F64" i="40"/>
  <c r="G64" i="40"/>
  <c r="H64" i="40"/>
  <c r="I64" i="40"/>
  <c r="J64" i="40"/>
  <c r="K64" i="40"/>
  <c r="L64" i="40"/>
  <c r="M64" i="40"/>
  <c r="N64" i="40"/>
  <c r="O64" i="40"/>
  <c r="E65" i="40"/>
  <c r="F65" i="40"/>
  <c r="G65" i="40"/>
  <c r="H65" i="40"/>
  <c r="I65" i="40"/>
  <c r="J65" i="40"/>
  <c r="K65" i="40"/>
  <c r="L65" i="40"/>
  <c r="M65" i="40"/>
  <c r="N65" i="40"/>
  <c r="O65" i="40"/>
  <c r="D65" i="40"/>
  <c r="D64" i="40"/>
  <c r="E66" i="40"/>
  <c r="F66" i="40"/>
  <c r="G66" i="40"/>
  <c r="H66" i="40"/>
  <c r="I66" i="40"/>
  <c r="I81" i="40"/>
  <c r="I82" i="40"/>
  <c r="J66" i="40"/>
  <c r="J81" i="40"/>
  <c r="J82" i="40"/>
  <c r="K66" i="40"/>
  <c r="L66" i="40"/>
  <c r="M66" i="40"/>
  <c r="N66" i="40"/>
  <c r="O66" i="40"/>
  <c r="E67" i="40"/>
  <c r="F67" i="40"/>
  <c r="G67" i="40"/>
  <c r="H67" i="40"/>
  <c r="I67" i="40"/>
  <c r="J67" i="40"/>
  <c r="K67" i="40"/>
  <c r="L67" i="40"/>
  <c r="M67" i="40"/>
  <c r="N67" i="40"/>
  <c r="O67" i="40"/>
  <c r="D67" i="40"/>
  <c r="D66" i="40"/>
  <c r="P61" i="45"/>
  <c r="P59" i="45"/>
  <c r="R59" i="45"/>
  <c r="J74" i="45"/>
  <c r="J75" i="45"/>
  <c r="J35" i="45"/>
  <c r="K74" i="45"/>
  <c r="K75" i="45"/>
  <c r="K35" i="45"/>
  <c r="L74" i="45"/>
  <c r="L75" i="45"/>
  <c r="L35" i="45"/>
  <c r="M74" i="45"/>
  <c r="M75" i="45"/>
  <c r="M71" i="45"/>
  <c r="M72" i="45"/>
  <c r="M36" i="45"/>
  <c r="AM14" i="36"/>
  <c r="N74" i="45"/>
  <c r="N75" i="45"/>
  <c r="N35" i="45"/>
  <c r="N71" i="45"/>
  <c r="N72" i="45"/>
  <c r="N36" i="45"/>
  <c r="AN14" i="36"/>
  <c r="O74" i="45"/>
  <c r="O75" i="45"/>
  <c r="O71" i="45"/>
  <c r="O72" i="45"/>
  <c r="O36" i="45"/>
  <c r="AO14" i="36"/>
  <c r="D74" i="45"/>
  <c r="D75" i="45"/>
  <c r="P57" i="45"/>
  <c r="E74" i="45"/>
  <c r="E75" i="45"/>
  <c r="E35" i="45"/>
  <c r="F74" i="45"/>
  <c r="F75" i="45"/>
  <c r="F35" i="45"/>
  <c r="G74" i="45"/>
  <c r="G75" i="45"/>
  <c r="G35" i="45"/>
  <c r="H74" i="45"/>
  <c r="H75" i="45"/>
  <c r="H35" i="45"/>
  <c r="I74" i="45"/>
  <c r="I75" i="45"/>
  <c r="I35" i="45"/>
  <c r="AO16" i="36"/>
  <c r="I72" i="46"/>
  <c r="I73" i="46"/>
  <c r="I35" i="46"/>
  <c r="I69" i="46"/>
  <c r="I70" i="46"/>
  <c r="I36" i="46"/>
  <c r="AI16" i="36"/>
  <c r="AJ16" i="36"/>
  <c r="M78" i="40"/>
  <c r="M79" i="40"/>
  <c r="O74" i="47"/>
  <c r="O75" i="47"/>
  <c r="O36" i="47"/>
  <c r="N74" i="47"/>
  <c r="N75" i="47"/>
  <c r="N36" i="47"/>
  <c r="L74" i="47"/>
  <c r="L75" i="47"/>
  <c r="K74" i="47"/>
  <c r="K75" i="47"/>
  <c r="J74" i="47"/>
  <c r="J75" i="47"/>
  <c r="I74" i="47"/>
  <c r="I75" i="47"/>
  <c r="H74" i="47"/>
  <c r="H75" i="47"/>
  <c r="G74" i="47"/>
  <c r="G75" i="47"/>
  <c r="F74" i="47"/>
  <c r="F75" i="47"/>
  <c r="E74" i="47"/>
  <c r="E75" i="47"/>
  <c r="O77" i="47"/>
  <c r="O78" i="47"/>
  <c r="N77" i="47"/>
  <c r="N78" i="47"/>
  <c r="M77" i="47"/>
  <c r="M78" i="47"/>
  <c r="L77" i="47"/>
  <c r="L78" i="47"/>
  <c r="K77" i="47"/>
  <c r="K78" i="47"/>
  <c r="J77" i="47"/>
  <c r="J78" i="47"/>
  <c r="I77" i="47"/>
  <c r="I78" i="47"/>
  <c r="H77" i="47"/>
  <c r="H78" i="47"/>
  <c r="G77" i="47"/>
  <c r="G78" i="47"/>
  <c r="F77" i="47"/>
  <c r="F78" i="47"/>
  <c r="E77" i="47"/>
  <c r="E78" i="47"/>
  <c r="D77" i="47"/>
  <c r="D74" i="47"/>
  <c r="L71" i="45"/>
  <c r="L72" i="45"/>
  <c r="L36" i="45"/>
  <c r="AL14" i="36"/>
  <c r="F71" i="45"/>
  <c r="G71" i="45"/>
  <c r="H71" i="45"/>
  <c r="H72" i="45"/>
  <c r="H36" i="45"/>
  <c r="AH14" i="36"/>
  <c r="I71" i="45"/>
  <c r="I72" i="45"/>
  <c r="I36" i="45"/>
  <c r="AI14" i="36"/>
  <c r="J71" i="45"/>
  <c r="E71" i="45"/>
  <c r="D71" i="45"/>
  <c r="P58" i="45"/>
  <c r="K71" i="45"/>
  <c r="P65" i="47"/>
  <c r="P66" i="47"/>
  <c r="P67" i="47"/>
  <c r="P68" i="47"/>
  <c r="M35" i="47"/>
  <c r="G35" i="47"/>
  <c r="AO17" i="36"/>
  <c r="I36" i="47"/>
  <c r="AI17" i="36"/>
  <c r="D78" i="47"/>
  <c r="D35" i="47"/>
  <c r="J35" i="47"/>
  <c r="D75" i="47"/>
  <c r="D36" i="47"/>
  <c r="AD17" i="36"/>
  <c r="J36" i="47"/>
  <c r="AJ17" i="36"/>
  <c r="G36" i="47"/>
  <c r="AG17" i="36"/>
  <c r="N35" i="47"/>
  <c r="H35" i="47"/>
  <c r="AN17" i="36"/>
  <c r="H36" i="47"/>
  <c r="AH17" i="36"/>
  <c r="O35" i="47"/>
  <c r="I35" i="47"/>
  <c r="K35" i="47"/>
  <c r="K36" i="47"/>
  <c r="AK17" i="36"/>
  <c r="F35" i="47"/>
  <c r="L35" i="47"/>
  <c r="E35" i="47"/>
  <c r="E36" i="47"/>
  <c r="AE17" i="36"/>
  <c r="F36" i="47"/>
  <c r="AF17" i="36"/>
  <c r="L36" i="47"/>
  <c r="AL17" i="36"/>
  <c r="P61" i="47"/>
  <c r="P63" i="47"/>
  <c r="D72" i="46"/>
  <c r="D73" i="46"/>
  <c r="D35" i="46"/>
  <c r="P57" i="46"/>
  <c r="D69" i="46"/>
  <c r="D70" i="46"/>
  <c r="D36" i="46"/>
  <c r="AD16" i="36"/>
  <c r="P58" i="46"/>
  <c r="E72" i="46"/>
  <c r="E73" i="46"/>
  <c r="E35" i="46"/>
  <c r="E69" i="46"/>
  <c r="E70" i="46"/>
  <c r="E36" i="46"/>
  <c r="AE16" i="36"/>
  <c r="AK16" i="36"/>
  <c r="P59" i="46"/>
  <c r="F72" i="46"/>
  <c r="F73" i="46"/>
  <c r="F35" i="46"/>
  <c r="P60" i="46"/>
  <c r="F69" i="46"/>
  <c r="F70" i="46"/>
  <c r="F36" i="46"/>
  <c r="AF16" i="36"/>
  <c r="AL16" i="36"/>
  <c r="G72" i="46"/>
  <c r="G73" i="46"/>
  <c r="G35" i="46"/>
  <c r="G69" i="46"/>
  <c r="G70" i="46"/>
  <c r="G36" i="46"/>
  <c r="AG16" i="36"/>
  <c r="AM16" i="36"/>
  <c r="P61" i="46"/>
  <c r="H72" i="46"/>
  <c r="H73" i="46"/>
  <c r="H35" i="46"/>
  <c r="P62" i="46"/>
  <c r="H69" i="46"/>
  <c r="H70" i="46"/>
  <c r="H36" i="46"/>
  <c r="AH16" i="36"/>
  <c r="AN16" i="36"/>
  <c r="D35" i="45"/>
  <c r="M35" i="45"/>
  <c r="R61" i="45"/>
  <c r="P60" i="45"/>
  <c r="Q60" i="45"/>
  <c r="R60" i="45"/>
  <c r="P62" i="45"/>
  <c r="O35" i="45"/>
  <c r="R32" i="37"/>
  <c r="AX60" i="37"/>
  <c r="AX32" i="37"/>
  <c r="S32" i="37"/>
  <c r="R60" i="37"/>
  <c r="S60" i="37"/>
  <c r="AE23" i="40"/>
  <c r="S91" i="37"/>
  <c r="K72" i="45"/>
  <c r="K36" i="45"/>
  <c r="AK14" i="36"/>
  <c r="D72" i="45"/>
  <c r="D36" i="45"/>
  <c r="AD14" i="36"/>
  <c r="AP14" i="36"/>
  <c r="E72" i="45"/>
  <c r="E36" i="45"/>
  <c r="AE14" i="36"/>
  <c r="J72" i="45"/>
  <c r="J36" i="45"/>
  <c r="AJ14" i="36"/>
  <c r="G72" i="45"/>
  <c r="G36" i="45"/>
  <c r="AG14" i="36"/>
  <c r="F72" i="45"/>
  <c r="F36" i="45"/>
  <c r="AF14" i="36"/>
  <c r="H81" i="40"/>
  <c r="H82" i="40"/>
  <c r="G81" i="40"/>
  <c r="G82" i="40"/>
  <c r="F81" i="40"/>
  <c r="F82" i="40"/>
  <c r="E81" i="40"/>
  <c r="E82" i="40"/>
  <c r="D81" i="40"/>
  <c r="D82" i="40"/>
  <c r="D78" i="40"/>
  <c r="D79" i="40"/>
  <c r="O78" i="40"/>
  <c r="O79" i="40"/>
  <c r="O36" i="40"/>
  <c r="AO15" i="36"/>
  <c r="N78" i="40"/>
  <c r="N79" i="40"/>
  <c r="L78" i="40"/>
  <c r="L79" i="40"/>
  <c r="L36" i="40"/>
  <c r="AL15" i="36"/>
  <c r="K78" i="40"/>
  <c r="K79" i="40"/>
  <c r="K36" i="40"/>
  <c r="AK15" i="36"/>
  <c r="J78" i="40"/>
  <c r="J79" i="40"/>
  <c r="I78" i="40"/>
  <c r="I79" i="40"/>
  <c r="H78" i="40"/>
  <c r="H79" i="40"/>
  <c r="G78" i="40"/>
  <c r="G79" i="40"/>
  <c r="F78" i="40"/>
  <c r="F79" i="40"/>
  <c r="E78" i="40"/>
  <c r="E79" i="40"/>
  <c r="O81" i="40"/>
  <c r="O82" i="40"/>
  <c r="O35" i="40"/>
  <c r="N81" i="40"/>
  <c r="N82" i="40"/>
  <c r="M81" i="40"/>
  <c r="M82" i="40"/>
  <c r="L81" i="40"/>
  <c r="L82" i="40"/>
  <c r="L35" i="40"/>
  <c r="K81" i="40"/>
  <c r="K82" i="40"/>
  <c r="K35" i="40"/>
  <c r="AQ16" i="36" a="1"/>
  <c r="AQ16" i="36"/>
  <c r="AP16" i="36"/>
  <c r="AQ14" i="36" a="1"/>
  <c r="AQ14" i="36"/>
  <c r="P36" i="46"/>
  <c r="M35" i="40"/>
  <c r="N35" i="40"/>
  <c r="N36" i="40"/>
  <c r="AN15" i="36"/>
  <c r="M36" i="40"/>
  <c r="AM15" i="36"/>
  <c r="P35" i="47"/>
  <c r="P77" i="47"/>
  <c r="P78" i="47"/>
  <c r="P69" i="46"/>
  <c r="P72" i="46"/>
  <c r="P70" i="46"/>
  <c r="P73" i="46"/>
  <c r="P70" i="40"/>
  <c r="P69" i="40"/>
  <c r="P68" i="40"/>
  <c r="P71" i="40"/>
  <c r="P64" i="40"/>
  <c r="P62" i="40"/>
  <c r="P61" i="40"/>
  <c r="P63" i="40"/>
  <c r="P66" i="40"/>
  <c r="P60" i="40"/>
  <c r="P67" i="40"/>
  <c r="P65" i="40"/>
  <c r="P35" i="45"/>
  <c r="Q62" i="45"/>
  <c r="R62" i="45"/>
  <c r="P71" i="45"/>
  <c r="R71" i="45"/>
  <c r="Q58" i="45"/>
  <c r="R58" i="45"/>
  <c r="P75" i="45"/>
  <c r="R57" i="45"/>
  <c r="P74" i="45"/>
  <c r="P72" i="45"/>
  <c r="P36" i="45"/>
  <c r="P82" i="40"/>
  <c r="P79" i="40"/>
  <c r="AQ15" i="36" a="1"/>
  <c r="AQ15" i="36"/>
  <c r="AP15" i="36"/>
  <c r="P81" i="40"/>
  <c r="P78" i="40"/>
  <c r="P35" i="40"/>
  <c r="P36" i="40"/>
  <c r="AE23" i="47" l="1"/>
  <c r="AE23" i="45"/>
  <c r="G2" i="48"/>
  <c r="P64" i="47"/>
  <c r="P35" i="46"/>
  <c r="AD23" i="46"/>
  <c r="AD23" i="40"/>
  <c r="G3" i="48"/>
  <c r="R6" i="48"/>
  <c r="BL47" i="52"/>
  <c r="BZ9" i="52"/>
  <c r="BA23" i="52"/>
  <c r="BE23" i="52"/>
  <c r="BC23" i="52"/>
  <c r="BZ31" i="52"/>
  <c r="BP41" i="52"/>
  <c r="BP4" i="52"/>
  <c r="BX31" i="52"/>
  <c r="BH12" i="52"/>
  <c r="BC22" i="52"/>
  <c r="BE22" i="52"/>
  <c r="BA22" i="52"/>
  <c r="AY22" i="52"/>
  <c r="BV31" i="52"/>
  <c r="BV37" i="52" s="1"/>
  <c r="AW22" i="52"/>
  <c r="BH22" i="52" s="1"/>
  <c r="BP87" i="52"/>
  <c r="BH4" i="52"/>
  <c r="AW23" i="52"/>
  <c r="BG37" i="52"/>
  <c r="BC21" i="52"/>
  <c r="AY21" i="52"/>
  <c r="AW21" i="52"/>
  <c r="BE21" i="52"/>
  <c r="BA21" i="52"/>
  <c r="AY23" i="52"/>
  <c r="BT37" i="52"/>
  <c r="BN37" i="52"/>
  <c r="BO37" i="52" s="1"/>
  <c r="CB31" i="52"/>
  <c r="AW20" i="52"/>
  <c r="AW19" i="52"/>
  <c r="CA7" i="52"/>
  <c r="CA31" i="52" s="1"/>
  <c r="AW18" i="52"/>
  <c r="BA20" i="52"/>
  <c r="AW17" i="52"/>
  <c r="BA19" i="52"/>
  <c r="BN44" i="52"/>
  <c r="AW16" i="52"/>
  <c r="BH16" i="52" s="1"/>
  <c r="BA18" i="52"/>
  <c r="BE20" i="52"/>
  <c r="AW28" i="52"/>
  <c r="AW15" i="52"/>
  <c r="BE19" i="52"/>
  <c r="BJ45" i="52"/>
  <c r="AW14" i="52"/>
  <c r="BH14" i="52" s="1"/>
  <c r="AY15" i="52"/>
  <c r="AY37" i="52" s="1"/>
  <c r="BA16" i="52"/>
  <c r="BA37" i="52" s="1"/>
  <c r="BA49" i="52" s="1"/>
  <c r="BP83" i="52" s="1"/>
  <c r="BQ83" i="52" s="1"/>
  <c r="BC17" i="52"/>
  <c r="BC37" i="52" s="1"/>
  <c r="BC49" i="52" s="1"/>
  <c r="BP84" i="52" s="1"/>
  <c r="BQ84" i="52" s="1"/>
  <c r="BE18" i="52"/>
  <c r="BE37" i="52" s="1"/>
  <c r="BE49" i="52" s="1"/>
  <c r="BP85" i="52" s="1"/>
  <c r="BQ85" i="52" s="1"/>
  <c r="AW26" i="52"/>
  <c r="BH26" i="52" s="1"/>
  <c r="AY27" i="52"/>
  <c r="BA28" i="52"/>
  <c r="BC29" i="52"/>
  <c r="AY20" i="52"/>
  <c r="BH2" i="52"/>
  <c r="AY19" i="52"/>
  <c r="AY18" i="52"/>
  <c r="AW29" i="52"/>
  <c r="AY17" i="52"/>
  <c r="AY29" i="52"/>
  <c r="AY16" i="52"/>
  <c r="BA17" i="52"/>
  <c r="AW27" i="52"/>
  <c r="BH27" i="52" s="1"/>
  <c r="AY28" i="52"/>
  <c r="BA29" i="52"/>
  <c r="BI39" i="52"/>
  <c r="M74" i="47"/>
  <c r="M75" i="47" s="1"/>
  <c r="M36" i="47" s="1"/>
  <c r="P62" i="47"/>
  <c r="P74" i="47" s="1"/>
  <c r="Q6" i="48"/>
  <c r="R7" i="48" s="1"/>
  <c r="AD25" i="40"/>
  <c r="C6" i="48"/>
  <c r="G6" i="48" l="1"/>
  <c r="AY49" i="52"/>
  <c r="BP82" i="52" s="1"/>
  <c r="BQ82" i="52" s="1"/>
  <c r="AZ38" i="52"/>
  <c r="BA39" i="52"/>
  <c r="BB39" i="52" s="1"/>
  <c r="BP51" i="52"/>
  <c r="BO38" i="52"/>
  <c r="BP98" i="52"/>
  <c r="BP99" i="52" s="1"/>
  <c r="BP101" i="52" s="1"/>
  <c r="BP103" i="52" s="1"/>
  <c r="BP105" i="52" s="1"/>
  <c r="BG38" i="52"/>
  <c r="BG49" i="52"/>
  <c r="BH19" i="52"/>
  <c r="BH37" i="52" s="1"/>
  <c r="BH23" i="52"/>
  <c r="BR87" i="52"/>
  <c r="BQ87" i="52"/>
  <c r="BS87" i="52" s="1"/>
  <c r="BH17" i="52"/>
  <c r="BH18" i="52"/>
  <c r="BH15" i="52"/>
  <c r="BH20" i="52"/>
  <c r="BH28" i="52"/>
  <c r="BH21" i="52"/>
  <c r="BH29" i="52"/>
  <c r="BW37" i="52"/>
  <c r="AW37" i="52"/>
  <c r="CC31" i="52"/>
  <c r="BW31" i="52"/>
  <c r="P75" i="47"/>
  <c r="AM17" i="36"/>
  <c r="P36" i="47"/>
  <c r="D2" i="48"/>
  <c r="D5" i="48"/>
  <c r="J7" i="48"/>
  <c r="D3" i="48"/>
  <c r="BI37" i="52" l="1"/>
  <c r="AW49" i="52"/>
  <c r="AX38" i="52"/>
  <c r="BW38" i="52"/>
  <c r="BT56" i="52"/>
  <c r="BP53" i="52"/>
  <c r="AQ17" i="36" a="1"/>
  <c r="AQ17" i="36" s="1"/>
  <c r="AP17" i="36"/>
  <c r="BI49" i="52" l="1"/>
  <c r="BP81" i="52"/>
  <c r="BR58" i="52"/>
  <c r="BP57" i="52"/>
  <c r="BP60" i="52" s="1"/>
  <c r="BP69" i="52" s="1"/>
  <c r="BP89" i="52" l="1"/>
  <c r="BQ89" i="52" s="1"/>
  <c r="BQ72" i="52"/>
  <c r="BQ70" i="52"/>
  <c r="BR74" i="52" s="1"/>
  <c r="BQ81" i="52"/>
  <c r="BP86" i="52"/>
  <c r="BQ86" i="52" l="1"/>
  <c r="BP88" i="52"/>
  <c r="BQ88" i="5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Rocío López</author>
    <author>tc={3D528CC3-7BDB-4A53-89AF-8787D7266819}</author>
    <author>tc={4016C85B-A447-494D-8446-F2DD50601C79}</author>
  </authors>
  <commentList>
    <comment ref="K7" authorId="0" shapeId="0" xr:uid="{57AF7951-E1EC-41EC-BE56-120E1FDA21B1}">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1" authorId="1" shapeId="0" xr:uid="{47445532-D5B1-4ECA-98CD-FD5D7E158754}">
      <text>
        <r>
          <rPr>
            <sz val="9"/>
            <color indexed="81"/>
            <rFont val="Tahoma"/>
            <family val="2"/>
          </rPr>
          <t>En este campo seleccionar de la lista desplegable el nombre del proyecto asignado y cargado en la ficha EBI de MGA.</t>
        </r>
        <r>
          <rPr>
            <sz val="9"/>
            <color indexed="81"/>
            <rFont val="Tahoma"/>
            <family val="2"/>
          </rPr>
          <t xml:space="preserve">
</t>
        </r>
      </text>
    </comment>
    <comment ref="A15" authorId="0" shapeId="0" xr:uid="{A50AEE25-EC29-43DA-95A9-D4FD20BA9C89}">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L15" authorId="2" shapeId="0" xr:uid="{2334315B-6DE4-452D-A678-5EC36BB675F7}">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Y15" authorId="2" shapeId="0" xr:uid="{BF14EA4E-16A3-4840-80F7-7D9342738C09}">
      <text>
        <r>
          <rPr>
            <sz val="9"/>
            <color indexed="81"/>
            <rFont val="Tahoma"/>
            <family val="2"/>
          </rPr>
          <t xml:space="preserve">En este campo seleccionar de la lista desplegable la meta Plan de Desarrollo vigente, bajo la cual se encuentra articulado el proyecto de inversión </t>
        </r>
      </text>
    </comment>
    <comment ref="A17" authorId="2" shapeId="0" xr:uid="{E8B2AE85-CA96-4567-AC4A-B532258169B9}">
      <text>
        <r>
          <rPr>
            <sz val="9"/>
            <color indexed="81"/>
            <rFont val="Tahoma"/>
            <family val="2"/>
          </rPr>
          <t>En este campo se diligencia el nombre de la actividad del proyecto de inversión</t>
        </r>
      </text>
    </comment>
    <comment ref="A21" authorId="0" shapeId="0" xr:uid="{09E954AE-0809-4B7A-8272-CB204B32F3A4}">
      <text>
        <r>
          <rPr>
            <sz val="9"/>
            <color indexed="81"/>
            <rFont val="Tahoma"/>
            <family val="2"/>
          </rPr>
          <t>Valor de la reserva constituida al inicio de la vigencia</t>
        </r>
      </text>
    </comment>
    <comment ref="AD21" authorId="0" shapeId="0" xr:uid="{2379C265-B541-4A23-88BE-A92C7F039B2F}">
      <text>
        <r>
          <rPr>
            <sz val="9"/>
            <color indexed="81"/>
            <rFont val="Tahoma"/>
            <family val="2"/>
          </rPr>
          <t>Ajustar las sumatorias en las formulas de compromisos y giros según el periodo según corresponda</t>
        </r>
      </text>
    </comment>
    <comment ref="A22" authorId="0" shapeId="0" xr:uid="{B67F681F-1901-4632-B397-E1C7BDA87791}">
      <text>
        <r>
          <rPr>
            <sz val="9"/>
            <color indexed="81"/>
            <rFont val="Tahoma"/>
            <family val="2"/>
          </rPr>
          <t>Programación de acuerdo de desempleño en la ejecución de giros para cada mes de la vigencia.</t>
        </r>
      </text>
    </comment>
    <comment ref="A23" authorId="0" shapeId="0" xr:uid="{412C6367-71BA-452E-A044-2399A771529B}">
      <text>
        <r>
          <rPr>
            <sz val="9"/>
            <color indexed="81"/>
            <rFont val="Tahoma"/>
            <family val="2"/>
          </rPr>
          <t>Liberaciones de reservas realizadas en cada mes de la vigencia.</t>
        </r>
      </text>
    </comment>
    <comment ref="AC23" authorId="3" shapeId="0" xr:uid="{3D528CC3-7BDB-4A53-89AF-8787D7266819}">
      <text>
        <t>[Comentario encadenado]
Su versión de Excel le permite leer este comentario encadenado; sin embargo, las ediciones que se apliquen se quitarán si el archivo se abre en una versión más reciente de Excel. Más información: https://go.microsoft.com/fwlink/?linkid=870924
Comentario:
    En el mes de octubre se hizo una liberación por valor de $1.485.260 del proceso 643</t>
      </text>
    </comment>
    <comment ref="A24" authorId="0" shapeId="0" xr:uid="{3C9345A2-F061-427C-ABAA-BA5D5739814A}">
      <text>
        <r>
          <rPr>
            <sz val="9"/>
            <color indexed="81"/>
            <rFont val="Tahoma"/>
            <family val="2"/>
          </rPr>
          <t>Reserva definitiva después de liberaciones.</t>
        </r>
      </text>
    </comment>
    <comment ref="A25" authorId="0" shapeId="0" xr:uid="{9B255818-EAB3-4F01-A71A-5405BC50100C}">
      <text>
        <r>
          <rPr>
            <sz val="9"/>
            <color indexed="81"/>
            <rFont val="Tahoma"/>
            <family val="2"/>
          </rPr>
          <t>Ejecución de los giros de la reserva para mes</t>
        </r>
      </text>
    </comment>
    <comment ref="A28" authorId="2" shapeId="0" xr:uid="{92FEAD84-9F99-4304-BC3D-5804CEE2C19F}">
      <text>
        <r>
          <rPr>
            <sz val="9"/>
            <color indexed="81"/>
            <rFont val="Tahoma"/>
            <family val="2"/>
          </rPr>
          <t>En este campo se diligencia el nombre de la actividad del proyecto que se reportó con rezago en su cumplimiento físico en la vigencia anterior</t>
        </r>
      </text>
    </comment>
    <comment ref="B28" authorId="2" shapeId="0" xr:uid="{CE76B14E-7BB1-41BC-9316-EF71ADD04A86}">
      <text>
        <r>
          <rPr>
            <sz val="9"/>
            <color indexed="81"/>
            <rFont val="Tahoma"/>
            <family val="2"/>
          </rPr>
          <t>Se diligencia el rezago reportado al corte de diciembre de la vigencia anterior</t>
        </r>
      </text>
    </comment>
    <comment ref="A33" authorId="2" shapeId="0" xr:uid="{E907BDCE-F05F-4E93-B86F-CD83AAC28B77}">
      <text>
        <r>
          <rPr>
            <sz val="9"/>
            <color indexed="81"/>
            <rFont val="Tahoma"/>
            <family val="2"/>
          </rPr>
          <t>En este campo se diligencia el nombre de la actividad del proyecto de inversión</t>
        </r>
      </text>
    </comment>
    <comment ref="B33" authorId="2" shapeId="0" xr:uid="{4337274C-6B37-40C1-9859-0FFFE45B6BF6}">
      <text>
        <r>
          <rPr>
            <sz val="9"/>
            <color indexed="81"/>
            <rFont val="Tahoma"/>
            <family val="2"/>
          </rPr>
          <t xml:space="preserve">Valor porcentual asignado a la actividad dentro del plan de acción. Es necesario tener en cuenta que la sumatoria de las ponderaciones de las actividades de un plan de acción debe ser igual al 100%. </t>
        </r>
      </text>
    </comment>
    <comment ref="D33" authorId="2" shapeId="0" xr:uid="{162CD920-25F3-4B3E-BCA3-4D782BDC1161}">
      <text>
        <r>
          <rPr>
            <sz val="9"/>
            <color indexed="81"/>
            <rFont val="Tahoma"/>
            <family val="2"/>
          </rPr>
          <t>Se diligencia la programación mensual de la actividad proyecto de inversión</t>
        </r>
      </text>
    </comment>
    <comment ref="A39" authorId="2" shapeId="0" xr:uid="{4DB5353B-215C-4461-B2B2-CC9E30D88CEE}">
      <text>
        <r>
          <rPr>
            <sz val="9"/>
            <color indexed="81"/>
            <rFont val="Tahoma"/>
            <family val="2"/>
          </rPr>
          <t>En este campo se diligencia el nombre de la tarea definida para la gestión de cumplimiento de la actividad del proyecto de inversión</t>
        </r>
      </text>
    </comment>
    <comment ref="B39" authorId="2" shapeId="0" xr:uid="{FF408761-0EA9-4053-9F02-C86E9242B486}">
      <text>
        <r>
          <rPr>
            <sz val="9"/>
            <color indexed="81"/>
            <rFont val="Tahoma"/>
            <family val="2"/>
          </rPr>
          <t>Valor porcentual asignado a la tarea dentro de la actividad, conocida también como ponderación vertical. Es necesario tener en cuenta que la sumatoria de las ponderaciones de las tareas debe ser igual a la ponderación total definida para la meta, por lo cual la sumatoria de todas las actividades definidas en el plan de acción debe ser igual al 100%.</t>
        </r>
      </text>
    </comment>
    <comment ref="Y43" authorId="4" shapeId="0" xr:uid="{4016C85B-A447-494D-8446-F2DD50601C79}">
      <text>
        <t>[Comentario encadenado]
Su versión de Excel le permite leer este comentario encadenado; sin embargo, las ediciones que se apliquen se quitarán si el archivo se abre en una versión más reciente de Excel. Más información: https://go.microsoft.com/fwlink/?linkid=870924
Comentario:
    Se ajusta la evidencias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Rocío López</author>
  </authors>
  <commentList>
    <comment ref="K7" authorId="0" shapeId="0" xr:uid="{00000000-0006-0000-0000-00000100000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1" authorId="1" shapeId="0" xr:uid="{6977ED10-D018-4E14-9E93-A34290A59359}">
      <text>
        <r>
          <rPr>
            <sz val="9"/>
            <color indexed="81"/>
            <rFont val="Tahoma"/>
            <family val="2"/>
          </rPr>
          <t>En este campo seleccionar de la lista desplegable el nombre del proyecto asignado y cargado en la ficha EBI de MGA.</t>
        </r>
        <r>
          <rPr>
            <sz val="9"/>
            <color indexed="81"/>
            <rFont val="Tahoma"/>
            <family val="2"/>
          </rPr>
          <t xml:space="preserve">
</t>
        </r>
      </text>
    </comment>
    <comment ref="A15" authorId="0" shapeId="0" xr:uid="{00000000-0006-0000-0000-000002000000}">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L15" authorId="2" shapeId="0" xr:uid="{0E1150F6-E938-42EC-A37B-5F5BA134E7C3}">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Y15" authorId="2" shapeId="0" xr:uid="{20473B47-8CB6-4C4A-9B9C-59A117308422}">
      <text>
        <r>
          <rPr>
            <sz val="9"/>
            <color indexed="81"/>
            <rFont val="Tahoma"/>
            <family val="2"/>
          </rPr>
          <t xml:space="preserve">En este campo seleccionar de la lista desplegable la meta Plan de Desarrollo vigente, bajo la cual se encuentra articulado el proyecto de inversión </t>
        </r>
      </text>
    </comment>
    <comment ref="A17" authorId="2" shapeId="0" xr:uid="{A4A8A1E4-A145-411C-BD50-CC141AF22E62}">
      <text>
        <r>
          <rPr>
            <sz val="9"/>
            <color indexed="81"/>
            <rFont val="Tahoma"/>
            <family val="2"/>
          </rPr>
          <t>En este campo se diligencia el nombre de la actividad del proyecto de inversión</t>
        </r>
      </text>
    </comment>
    <comment ref="A21" authorId="0" shapeId="0" xr:uid="{00000000-0006-0000-0000-000003000000}">
      <text>
        <r>
          <rPr>
            <sz val="9"/>
            <color indexed="81"/>
            <rFont val="Tahoma"/>
            <family val="2"/>
          </rPr>
          <t>Valor de la reserva constituida al inicio de la vigencia</t>
        </r>
      </text>
    </comment>
    <comment ref="AD21" authorId="0" shapeId="0" xr:uid="{00000000-0006-0000-0000-000004000000}">
      <text>
        <r>
          <rPr>
            <sz val="9"/>
            <color indexed="81"/>
            <rFont val="Tahoma"/>
            <family val="2"/>
          </rPr>
          <t>Ajustar las sumatorias en las formulas de compromisos y giros según el periodo según corresponda</t>
        </r>
      </text>
    </comment>
    <comment ref="A22" authorId="0" shapeId="0" xr:uid="{00000000-0006-0000-0000-000005000000}">
      <text>
        <r>
          <rPr>
            <sz val="9"/>
            <color indexed="81"/>
            <rFont val="Tahoma"/>
            <family val="2"/>
          </rPr>
          <t>Programación de acuerdo de desempeño en la ejecución de giros para cada mes de la vigencia.</t>
        </r>
      </text>
    </comment>
    <comment ref="A23" authorId="0" shapeId="0" xr:uid="{00000000-0006-0000-0000-000006000000}">
      <text>
        <r>
          <rPr>
            <sz val="9"/>
            <color indexed="81"/>
            <rFont val="Tahoma"/>
            <family val="2"/>
          </rPr>
          <t>Liberaciones de reservas realizadas en cada mes de la vigencia.</t>
        </r>
      </text>
    </comment>
    <comment ref="A24" authorId="0" shapeId="0" xr:uid="{00000000-0006-0000-0000-000007000000}">
      <text>
        <r>
          <rPr>
            <sz val="9"/>
            <color indexed="81"/>
            <rFont val="Tahoma"/>
            <family val="2"/>
          </rPr>
          <t>Reserva definitiva después de liberaciones.</t>
        </r>
      </text>
    </comment>
    <comment ref="A25" authorId="0" shapeId="0" xr:uid="{00000000-0006-0000-0000-000008000000}">
      <text>
        <r>
          <rPr>
            <sz val="9"/>
            <color indexed="81"/>
            <rFont val="Tahoma"/>
            <family val="2"/>
          </rPr>
          <t>Ejecución de los giros de la reserva para mes</t>
        </r>
      </text>
    </comment>
    <comment ref="A28" authorId="2" shapeId="0" xr:uid="{68C09F82-A1FB-4BFE-B950-6F374FB908DA}">
      <text>
        <r>
          <rPr>
            <sz val="9"/>
            <color indexed="81"/>
            <rFont val="Tahoma"/>
            <family val="2"/>
          </rPr>
          <t>En este campo se diligencia el nombre de la actividad del proyecto que se reportó con rezago en su cumplimiento físico en la vigencia anterior</t>
        </r>
      </text>
    </comment>
    <comment ref="B28" authorId="2" shapeId="0" xr:uid="{65D46435-DB94-4A56-9FC3-A713136B9863}">
      <text>
        <r>
          <rPr>
            <sz val="9"/>
            <color indexed="81"/>
            <rFont val="Tahoma"/>
            <family val="2"/>
          </rPr>
          <t>Se diligencia el rezago reportado al corte de diciembre de la vigencia anterior</t>
        </r>
      </text>
    </comment>
    <comment ref="A33" authorId="2" shapeId="0" xr:uid="{F81769B4-4129-4985-A7EC-26F6C2FC42B6}">
      <text>
        <r>
          <rPr>
            <sz val="9"/>
            <color indexed="81"/>
            <rFont val="Tahoma"/>
            <family val="2"/>
          </rPr>
          <t>En este campo se diligencia el nombre de la actividad del proyecto de inversión</t>
        </r>
      </text>
    </comment>
    <comment ref="B33" authorId="2" shapeId="0" xr:uid="{4EE1C5EF-8F6A-409A-B4F6-E2C23857097D}">
      <text>
        <r>
          <rPr>
            <sz val="9"/>
            <color indexed="81"/>
            <rFont val="Tahoma"/>
            <family val="2"/>
          </rPr>
          <t xml:space="preserve">Valor porcentual asignado a la actividad dentro del plan de acción. Es necesario tener en cuenta que la sumatoria de las ponderaciones de las actividades de un plan de acción debe ser igual al 100%. </t>
        </r>
      </text>
    </comment>
    <comment ref="D33" authorId="2" shapeId="0" xr:uid="{B3862851-9615-46E0-BE47-FDA90E933FF7}">
      <text>
        <r>
          <rPr>
            <sz val="9"/>
            <color indexed="81"/>
            <rFont val="Tahoma"/>
            <family val="2"/>
          </rPr>
          <t>Se diligencia la programación mensual de la actividad proyecto de inversión</t>
        </r>
      </text>
    </comment>
    <comment ref="A39" authorId="2" shapeId="0" xr:uid="{AD6305BE-5DCE-4E4A-89AD-CE1C553B04E0}">
      <text>
        <r>
          <rPr>
            <sz val="9"/>
            <color indexed="81"/>
            <rFont val="Tahoma"/>
            <family val="2"/>
          </rPr>
          <t>En este campo se diligencia el nombre de la tarea definida para la gestión de cumplimiento de la actividad del proyecto de inversión</t>
        </r>
      </text>
    </comment>
    <comment ref="B39" authorId="2" shapeId="0" xr:uid="{136D15D0-7B75-41CA-8A25-8A3608848213}">
      <text>
        <r>
          <rPr>
            <sz val="9"/>
            <color indexed="81"/>
            <rFont val="Tahoma"/>
            <family val="2"/>
          </rPr>
          <t>Valor porcentual asignado a la tarea dentro de la actividad, conocida también como ponderación vertical. Es necesario tener en cuenta que la sumatoria de las ponderaciones de las tareas debe ser igual a la ponderación total definida para la meta, por lo cual la sumatoria de todas las actividades definidas en el plan de acción debe ser igual al 100%.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Rocío López</author>
  </authors>
  <commentList>
    <comment ref="K7" authorId="0" shapeId="0" xr:uid="{25BC318E-76D3-4621-B3F8-495613666A20}">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1" authorId="1" shapeId="0" xr:uid="{CF7F2910-306F-4DCF-926E-F2D428F82117}">
      <text>
        <r>
          <rPr>
            <sz val="9"/>
            <color indexed="81"/>
            <rFont val="Tahoma"/>
            <family val="2"/>
          </rPr>
          <t>En este campo seleccionar de la lista desplegable el nombre del proyecto asignado y cargado en la ficha EBI de MGA.</t>
        </r>
        <r>
          <rPr>
            <sz val="9"/>
            <color indexed="81"/>
            <rFont val="Tahoma"/>
            <family val="2"/>
          </rPr>
          <t xml:space="preserve">
</t>
        </r>
      </text>
    </comment>
    <comment ref="A15" authorId="0" shapeId="0" xr:uid="{29219908-ABDE-473C-B5D3-6FEEA498687F}">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L15" authorId="2" shapeId="0" xr:uid="{1AFCDC34-D025-49AC-9FC8-F0F015430971}">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Y15" authorId="2" shapeId="0" xr:uid="{78FADC25-70EF-4BFB-8827-7505CDC80B87}">
      <text>
        <r>
          <rPr>
            <sz val="9"/>
            <color indexed="81"/>
            <rFont val="Tahoma"/>
            <family val="2"/>
          </rPr>
          <t xml:space="preserve">En este campo seleccionar de la lista desplegable la meta Plan de Desarrollo vigente, bajo la cual se encuentra articulado el proyecto de inversión </t>
        </r>
      </text>
    </comment>
    <comment ref="A17" authorId="2" shapeId="0" xr:uid="{6BCDEB57-9FD2-488B-9193-481DF9450A9C}">
      <text>
        <r>
          <rPr>
            <sz val="9"/>
            <color indexed="81"/>
            <rFont val="Tahoma"/>
            <family val="2"/>
          </rPr>
          <t>En este campo se diligencia el nombre de la actividad del proyecto de inversión</t>
        </r>
      </text>
    </comment>
    <comment ref="A21" authorId="0" shapeId="0" xr:uid="{7C5C2336-B581-44B1-B58D-FACC91D39D06}">
      <text>
        <r>
          <rPr>
            <sz val="9"/>
            <color indexed="81"/>
            <rFont val="Tahoma"/>
            <family val="2"/>
          </rPr>
          <t>Valor de la reserva constituida al inicio de la vigencia</t>
        </r>
      </text>
    </comment>
    <comment ref="AD21" authorId="0" shapeId="0" xr:uid="{9FA2BC74-A032-4DB5-9AB4-0BF4A05BA8AD}">
      <text>
        <r>
          <rPr>
            <sz val="9"/>
            <color indexed="81"/>
            <rFont val="Tahoma"/>
            <family val="2"/>
          </rPr>
          <t>Ajustar las sumatorias en las formulas de compromisos y giros según el periodo según corresponda</t>
        </r>
      </text>
    </comment>
    <comment ref="A22" authorId="0" shapeId="0" xr:uid="{9415FA71-5FF6-42BB-9D21-351EFE0A92EC}">
      <text>
        <r>
          <rPr>
            <sz val="9"/>
            <color indexed="81"/>
            <rFont val="Tahoma"/>
            <family val="2"/>
          </rPr>
          <t>Programación de acuerdo de desempeño en la ejecución de giros para cada mes de la vigencia.</t>
        </r>
      </text>
    </comment>
    <comment ref="A23" authorId="0" shapeId="0" xr:uid="{50D747D3-28AC-4C69-A573-A6BEF66857FB}">
      <text>
        <r>
          <rPr>
            <sz val="9"/>
            <color indexed="81"/>
            <rFont val="Tahoma"/>
            <family val="2"/>
          </rPr>
          <t>Liberaciones de reservas realizadas en cada mes de la vigencia.</t>
        </r>
      </text>
    </comment>
    <comment ref="A24" authorId="0" shapeId="0" xr:uid="{96E50303-6E1E-4D5E-B254-431169AB5F27}">
      <text>
        <r>
          <rPr>
            <sz val="9"/>
            <color indexed="81"/>
            <rFont val="Tahoma"/>
            <family val="2"/>
          </rPr>
          <t>Reserva definitiva después de liberaciones.</t>
        </r>
      </text>
    </comment>
    <comment ref="A25" authorId="0" shapeId="0" xr:uid="{732A2381-6159-430F-8FFB-7400DB7128E2}">
      <text>
        <r>
          <rPr>
            <sz val="9"/>
            <color indexed="81"/>
            <rFont val="Tahoma"/>
            <family val="2"/>
          </rPr>
          <t>Ejecución de los giros de la reserva para mes</t>
        </r>
      </text>
    </comment>
    <comment ref="A28" authorId="2" shapeId="0" xr:uid="{12DBA62D-9281-4532-AF48-12C973496AF8}">
      <text>
        <r>
          <rPr>
            <sz val="9"/>
            <color indexed="81"/>
            <rFont val="Tahoma"/>
            <family val="2"/>
          </rPr>
          <t>En este campo se diligencia el nombre de la actividad del proyecto que se reportó con rezago en su cumplimiento físico en la vigencia anterior</t>
        </r>
      </text>
    </comment>
    <comment ref="B28" authorId="2" shapeId="0" xr:uid="{E8CEB343-C3C9-4EB8-875F-051B4905EF8A}">
      <text>
        <r>
          <rPr>
            <sz val="9"/>
            <color indexed="81"/>
            <rFont val="Tahoma"/>
            <family val="2"/>
          </rPr>
          <t>Se diligencia el rezago reportado al corte de diciembre de la vigencia anterior</t>
        </r>
      </text>
    </comment>
    <comment ref="A33" authorId="2" shapeId="0" xr:uid="{BBE20E46-0BDA-46F2-A162-B3883255160A}">
      <text>
        <r>
          <rPr>
            <sz val="9"/>
            <color indexed="81"/>
            <rFont val="Tahoma"/>
            <family val="2"/>
          </rPr>
          <t>En este campo se diligencia el nombre de la actividad del proyecto de inversión</t>
        </r>
      </text>
    </comment>
    <comment ref="B33" authorId="2" shapeId="0" xr:uid="{125E3E25-48A9-46A4-B7C1-75DE6E15F405}">
      <text>
        <r>
          <rPr>
            <sz val="9"/>
            <color indexed="81"/>
            <rFont val="Tahoma"/>
            <family val="2"/>
          </rPr>
          <t xml:space="preserve">Valor porcentual asignado a la actividad dentro del plan de acción. Es necesario tener en cuenta que la sumatoria de las ponderaciones de las actividades de un plan de acción debe ser igual al 100%. </t>
        </r>
      </text>
    </comment>
    <comment ref="D33" authorId="2" shapeId="0" xr:uid="{F2A48844-4178-44B1-AE22-6B06CDAC5AD4}">
      <text>
        <r>
          <rPr>
            <sz val="9"/>
            <color indexed="81"/>
            <rFont val="Tahoma"/>
            <family val="2"/>
          </rPr>
          <t>Se diligencia la programación mensual de la actividad proyecto de inversión</t>
        </r>
      </text>
    </comment>
    <comment ref="A39" authorId="2" shapeId="0" xr:uid="{79AC6C12-2E90-4BB1-945F-1F88AAB11C2D}">
      <text>
        <r>
          <rPr>
            <sz val="9"/>
            <color indexed="81"/>
            <rFont val="Tahoma"/>
            <family val="2"/>
          </rPr>
          <t>En este campo se diligencia el nombre de la tarea definida para la gestión de cumplimiento de la actividad del proyecto de inversión</t>
        </r>
      </text>
    </comment>
    <comment ref="B39" authorId="2" shapeId="0" xr:uid="{3A3370FA-CEB5-4A38-98FC-D05F325C5E65}">
      <text>
        <r>
          <rPr>
            <sz val="9"/>
            <color indexed="81"/>
            <rFont val="Tahoma"/>
            <family val="2"/>
          </rPr>
          <t>Valor porcentual asignado a la tarea dentro de la actividad, conocida también como ponderación vertical. Es necesario tener en cuenta que la sumatoria de las ponderaciones de las tareas debe ser igual a la ponderación total definida para la meta, por lo cual la sumatoria de todas las actividades definidas en el plan de acción debe ser igual al 100%.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Daniel Avendaño</author>
    <author>LEGION</author>
    <author>Rocío López</author>
  </authors>
  <commentList>
    <comment ref="K7" authorId="0" shapeId="0" xr:uid="{D071EAC2-EE91-4784-BA18-388208AB463C}">
      <text>
        <r>
          <rPr>
            <sz val="9"/>
            <color indexed="81"/>
            <rFont val="Tahoma"/>
            <family val="2"/>
          </rPr>
          <t xml:space="preserve">En este campo se selecciona según aplique.
Programación: Corresponde al proceso de formulación del plan de acción, el cual se realiza una vez por vigencia. 
Actualización: Corresponde al proceso mediante el cual la gerencia del proyecto modifica o ajusta la información contenida en la formulación. 
Seguimiento: Corresponde al proceso de reporte de avance de las metas y actividades programadas. </t>
        </r>
      </text>
    </comment>
    <comment ref="A11" authorId="1" shapeId="0" xr:uid="{AD173F8F-4339-4782-8AA8-8880CF72AFDD}">
      <text>
        <r>
          <rPr>
            <sz val="9"/>
            <color indexed="81"/>
            <rFont val="Tahoma"/>
            <family val="2"/>
          </rPr>
          <t>En este campo seleccionar de la lista desplegable el nombre del proyecto asignado y cargado en la ficha EBI de MGA.</t>
        </r>
        <r>
          <rPr>
            <sz val="9"/>
            <color indexed="81"/>
            <rFont val="Tahoma"/>
            <family val="2"/>
          </rPr>
          <t xml:space="preserve">
</t>
        </r>
      </text>
    </comment>
    <comment ref="A15" authorId="0" shapeId="0" xr:uid="{0BEE76E2-3D0D-41B2-9226-6C430EE10100}">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L15" authorId="2" shapeId="0" xr:uid="{F586B100-EEBD-48AE-BBD0-311695313107}">
      <text>
        <r>
          <rPr>
            <sz val="9"/>
            <color indexed="81"/>
            <rFont val="Tahoma"/>
            <family val="2"/>
          </rPr>
          <t xml:space="preserve">En este campo seleccionar de la lista desplegable el detalle de la estructura Plan de Desarrollo vigente, bajo la cual se encuentra articulado el proyecto de inversión </t>
        </r>
      </text>
    </comment>
    <comment ref="Y15" authorId="2" shapeId="0" xr:uid="{097A9FFD-E5E8-4570-9D9B-14476FFD9175}">
      <text>
        <r>
          <rPr>
            <sz val="9"/>
            <color indexed="81"/>
            <rFont val="Tahoma"/>
            <family val="2"/>
          </rPr>
          <t xml:space="preserve">En este campo seleccionar de la lista desplegable la meta Plan de Desarrollo vigente, bajo la cual se encuentra articulado el proyecto de inversión </t>
        </r>
      </text>
    </comment>
    <comment ref="A17" authorId="2" shapeId="0" xr:uid="{F6A187E1-E7EF-427D-844A-F238D39DE15C}">
      <text>
        <r>
          <rPr>
            <sz val="9"/>
            <color indexed="81"/>
            <rFont val="Tahoma"/>
            <family val="2"/>
          </rPr>
          <t>En este campo se diligencia el nombre de la actividad del proyecto de inversión</t>
        </r>
      </text>
    </comment>
    <comment ref="A21" authorId="0" shapeId="0" xr:uid="{16D52735-39F9-4141-B4A5-A9AD61D8CB32}">
      <text>
        <r>
          <rPr>
            <sz val="9"/>
            <color indexed="81"/>
            <rFont val="Tahoma"/>
            <family val="2"/>
          </rPr>
          <t>Valor de la reserva constituida al inicio de la vigencia</t>
        </r>
      </text>
    </comment>
    <comment ref="AD21" authorId="0" shapeId="0" xr:uid="{43D28251-F09D-484F-8A44-FEB501565007}">
      <text>
        <r>
          <rPr>
            <sz val="9"/>
            <color indexed="81"/>
            <rFont val="Tahoma"/>
            <family val="2"/>
          </rPr>
          <t>Ajustar las sumatorias en las formulas de compromisos y giros según el periodo según corresponda</t>
        </r>
      </text>
    </comment>
    <comment ref="A22" authorId="0" shapeId="0" xr:uid="{42596BB3-F453-4B37-A375-5866206B410A}">
      <text>
        <r>
          <rPr>
            <sz val="9"/>
            <color indexed="81"/>
            <rFont val="Tahoma"/>
            <family val="2"/>
          </rPr>
          <t>Programación de acuerdo de desempeño en la ejecución de giros para cada mes de la vigencia.</t>
        </r>
      </text>
    </comment>
    <comment ref="A23" authorId="0" shapeId="0" xr:uid="{A1DC6DBF-D74D-473D-AD04-45E139B1A8D7}">
      <text>
        <r>
          <rPr>
            <sz val="9"/>
            <color indexed="81"/>
            <rFont val="Tahoma"/>
            <family val="2"/>
          </rPr>
          <t>Liberaciones de reservas realizadas en cada mes de la vigencia.</t>
        </r>
      </text>
    </comment>
    <comment ref="A24" authorId="0" shapeId="0" xr:uid="{09F082F0-FD0B-4FD6-B568-EAEBA544FF29}">
      <text>
        <r>
          <rPr>
            <sz val="9"/>
            <color indexed="81"/>
            <rFont val="Tahoma"/>
            <family val="2"/>
          </rPr>
          <t>Reserva definitiva después de liberaciones.</t>
        </r>
      </text>
    </comment>
    <comment ref="A25" authorId="0" shapeId="0" xr:uid="{30B15797-5083-40CA-9A73-3F53F6283132}">
      <text>
        <r>
          <rPr>
            <sz val="9"/>
            <color indexed="81"/>
            <rFont val="Tahoma"/>
            <family val="2"/>
          </rPr>
          <t>Ejecución de los giros de la reserva para mes</t>
        </r>
      </text>
    </comment>
    <comment ref="A28" authorId="2" shapeId="0" xr:uid="{B90F939B-3976-4D36-930C-D09A653F0345}">
      <text>
        <r>
          <rPr>
            <sz val="9"/>
            <color indexed="81"/>
            <rFont val="Tahoma"/>
            <family val="2"/>
          </rPr>
          <t>En este campo se diligencia el nombre de la actividad del proyecto que se reportó con rezago en su cumplimiento físico en la vigencia anterior</t>
        </r>
      </text>
    </comment>
    <comment ref="B28" authorId="2" shapeId="0" xr:uid="{74E82958-66A9-4CF9-B46B-555F2BBE5404}">
      <text>
        <r>
          <rPr>
            <sz val="9"/>
            <color indexed="81"/>
            <rFont val="Tahoma"/>
            <family val="2"/>
          </rPr>
          <t>Se diligencia el rezago reportado al corte de diciembre de la vigencia anterior</t>
        </r>
      </text>
    </comment>
    <comment ref="A33" authorId="2" shapeId="0" xr:uid="{1B6B692A-3DD0-433C-8B30-19B6BEF601EC}">
      <text>
        <r>
          <rPr>
            <sz val="9"/>
            <color indexed="81"/>
            <rFont val="Tahoma"/>
            <family val="2"/>
          </rPr>
          <t>En este campo se diligencia el nombre de la actividad del proyecto de inversión</t>
        </r>
      </text>
    </comment>
    <comment ref="B33" authorId="2" shapeId="0" xr:uid="{3E07C037-8643-4098-87C4-45CB68C69798}">
      <text>
        <r>
          <rPr>
            <sz val="9"/>
            <color indexed="81"/>
            <rFont val="Tahoma"/>
            <family val="2"/>
          </rPr>
          <t xml:space="preserve">Valor porcentual asignado a la actividad dentro del plan de acción. Es necesario tener en cuenta que la sumatoria de las ponderaciones de las actividades de un plan de acción debe ser igual al 100%. </t>
        </r>
      </text>
    </comment>
    <comment ref="D33" authorId="2" shapeId="0" xr:uid="{42141726-7D65-43D5-88DD-7A9167CD201E}">
      <text>
        <r>
          <rPr>
            <sz val="9"/>
            <color indexed="81"/>
            <rFont val="Tahoma"/>
            <family val="2"/>
          </rPr>
          <t>Se diligencia la programación mensual de la actividad proyecto de inversión</t>
        </r>
      </text>
    </comment>
    <comment ref="A39" authorId="2" shapeId="0" xr:uid="{504830CD-E390-4C46-AD25-F802F33D1C3A}">
      <text>
        <r>
          <rPr>
            <sz val="9"/>
            <color indexed="81"/>
            <rFont val="Tahoma"/>
            <family val="2"/>
          </rPr>
          <t>En este campo se diligencia el nombre de la tarea definida para la gestión de cumplimiento de la actividad del proyecto de inversión</t>
        </r>
      </text>
    </comment>
    <comment ref="B39" authorId="2" shapeId="0" xr:uid="{729BE474-1BCB-489E-8DA8-B82B4092DD03}">
      <text>
        <r>
          <rPr>
            <sz val="9"/>
            <color indexed="81"/>
            <rFont val="Tahoma"/>
            <family val="2"/>
          </rPr>
          <t>Valor porcentual asignado a la tarea dentro de la actividad, conocida también como ponderación vertical. Es necesario tener en cuenta que la sumatoria de las ponderaciones de las tareas debe ser igual a la ponderación total definida para la meta, por lo cual la sumatoria de todas las actividades definidas en el plan de acción debe ser igual al 100%.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Microsoft Office User</author>
    <author>Daniel Avendaño</author>
    <author>Rocío López</author>
    <author>tc={52512995-20B8-431B-8B61-457F61350873}</author>
  </authors>
  <commentList>
    <comment ref="AR5" authorId="0" shapeId="0" xr:uid="{00000000-0006-0000-0100-000001000000}">
      <text>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S5" authorId="1" shapeId="0" xr:uid="{00000000-0006-0000-0100-000002000000}">
      <text>
        <r>
          <rPr>
            <sz val="10"/>
            <color indexed="81"/>
            <rFont val="Tahoma"/>
            <family val="2"/>
          </rPr>
          <t>En este campo se diligencia el link o la ruta donde se puede consultar las evidencias que soportan la ejecución reportada</t>
        </r>
      </text>
    </comment>
    <comment ref="AT5" authorId="0" shapeId="0" xr:uid="{00000000-0006-0000-0100-000003000000}">
      <text>
        <r>
          <rPr>
            <sz val="10"/>
            <color indexed="8"/>
            <rFont val="Tahoma"/>
            <family val="2"/>
          </rPr>
          <t xml:space="preserve">Relacionar la descripción cualitativa del cumplimiento en coherencia con el avance del indicador.
</t>
        </r>
        <r>
          <rPr>
            <sz val="10"/>
            <color indexed="8"/>
            <rFont val="Tahoma"/>
            <family val="2"/>
          </rPr>
          <t>De presentarse el mismo reporte (meta 1..n) indicarlo. ejemplo: avance reportado en proyecto 7738, actividad 1.</t>
        </r>
      </text>
    </comment>
    <comment ref="AU5" authorId="0" shapeId="0" xr:uid="{00000000-0006-0000-0100-000004000000}">
      <text>
        <r>
          <rPr>
            <sz val="10"/>
            <color indexed="8"/>
            <rFont val="Tahoma"/>
            <family val="2"/>
          </rPr>
          <t>Relacionar el detalle del retraso, en coherencia con la programación de cada periodo. De presentarse esta situación es obligatorio diligenciar este campo.</t>
        </r>
      </text>
    </comment>
    <comment ref="AV5" authorId="0" shapeId="0" xr:uid="{00000000-0006-0000-0100-000005000000}">
      <text>
        <r>
          <rPr>
            <sz val="10"/>
            <color indexed="8"/>
            <rFont val="Tahoma"/>
            <family val="2"/>
          </rPr>
          <t xml:space="preserve">Relacionar la descripción de las alternativas de solución </t>
        </r>
      </text>
    </comment>
    <comment ref="A9" authorId="2" shapeId="0" xr:uid="{A690E77E-6303-44D2-BF46-F6F931C9C036}">
      <text>
        <r>
          <rPr>
            <sz val="10"/>
            <color indexed="81"/>
            <rFont val="Tahoma"/>
            <family val="2"/>
          </rPr>
          <t>Relacionar el producto PMR asociado</t>
        </r>
      </text>
    </comment>
    <comment ref="A10" authorId="2" shapeId="0" xr:uid="{DE10E8BE-208D-4D4C-83C9-3B9AEFB46C5E}">
      <text>
        <r>
          <rPr>
            <sz val="10"/>
            <color indexed="81"/>
            <rFont val="Tahoma"/>
            <family val="2"/>
          </rPr>
          <t>Relacionar el objetivo estratégico asociado</t>
        </r>
      </text>
    </comment>
    <comment ref="A11" authorId="0" shapeId="0" xr:uid="{00000000-0006-0000-0100-000006000000}">
      <text>
        <r>
          <rPr>
            <sz val="10"/>
            <color indexed="8"/>
            <rFont val="Tahoma"/>
            <family val="2"/>
          </rPr>
          <t xml:space="preserve">Seleccionar el nivel del indicador a reportar y relacionar el código asignado del indicador a medir según: SEGPLAN, PMR, número de tarea, etc.
</t>
        </r>
      </text>
    </comment>
    <comment ref="D11" authorId="0" shapeId="0" xr:uid="{00000000-0006-0000-0100-000007000000}">
      <text>
        <r>
          <rPr>
            <sz val="10"/>
            <color indexed="8"/>
            <rFont val="Tahoma"/>
            <family val="2"/>
          </rPr>
          <t>Corresponde a la meta PDD o actividad del  proyecto articulada con el indicador de tarea a medir.
Así mismo, se podrá establecer la meta para los indicadores POA.</t>
        </r>
      </text>
    </comment>
    <comment ref="E11" authorId="0" shapeId="0" xr:uid="{00000000-0006-0000-0100-000008000000}">
      <text>
        <r>
          <rPr>
            <sz val="10"/>
            <color indexed="8"/>
            <rFont val="Tahoma"/>
            <family val="2"/>
          </rPr>
          <t xml:space="preserve">Detallar la expresión cualitativa del indicador.
</t>
        </r>
        <r>
          <rPr>
            <sz val="10"/>
            <color indexed="8"/>
            <rFont val="Tahoma"/>
            <family val="2"/>
          </rPr>
          <t>Objeto + condición deseada del objeto (verbo conjugado) + elementos adicionales de contexto descriptivo</t>
        </r>
      </text>
    </comment>
    <comment ref="F11" authorId="2" shapeId="0" xr:uid="{74EB28E2-4F7D-442C-9A94-219E77A54258}">
      <text>
        <r>
          <rPr>
            <sz val="10"/>
            <color indexed="81"/>
            <rFont val="Tahoma"/>
            <family val="2"/>
          </rPr>
          <t>Define la representación matemática del cálculo del indicador.</t>
        </r>
      </text>
    </comment>
    <comment ref="G11" authorId="0" shapeId="0" xr:uid="{00000000-0006-0000-0100-000009000000}">
      <text>
        <r>
          <rPr>
            <sz val="10"/>
            <color indexed="8"/>
            <rFont val="Tahoma"/>
            <family val="2"/>
          </rPr>
          <t xml:space="preserve">En coherencia con los mediciones establecidas por la SDH, Corresponde a:
</t>
        </r>
        <r>
          <rPr>
            <sz val="10"/>
            <color indexed="8"/>
            <rFont val="Tahoma"/>
            <family val="2"/>
          </rPr>
          <t xml:space="preserve">Suma 
</t>
        </r>
        <r>
          <rPr>
            <sz val="10"/>
            <color indexed="8"/>
            <rFont val="Tahoma"/>
            <family val="2"/>
          </rPr>
          <t xml:space="preserve">Creciente
</t>
        </r>
        <r>
          <rPr>
            <sz val="10"/>
            <color indexed="8"/>
            <rFont val="Tahoma"/>
            <family val="2"/>
          </rPr>
          <t xml:space="preserve">Decreciente
</t>
        </r>
        <r>
          <rPr>
            <sz val="10"/>
            <color indexed="8"/>
            <rFont val="Tahoma"/>
            <family val="2"/>
          </rPr>
          <t>Constante</t>
        </r>
      </text>
    </comment>
    <comment ref="H11" authorId="2" shapeId="0" xr:uid="{70B8F934-7A39-437F-A15F-9F543440E210}">
      <text>
        <r>
          <rPr>
            <sz val="10"/>
            <color indexed="81"/>
            <rFont val="Tahoma"/>
            <family val="2"/>
          </rPr>
          <t>Valor de la meta programada de acuerdo con el indicador formulado y el parámetro de referencia para determinar la magnitud</t>
        </r>
      </text>
    </comment>
    <comment ref="I11" authorId="2" shapeId="0" xr:uid="{432DBF48-E39D-4BDB-9679-D9E5E2ACD65C}">
      <text>
        <r>
          <rPr>
            <sz val="10"/>
            <color indexed="81"/>
            <rFont val="Tahoma"/>
            <family val="2"/>
          </rPr>
          <t xml:space="preserve">Parámetro de referencia para determinar la magnitud y el tipo de unidad del indicador.  </t>
        </r>
      </text>
    </comment>
    <comment ref="J11" authorId="0" shapeId="0" xr:uid="{00000000-0006-0000-0100-00000A000000}">
      <text>
        <r>
          <rPr>
            <sz val="10"/>
            <color indexed="8"/>
            <rFont val="Tahoma"/>
            <family val="2"/>
          </rPr>
          <t>Describe los pasos o el proceso para calcular el indicador</t>
        </r>
      </text>
    </comment>
    <comment ref="K11" authorId="2" shapeId="0" xr:uid="{752CE2A7-7FC2-4A90-8604-18E755B674D2}">
      <text>
        <r>
          <rPr>
            <sz val="10"/>
            <color indexed="81"/>
            <rFont val="Tahoma"/>
            <family val="2"/>
          </rPr>
          <t xml:space="preserve">Dependencia responsable de la medición y reporte del indicador. </t>
        </r>
      </text>
    </comment>
    <comment ref="L11" authorId="2" shapeId="0" xr:uid="{AFED9E2A-799F-4633-A8A2-D5580324066C}">
      <text>
        <r>
          <rPr>
            <sz val="10"/>
            <color indexed="81"/>
            <rFont val="Tahoma"/>
            <family val="2"/>
          </rPr>
          <t>Para los indicadores POA, únicamente diligenciar la vigencia a formular.</t>
        </r>
        <r>
          <rPr>
            <sz val="9"/>
            <color indexed="81"/>
            <rFont val="Tahoma"/>
            <family val="2"/>
          </rPr>
          <t xml:space="preserve">
</t>
        </r>
      </text>
    </comment>
    <comment ref="P11" authorId="0" shapeId="0" xr:uid="{00000000-0006-0000-0100-00000B000000}">
      <text>
        <r>
          <rPr>
            <sz val="10"/>
            <color indexed="8"/>
            <rFont val="Tahoma"/>
            <family val="2"/>
          </rPr>
          <t xml:space="preserve">Se debe establecer la periodicidad de la medición del indicador y del reporte del seguimiento </t>
        </r>
      </text>
    </comment>
    <comment ref="Q11" authorId="2" shapeId="0" xr:uid="{988DC3A9-9715-48EF-9454-0DF17CAD22D4}">
      <text>
        <r>
          <rPr>
            <sz val="10"/>
            <color indexed="81"/>
            <rFont val="Tahoma"/>
            <family val="2"/>
          </rPr>
          <t>Se debe especificar cuáles serán los soportes que validan los resultados del indicador, así como la fuente o sistema de información del cual provienen los datos.</t>
        </r>
      </text>
    </comment>
    <comment ref="AQ13" authorId="3" shapeId="0" xr:uid="{52512995-20B8-431B-8B61-457F6135087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[Tasks]
Hay una tarea anclada a este comentario que no se puede ver en el cliente.
Comentario:
    @Miguel Giovanny Gómez López  por favor podrías ayudarme a diligenciar de manera urgente este indicador, con la descripción cualitativa del avance, evidencia del avance del periodo. la descripción cualitativa del avance acumulado, si hay retrasos y soluciones para ello si no, se indica no aplica. </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Rocío López</author>
    <author>LEGION</author>
  </authors>
  <commentList>
    <comment ref="A5" authorId="0" shapeId="0" xr:uid="{BAB7E8BE-02BB-48A1-BEF5-57D68E9D6B8A}">
      <text>
        <r>
          <rPr>
            <sz val="10"/>
            <color indexed="81"/>
            <rFont val="Tahoma"/>
            <family val="2"/>
          </rPr>
          <t>En esta sección se diligencia la programación de la territorialización</t>
        </r>
      </text>
    </comment>
    <comment ref="AG5" authorId="0" shapeId="0" xr:uid="{F368CECA-2473-4595-8074-3B5E621C5368}">
      <text>
        <r>
          <rPr>
            <sz val="10"/>
            <color indexed="81"/>
            <rFont val="Tahoma"/>
            <family val="2"/>
          </rPr>
          <t>En esta sección se diligencia el avance mensual a la territorialización programada</t>
        </r>
      </text>
    </comment>
    <comment ref="A7" authorId="0" shapeId="0" xr:uid="{FA5019E5-0BBC-4460-8DDB-13564DD09B86}">
      <text>
        <r>
          <rPr>
            <sz val="9"/>
            <color indexed="81"/>
            <rFont val="Tahoma"/>
            <family val="2"/>
          </rPr>
          <t>Se diligencia el nombre del indicador o actividad a territorializar</t>
        </r>
      </text>
    </comment>
    <comment ref="B10" authorId="1" shapeId="0" xr:uid="{3312EAE9-DC4A-406C-888B-A5359828D536}">
      <text>
        <r>
          <rPr>
            <sz val="9"/>
            <color indexed="81"/>
            <rFont val="Tahoma"/>
            <family val="2"/>
          </rPr>
          <t xml:space="preserve">En estos campos se debe relacionar la magnitud programada de manera mensual, para cada localidad.
</t>
        </r>
      </text>
    </comment>
    <comment ref="E10" authorId="1" shapeId="0" xr:uid="{3444D44E-9CBB-4081-8862-EEBB21ECE4B2}">
      <text>
        <r>
          <rPr>
            <sz val="9"/>
            <color indexed="81"/>
            <rFont val="Tahoma"/>
            <family val="2"/>
          </rPr>
          <t xml:space="preserve">En estos campo se debe relacionar el presupuesto programado de manera trimestral, para cada localidad, por temas de reporte en el sistema SEGPLAN.
</t>
        </r>
      </text>
    </comment>
    <comment ref="AH10" authorId="1" shapeId="0" xr:uid="{A7E3ADE6-37A1-4252-B0FD-11C173B55961}">
      <text>
        <r>
          <rPr>
            <sz val="9"/>
            <color indexed="81"/>
            <rFont val="Tahoma"/>
            <family val="2"/>
          </rPr>
          <t>En este campo se debe relacionar la magnitud  ejecutada de manera mensual, para cada localidad.</t>
        </r>
      </text>
    </comment>
    <comment ref="AK10" authorId="1" shapeId="0" xr:uid="{531B25E6-46A7-4AB9-81B5-E8C12BED7268}">
      <text>
        <r>
          <rPr>
            <sz val="9"/>
            <color indexed="81"/>
            <rFont val="Tahoma"/>
            <family val="2"/>
          </rPr>
          <t>En este campo se debe relacionar el presupuesto  ejecutado de manera trimestral, para cada localidad, por temas de reporte en el sistema SEGPLAN.</t>
        </r>
        <r>
          <rPr>
            <b/>
            <sz val="9"/>
            <color indexed="81"/>
            <rFont val="Tahoma"/>
            <family val="2"/>
          </rPr>
          <t xml:space="preserve">
</t>
        </r>
      </text>
    </comment>
    <comment ref="A35" authorId="0" shapeId="0" xr:uid="{AAD4C76F-565C-4BFB-A569-61F7ABC0A54B}">
      <text>
        <r>
          <rPr>
            <sz val="9"/>
            <color indexed="81"/>
            <rFont val="Tahoma"/>
            <family val="2"/>
          </rPr>
          <t>Se diligencia el nombre del indicador o actividad a territorializar</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Daniel Avendaño</author>
  </authors>
  <commentList>
    <comment ref="A7" authorId="0" shapeId="0" xr:uid="{00000000-0006-0000-0300-000001000000}">
      <text>
        <r>
          <rPr>
            <sz val="9"/>
            <color indexed="81"/>
            <rFont val="Tahoma"/>
            <family val="2"/>
          </rPr>
          <t>Fecha en la que el cambio solicitado al plan de acción es aprobado</t>
        </r>
      </text>
    </comment>
    <comment ref="B7" authorId="0" shapeId="0" xr:uid="{00000000-0006-0000-0300-000002000000}">
      <text>
        <r>
          <rPr>
            <sz val="9"/>
            <color indexed="81"/>
            <rFont val="Tahoma"/>
            <family val="2"/>
          </rPr>
          <t>Descripción de los cambios realizados en la actialización que corresponda</t>
        </r>
      </text>
    </comment>
    <comment ref="C7" authorId="0" shapeId="0" xr:uid="{00000000-0006-0000-0300-000003000000}">
      <text>
        <r>
          <rPr>
            <sz val="9"/>
            <color indexed="81"/>
            <rFont val="Tahoma"/>
            <family val="2"/>
          </rPr>
          <t>Justificación del motivo que genera el cambio en el plan de acción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<sst xmlns="http://schemas.openxmlformats.org/spreadsheetml/2006/main" count="2698" uniqueCount="783">
  <si>
    <t>FORMULACIÓN Y SEGUIMIENTO PLAN DE ACCIÓN</t>
  </si>
  <si>
    <t>PESTAÑA - PA inversión</t>
  </si>
  <si>
    <t>ITEM</t>
  </si>
  <si>
    <t xml:space="preserve">DESCRIPCIÓN </t>
  </si>
  <si>
    <t>PERIODO REPORTADO</t>
  </si>
  <si>
    <t>En este campo se diligencia el mes al cual corresponde el reporte enviado.</t>
  </si>
  <si>
    <t>FECHA DE REPORTE</t>
  </si>
  <si>
    <t>En este campo se debe diligenciar la fecha en que es radicado ante la OAP el intrumento.</t>
  </si>
  <si>
    <t>TIPO DE REPORTE</t>
  </si>
  <si>
    <r>
      <rPr>
        <sz val="11"/>
        <color indexed="8"/>
        <rFont val="Arial"/>
        <family val="2"/>
      </rPr>
      <t>En este campo se selecciona según aplique.</t>
    </r>
    <r>
      <rPr>
        <b/>
        <sz val="11"/>
        <color indexed="8"/>
        <rFont val="Arial"/>
        <family val="2"/>
      </rPr>
      <t xml:space="preserve">
Programación: </t>
    </r>
    <r>
      <rPr>
        <sz val="11"/>
        <color indexed="8"/>
        <rFont val="Arial"/>
        <family val="2"/>
      </rPr>
      <t xml:space="preserve">Corresponde al proceso de formulación del plan de acción, el cual se realiza una vez por vigencia. </t>
    </r>
    <r>
      <rPr>
        <b/>
        <sz val="11"/>
        <color indexed="8"/>
        <rFont val="Arial"/>
        <family val="2"/>
      </rPr>
      <t xml:space="preserve">
Actualización: </t>
    </r>
    <r>
      <rPr>
        <sz val="11"/>
        <color indexed="8"/>
        <rFont val="Arial"/>
        <family val="2"/>
      </rPr>
      <t xml:space="preserve">Corresponde al proceso mediante el cual la gerencia del proyecto modifica o ajusta la información contenida en la formulación. 
</t>
    </r>
    <r>
      <rPr>
        <b/>
        <sz val="11"/>
        <color indexed="8"/>
        <rFont val="Arial"/>
        <family val="2"/>
      </rPr>
      <t xml:space="preserve">Seguimiento: </t>
    </r>
    <r>
      <rPr>
        <sz val="11"/>
        <color indexed="8"/>
        <rFont val="Arial"/>
        <family val="2"/>
      </rPr>
      <t xml:space="preserve">Corresponde al proceso de reporte de avance de las metas y actividades programadas. </t>
    </r>
  </si>
  <si>
    <t>NOMBRE DEL PROYECTO</t>
  </si>
  <si>
    <t>En este campo se diligencia el nombre del proyecto asignado y cargado en la ficha EBI de MGA.</t>
  </si>
  <si>
    <t>OBJETIVO ESTRATÉGICO</t>
  </si>
  <si>
    <t xml:space="preserve">En estos campos se debe diligenciar el detalle de la estructura Plan de Desarrollo vigente, bajo la cual se encuentra articulado el proyecto de inversión </t>
  </si>
  <si>
    <t>PROGRAMA</t>
  </si>
  <si>
    <t>META PDD</t>
  </si>
  <si>
    <t>En este campo se diligencia la meta Plan de Desarrollo vigente, bajo la cual se encuentra articulado el proyecto de inversión</t>
  </si>
  <si>
    <t>ACTIVIDAD MGA</t>
  </si>
  <si>
    <t>En este campo se diligencia el nombre de la actividad del proyecto de inversiónn</t>
  </si>
  <si>
    <t>RESERVA CONSTITUIDA</t>
  </si>
  <si>
    <t>Valor de la reserva constituida al inicio de la vigencia.</t>
  </si>
  <si>
    <t>LIBERACIONES</t>
  </si>
  <si>
    <t>Liberaciones de reservas realizadas en cada mes de la vigencia.</t>
  </si>
  <si>
    <t>RESERVA DEFINITIVA</t>
  </si>
  <si>
    <t>Reserva definitiva despues de liberaciones. Valor btenido despues de restar las liberaciones a los giros programados. (Formulado)</t>
  </si>
  <si>
    <t>GIROS</t>
  </si>
  <si>
    <t>Se diligencia la ejecución efectiva de los giros de la reserva para cada mes.</t>
  </si>
  <si>
    <t>PROGRAMACION DE COMPROMISOS</t>
  </si>
  <si>
    <t>Se diligencia la programación de compromisos correspondiente a cada actividad. Para este campo, los insumos son la programación del proyecto coincidente con la programación PAABS.</t>
  </si>
  <si>
    <t>COMPROMISOS</t>
  </si>
  <si>
    <t>Se diligencian los compromisos efectivamente ejecutados para cada atividad. Este dato debe coincidir con las ejecuciones de CRP en BOGDATA.</t>
  </si>
  <si>
    <t>PROGRAMACION DE GIROS</t>
  </si>
  <si>
    <t>Se diligencia la programación de giros correspondiente a cada actividad. Para este campo, los insumos son la programación del proyecto coincidente con el PAC.</t>
  </si>
  <si>
    <t>Se diligencia los giros efectivamente ejecutdos para cada actividad.  Este dato debe coincidir con las ejecuciones de CRP en BOGDATA.</t>
  </si>
  <si>
    <t>DESCRIPCIÓN DE LA ACTIVIDAD (Reserva)</t>
  </si>
  <si>
    <t>En este campo se diligencia el nombre de la actividad del proyecto que se reportó con rezago en su cumplimiento físico en la vigencia anterior.</t>
  </si>
  <si>
    <t>PROG.</t>
  </si>
  <si>
    <t>Se diligencia el rezago reportado al corte de diciembre de la vigencia anterior.</t>
  </si>
  <si>
    <t>AVANCE MENSUAL (Reservas)</t>
  </si>
  <si>
    <t>Se diligencia la programación mensaul para el cumplimiento del rezago de la actividad.</t>
  </si>
  <si>
    <t>DESCRIPCIÓN CUALITATIVA DEL AVANCE POR ACTIVIDAD (Reservas)</t>
  </si>
  <si>
    <t>Información correspondiente a reservas presupuestales.</t>
  </si>
  <si>
    <t>DESCRIPCIÓN CUALITATIVA  DE LA RESERVA PRESUPUESTAL (Reservas)</t>
  </si>
  <si>
    <t>Especificar las anulaciones, liberaciones, entre otros de la reserva presupuestal</t>
  </si>
  <si>
    <t>DESCRIPCIÓN DE LA ACTIVIDAD</t>
  </si>
  <si>
    <t>En este campo se diligencia el nombre de la actividad del proyecto de inversión. (Igual Actividad MGA)</t>
  </si>
  <si>
    <t>PONDERACIÓN ACTIVIDAD</t>
  </si>
  <si>
    <t>Valor porcentual asignado a la actividad dentro del plan de acción. Es necesario tener en cuenta que la sumatoria de las ponderaciones de las actividades de un plan de acción debe ser igual al 100%</t>
  </si>
  <si>
    <t>Programación</t>
  </si>
  <si>
    <t>Corresponde a las magnitudes que se mediran para cuantificar el bien o servicio, lo que se espera alcanzar en un periodo de tiempo a través de la ejecución o desempeño de las actividades.</t>
  </si>
  <si>
    <t>Ejecución</t>
  </si>
  <si>
    <t>Se diligencia la magnitud alcanzada durante el periodo reportado, a fin de cumplir la programación relizada para la actividad</t>
  </si>
  <si>
    <t>Avances y Logros Mensual (2.000 caracteres)</t>
  </si>
  <si>
    <t xml:space="preserve"> En este campo se deberá diligenciar lo relacionando a los logros y avances del mes en coherencia con lo registrado en el avance cuantitativo de la actividad (Columnas D a la O). Se recomienda dejar la información que se considere estratégica y de mayor relevancia.</t>
  </si>
  <si>
    <t>Avances y Logros Acumulado 
(2.000 caracteres)</t>
  </si>
  <si>
    <t>En este campo se deberá diligenciar lo relacionando a los logros y avances acumulados a la fecha del reporte en coherencia con lo registrado en el avance cuantitativo de la actividad (Columnas P).  Se recomienda dejar la información que se considere estratégica y de mayor relevancia. IMPORTANTE: Se debe diligenciar la descripción cualitativa de manera acumulada de manera ejecutiva, sin replicar toda la información mes a mes de los seguimientos.</t>
  </si>
  <si>
    <t>Retrasos y Alternativas de solución (1.000 caracteres)</t>
  </si>
  <si>
    <t>En este campo se deberá diligenciar lo relacionando a las dificultades y alternativas de solución presentadas en el periodo en el que se dan. Cuando la ejecución del proyecto se encuentra acorde a lo programado, no se diligencia este campo o se incluye que el proyecto no presenta retrasos. IMPORTANTE: Se debe diligenciar la descripción cualitativa de manera acumulada de manera ejecutiva, sin replicar toda la información mes a mes de los seguimientos.</t>
  </si>
  <si>
    <t>Beneficios</t>
  </si>
  <si>
    <t>En este campo se deberá diligenciar lo relacionando con los beneficio, de forma acumulada e integrada. IMPORTANTE: Se debe diligenciar la descripción cualitativa de manera acumulada de manera ejecutiva, sin replicar toda la información mes a mes de los seguimientos.</t>
  </si>
  <si>
    <t>DESCRIPCIÓN DE LA TAREA</t>
  </si>
  <si>
    <t>En este campo se diligencia el nombre de la tarea definida para la gestión de cumplimiento de la actividad del proyecto de inversión. Las tareas deben ser coherentes con las actividades a las cuales están asociadas y son aquellas que las dependencias deben llevar a cabo para producir los resultados definidos en las mismas.</t>
  </si>
  <si>
    <t>Programación (Tareas)</t>
  </si>
  <si>
    <t>Corresponde a las magnitudes que se mediran para cuantificar la tarea, lo que se espera alcanzar en un periodo de tiempo a través de la ejecución o desempeño de las actividades.</t>
  </si>
  <si>
    <t>Ejecución (Tareas)</t>
  </si>
  <si>
    <t>Se diligencia la magnitud alcanzada durante el periodo reportado, a fin de cumplir la programación relizada para la tarea.</t>
  </si>
  <si>
    <t>Logros y beneficios y Retrasos y alternativas de solución (2.000 caracteres) (Tareas)</t>
  </si>
  <si>
    <t>Este campo debe contener:
- El avance de la gestión mensual señalando las alertas que puedan afectar el cumplimiento de la tarea o producto, cuando aplique. 
- El avance acumulado y los productos obtenidos, indicando si se presentan retrasos y señalando las alternativas de solución que se implementarán.</t>
  </si>
  <si>
    <t>Evidencias de ejecución</t>
  </si>
  <si>
    <t>En este campo se pone el link o la ruta donde se puede consultar las evidencias que soportan la ejecución de las tareas.</t>
  </si>
  <si>
    <t>PESTAÑA - Indicadores PA</t>
  </si>
  <si>
    <t>PRODUCTO INSTITUCIONAL (PMR)</t>
  </si>
  <si>
    <t>Relacionar el producto PMR asociado</t>
  </si>
  <si>
    <t>OBJETIVO ESTRATEGICO</t>
  </si>
  <si>
    <t>NIVEL</t>
  </si>
  <si>
    <t>Seleccionar el nivel del indicador a reportar y relacionar el código asignado del indicador a medir segun: SEGPLAN, PMR, número de tarea, etc.</t>
  </si>
  <si>
    <t xml:space="preserve">META </t>
  </si>
  <si>
    <t>Corresponde a la meta PDD o actividad del  proyecto articulada con el indicador de tarea a medir.
Así mismo, se podrá establecer la meta para los indicadores POA.</t>
  </si>
  <si>
    <t>DESCRIPCIÓN DEL INDICADOR</t>
  </si>
  <si>
    <t>Detallar la expresión cualitativa del indicador.
Objeto + condición deseada del objeto (verbo conjugado) + elementos adicionales de contexto descriptivo</t>
  </si>
  <si>
    <t>FORMULA DEL INDICADOR</t>
  </si>
  <si>
    <t>Define la representación matemática del cálculo del indicador.</t>
  </si>
  <si>
    <t>TIPO DE ANUALIZACIÓN  (Según aplique)</t>
  </si>
  <si>
    <t>En coherencia con los mediciones establecidas por la SDH, Corresponde a:
Suma 
Creciente
Decreciente
Constante</t>
  </si>
  <si>
    <t xml:space="preserve">MAGNITUD CUATRIENIO
(Únicamente para indicadores PDD y PMR. 
Se debe diligenciar "A demanda" cuando aplique en los indicadores de tareas) </t>
  </si>
  <si>
    <t>Valor de la meta programada de acuerdo con el indicador formulado y el parámetro de referencia para determinar la magnitud</t>
  </si>
  <si>
    <t>UNIDAD DE MEDIDA</t>
  </si>
  <si>
    <t>Parámetro de referencia para determinar la magnitud y el tipo de unidad del indicador.  Ejemplo: Número de personas, Porcentaje de atenciones, etc.</t>
  </si>
  <si>
    <t xml:space="preserve">DESCRIPCIÓN DE LA MEDICIÓN </t>
  </si>
  <si>
    <t>Describe los pasos o el proceso para calcular el indicador. Esta descripción menciona los siguientes temas: • ¿Cómo es el procesamiento de los datos y cuál es la fuente de los mismos? • ¿En qué consiste el cálculo del indicador (si es una transformación de variables, cómo se debe realizar)? • De ser posible, una descripción de las variables utilizadas en el cálculo. or ejemplo: si el indicador es “Aulas con equipamientos para clases de TIC”, se debe definir qué se entiende por “equipamientos para clases de TIC”.</t>
  </si>
  <si>
    <t>RESPONSABLE DE LA MEDICIÓN</t>
  </si>
  <si>
    <t xml:space="preserve">Dependencia responsable de la medición y reporte del indicador. </t>
  </si>
  <si>
    <t>PROGRAMACIÓN ANUAL</t>
  </si>
  <si>
    <t>Se diligencia según la magnitud del cuatrenio, la prgramación esperada por vigencia para cumplir con el total esperado.</t>
  </si>
  <si>
    <t>PERIODICIDAD</t>
  </si>
  <si>
    <t>Define la temporalidad con la cual se reporta la información (mensual, bimestral, trimestral, semestral o anual).</t>
  </si>
  <si>
    <t>MEDIOS DE VERIFICACIÓN Y FUENTES DE INFORMACIÓN</t>
  </si>
  <si>
    <t>Se refiere a los soportes que validan los resultados del indicador, así como la fuente o sistema de información del cual provienen los datos</t>
  </si>
  <si>
    <t>PROGRAMACIÓN</t>
  </si>
  <si>
    <t>En este campo se debe relacionar la programación horizontal del desarrollo de las acciones de acuerdo a la medicición del indicador</t>
  </si>
  <si>
    <t>AVANCE</t>
  </si>
  <si>
    <t>En este campo se debe reportar el avance del desarrollo de acciones de acuerdo a la medición del indicador.
El avance cuantitativo debe tener relación con la meta programada</t>
  </si>
  <si>
    <t>TOTAL</t>
  </si>
  <si>
    <t>Este campo contiene dos columnas:
- MAGNITUD EJECUTADA: Correspondiente al avance acumulado de la meta a la fecha del reporte.
- % AVANCE: Formula que calcula el avance de la magnitud ejecutada a la fecha del reporte sobre la meta de la vigencia.</t>
  </si>
  <si>
    <t>DESCRIPCIÓN CUALITATIVA DEL AVANCE DEL PERIODO</t>
  </si>
  <si>
    <t>Los avances cualitativos no deben incluir siglas, deben ser claros, concisos y redactados en lenguaje claro, que permita la lectura de cualquier persona o grupo de valor.
Relacionar la descripción cualitativa del cumplimiento en coherencia con el avance del indicador.
De presentarse el mismo reporte (meta 1..n) indicarlo. ejemplo: avance reportado en proyecto XXX, actividad 1.</t>
  </si>
  <si>
    <t>EVIDENCIA DEL AVANCE DEL PERIODO</t>
  </si>
  <si>
    <t>En este campo se diligencia el link o la ruta donde se puede consultar las evidencias que soportan la ejecución reportada.</t>
  </si>
  <si>
    <t>DESCRIPCIÓN CUALITATIVA DEL AVANCE ACUMULADO</t>
  </si>
  <si>
    <t>Relacionar la descripción cualitativa del cumplimiento en coherencia con el avance del indicador.
De presentarse el mismo reporte (meta 1..n) indicarlo. ejemplo: avance reportado en proyecto XXX, actividad 1.
El avance cualitativo debe tener relación con el alcance de la actividad y las evidencias que soportan el cumplimiento
IMPORTANTE: Se debe diligenciar la descripción cualitativa de manera acumulada de manera ejecutiva, sin replicar toda la información mes a mes de los seguimientos.</t>
  </si>
  <si>
    <t>RETRASOS Y FACTORES LIMITANTES PARA EL CUMPLIMIENTO</t>
  </si>
  <si>
    <t>Relacionar el detalle del retraso, en coherencia con la programación de cada periodo. De presentarse esta situación es obligatorio diligenciar este campo.</t>
  </si>
  <si>
    <t>SOLUCIONES PROPUESTAS PARA RESOLVER LOS RETRASOS Y 
FACTORES LIMITANTES PARA EL CUMPLIMIENTO</t>
  </si>
  <si>
    <t xml:space="preserve">Relacionar la descripción de las alternativas de solución </t>
  </si>
  <si>
    <t>PESTAÑA No. 3 TERRITORIALIZACIÓN</t>
  </si>
  <si>
    <t>DESCRIPCIÓN</t>
  </si>
  <si>
    <t xml:space="preserve">Este anexo, responde a la necesidad de plasmar la información correspondiente que las acciones (derivadas de metas PDD, metas proyecto de inversión, indicadores PMR, actividades) que se territorializan incluyendo el enfoque diferencial y según grupo etario, así como las reportadas a nivel distrital.
De ser necesario las celdas correspondientes a enfoque diferencial, especificamente población con discapacidad (Sordociega, auditiva,, visual, multiple, mental, física, cognitiva, otro) y población LGBTI (Lesbianas, gays, bisexuales, hererosexuales, No responde...)  se puede establecer mayor desagregue de ser necesario en la misma celda. </t>
  </si>
  <si>
    <t>MAGNITUD</t>
  </si>
  <si>
    <t>En este campo se debe relacionar la magnitud programada y ejecutada de manera mensual, para cada localidad.</t>
  </si>
  <si>
    <t>PRESUPUESTO</t>
  </si>
  <si>
    <t>En este campo se debe relacionar el presupuesto programado y ejecutado de manera trimestral, para cada localidad, por temas de reporte en el sistema SEGPLAN.</t>
  </si>
  <si>
    <t>SECRETARÍA DISTRITAL DE LA MUJER</t>
  </si>
  <si>
    <t>Código: DE-FO-5</t>
  </si>
  <si>
    <t xml:space="preserve">DIRECCIONAMIENTO ESTRATEGICO </t>
  </si>
  <si>
    <t>Versión: 13</t>
  </si>
  <si>
    <t xml:space="preserve">FORMULACIÓN Y SEGUIMIENTO  PLAN DE ACCIÓN </t>
  </si>
  <si>
    <t>Fecha de Emisión: 28/06/2024</t>
  </si>
  <si>
    <t>Página 1 de 4</t>
  </si>
  <si>
    <t>NOV</t>
  </si>
  <si>
    <t>FORMULACION</t>
  </si>
  <si>
    <t>ACTUALIZACION</t>
  </si>
  <si>
    <t>X</t>
  </si>
  <si>
    <t>SEGUIMIENTO</t>
  </si>
  <si>
    <t>8198 - Implementación de la estrategia de transformación cultural de la Secretaría Distrital de la Mujer en Bogotá D.C.</t>
  </si>
  <si>
    <t>2. Bogotá confía en su bien-estar</t>
  </si>
  <si>
    <t>2.12. Bogotá cuida a su gente</t>
  </si>
  <si>
    <t>103. Implementar 1 estrategia de transformación cultural orientada al cambio comportamental, que posibilite la redistribución de los trabajos de cuidado, la prevención de las violencias contra las mujeres y la transformación de imaginarios discriminatorios, que limitan el ejercicio de sus derechos.</t>
  </si>
  <si>
    <t xml:space="preserve">Formular 9 acciones de transformación cultural que promuevan y garanticen el libre ejercicio de los derechos de las mujeres y la equidad de género a través de mecanismos de cambio cultural y comportamental desarrollados con las comunidades. (Producto MGA - Documento de lineamientos Técnicos) </t>
  </si>
  <si>
    <t>EJECUCIÓN PRESUPUESTAL DEL PROYECTO</t>
  </si>
  <si>
    <t>RESERVAS VIGENCIA ANTERIOR (en pesos, sin decimales)</t>
  </si>
  <si>
    <t>PRESUPUESTO ASIGNADO EN LA VIGENCIA ACTUAL (en pesos, sin decimales)</t>
  </si>
  <si>
    <t>ENE</t>
  </si>
  <si>
    <t>FEB</t>
  </si>
  <si>
    <t>MAR</t>
  </si>
  <si>
    <t>ABR</t>
  </si>
  <si>
    <t>MAY</t>
  </si>
  <si>
    <t>JUN</t>
  </si>
  <si>
    <t>JUL</t>
  </si>
  <si>
    <t>AGO</t>
  </si>
  <si>
    <t>SEP</t>
  </si>
  <si>
    <t>OCT</t>
  </si>
  <si>
    <t>DIC</t>
  </si>
  <si>
    <t>AVANCE PERIODO</t>
  </si>
  <si>
    <t>AVANCE TOTAL</t>
  </si>
  <si>
    <t xml:space="preserve">REPORTE ACTIVIDADES VIGENCIA ANTERIOR - Pendientes de cumplir por contratos sin ejecutar a 31.DIC (Reservas Presupuestales) </t>
  </si>
  <si>
    <t>AVANCE MENSUAL</t>
  </si>
  <si>
    <t>DESCRIPCIÓN CUALITATIVA DEL AVANCE POR ACTIVIDAD
(Logros y beneficios, y retrasos y alternativas de solución (2.000 caracteres))</t>
  </si>
  <si>
    <t>DESCRIPCIÓN CUALITATIVA  DE LA RESERVA PRESUPUESTAL</t>
  </si>
  <si>
    <t>EXPLICACIÓN: Información correspondiente a reservas presupuestales.</t>
  </si>
  <si>
    <t>REPORTE ACTIVIDADES VIGENCIA (Ejecución vigencia)</t>
  </si>
  <si>
    <t>AVANCE DE LA ACTIVIDAD</t>
  </si>
  <si>
    <t>DESCRIPCIÓN CUALITATIVA DEL AVANCE POR ACTIVIDAD</t>
  </si>
  <si>
    <t xml:space="preserve">Durante el mes de noviembre se avanzo en las acciones para el seguimiento y evaluación de la estrategia de Transformaciones Culturales con la consolidación del documento evaluativo. A nivel de articulaciones se realizó la revision y seguimiento del contenido del memorando de entendimiento con USAID, entre otras.
</t>
  </si>
  <si>
    <t>Durante los meses de agosto y septiembre, se lograron avances significativos en la Estrategia de Transformación Cultural. En agosto, se completó la matriz inicial para la formulación de documentos técnicos, que incluye marcos de referencia y enfoques para las futuras acciones. También se avanzó en la identificación de barreras culturales, sociales, legales y económicas que obstaculizan la redistribución equitativa del cuidado, documentados en "Laboratorio de soluciones para la redistribución de las labores del cuidado" (Capítulos 1 y 3). La finalización de la Guía No. 2 sobre documentos de balance, en septiembre, mejoró el seguimiento de las acciones.
En este mes, se culminó el diagnóstico sobre violencias y acoso en espacios y transporte público, incorporando datos de frentes de obra y proponiendo un cambio cultural en el documento "Prevención de Acoso Sexual y Otras Formas de Violencia". Además, se inició la planificación de estrategias para 2024 y se firmaron memorandos con DVV International, GE USAID y la Universidad El Bosque, fortaleciendo alianzas estratégicas.
En octubre, se consolidaron los diagnósticos sobre violencias y acoso, integrando datos clave y ajustando las propuestas de cambio cultural. También se continuó con los procesos de planificación para 2024, reflejados en planes de trabajo y cronogramas, asegurando así el avance continuo en la Estrategia de Transformación Cultural.
"Durante el mes de noviembre se avanzo en las acciones para el seguimiento y evaluación de la estrategia de Transformaciones Culturales con la consolidación del documento evaluativo. A nivel de articulaciones se realizó la revision y seguimiento del contenido del memorando de entendimiento con USAID.</t>
  </si>
  <si>
    <t>Los avances logrados en la Estrategia de Transformación Cultural han generado importantes beneficios en el marco de los derechos humanos de las mujeres. La finalización de la Guía No. 2 y el avance en la identificación de barreras culturales para la redistribución equitativa del cuidado fortalecen la capacidad institucional para abordar la desigualdad de género, promoviendo el reconocimiento de los derechos de las mujeres en el ámbito del cuidado. Asimismo, el diagnóstico sobre violencias y acoso en espacios y transporte público impulsa acciones concretas de cambio cultural para proteger a las mujeres en estos entornos, garantizando su derecho a la seguridad y a una vida libre de violencias. Las alianzas estratégicas con DVV International, GE USAID y la Universidad El Bosque consolidan esfuerzos interinstitucionales que refuerzan la protección y promoción de los derechos de las mujeres en Bogotá.</t>
  </si>
  <si>
    <t xml:space="preserve">
Guía 2 seguimiento de acciones desarrolladas. Diagnóstico: violencias y acoso en espacios y transporte público incorporando datos de frentes de obra. Estrategias 2024, reflejadas en planes de trabajo y cronogramas. 3 memorandos de entendimiento: DVV International, GE USAID y Universidad El Bosque.
</t>
  </si>
  <si>
    <t>REPORTE TAREAS VIGENCIA (Ejecución vigencia)</t>
  </si>
  <si>
    <t>PONDERACIÓN VERTICAL (Porcentual)</t>
  </si>
  <si>
    <t>CRITERIOS DE SEGUIMIENTO</t>
  </si>
  <si>
    <t>CRONOGRAMA %</t>
  </si>
  <si>
    <t>DESCRIPCIÓN CUALITATIVA DEL AVANCE POR TAREA</t>
  </si>
  <si>
    <t>MES 1</t>
  </si>
  <si>
    <t>MES 2</t>
  </si>
  <si>
    <t>MES 3</t>
  </si>
  <si>
    <t>MES 4</t>
  </si>
  <si>
    <t>MES 5</t>
  </si>
  <si>
    <t>MES 6</t>
  </si>
  <si>
    <t>MES 7</t>
  </si>
  <si>
    <t>MES 8</t>
  </si>
  <si>
    <t>MES 9</t>
  </si>
  <si>
    <t>MES 10</t>
  </si>
  <si>
    <t>MES 11</t>
  </si>
  <si>
    <t>MES 12</t>
  </si>
  <si>
    <t>ACUMULADO</t>
  </si>
  <si>
    <t xml:space="preserve">Logros y beneficios y Retrasos y alternativas de solución (2.000 caracteres) </t>
  </si>
  <si>
    <t>1. Desarrollar una guía estructurada que sirva como referencia para la creación de documentos técnicos enfocados en la formulación de estrategias de transformación cultural.</t>
  </si>
  <si>
    <t>Se logró consolidar el documento de matriz inicial, que sirve como guía para la la formulación de documentos técnicos de estrategias y acciones de transformación cultural, el cual contiene marcos de referencia, enfoques, introducción, entre otros, para culminar con el desarrollo de esta actividad se encuentra pendiente la guía No 2 relacionada con la elaboración de documentos de balance. 
Para el mes de septiembre, se finaliza y remite al equipo de trabajo de la Estrategia de Transformación Cultural la guía de formulación de documentos técnicos para el desarrollo de acciones. Este logro incluye la creación de la pestaña o Guía No. 2, relacionada con la elaboración de los documentos de balance de las acciones desarrolladas en el marco de la Estrategia de Transformación Cultural. Este avance permite que el equipo cuente con una herramienta técnica clara y organizada para la elaboración de los documentos de seguimiento y evaluación de las acciones, lo que contribuye al fortalecimiento de la planeación estratégica y a la coherencia en el monitoreo de las actividades.</t>
  </si>
  <si>
    <t xml:space="preserve">Agosto 
https://secretariadistritald.sharepoint.com/:f:/s/BogotCaminaSegura/ErEYkwm3ZTJHgHmDcbYV18ABhV2_Xm_hLA5SR1cNmQ7m6g?e=chq82o
Septiembre 
https://secretariadistritald.sharepoint.com/:f:/s/BogotCaminaSegura/EggU7J-fK-FHqJ1haj7YaB0BY_vb3p_P5-kkqsUu-FeKcg?e=RnY26Z
</t>
  </si>
  <si>
    <t xml:space="preserve">2. Adelantar dos diagnósticos para identificar las barreras culturales, sociales, legales y económicas que impiden la redistribución equitativa del cuidado, y sustentan las violencias de género  aplicando los respectivos modelos de cambio cultural y comportamental. </t>
  </si>
  <si>
    <t xml:space="preserve">Se avanza en la primera fase de diagnostico e identificación de factores culturales relacionados con las barreras culturales, sociales, legales y económicas que impiden la redistribución equitativa del cuidado incorporado en el documento técnico de formulación llamado "Laboratorio de soluciones para la redistribución de las labores del cuidado" (Ver capítulos 1 y 3) Así mismo de las violencias y acoso contra las mujeres en espacio y transporte público la cual se encuentra en el documento técnico de formulación desde el capítulo 1 al capítulo 8.
En septiembre se completó el diagnóstico sobre violencias y acoso en espacios y transporte público, incluyendo datos de frentes de obra. El documento "Propuesta Inicial de Acciones de Cambio Cultural" organiza los resultados entre las páginas 2-19 y 50-61, estableciendo una base sólida para futuras acciones.
En octubre se finalizan los respectivos diagnosticos los cuales quedan como referente del 2024 y que tendran una actualización en 2025 acorde al fortalecimiento de las estrategias de prevención de acoso y otras formas de violencia contra las mujeres y laboratorio de soluciones para la redistribución de los trabajos de cuidado. 
Retrasos y alternativas de solución:
El diagnóstico sobre las barreras culturales y sociales de la redistribución del cuidado quedó en 80% debido a la priorización de otros requerimientos. por lo que como alternativa se propone reajustar del 50% al 30% en el mes de septiembre y el 20% restante se completará en octubre con ajustes en la distribución de tiempos en el cronograma interno de trabajo. 
En octubre se finalizan los respectivos diagnosticos los cuales quedan como referente del 2024 y que tendran una actualización en 2025 acorde al fortalecimiento de las estrategias </t>
  </si>
  <si>
    <t>Agosto 
https://secretariadistritald.sharepoint.com/:f:/s/BogotCaminaSegura/EjqAGpGrq4FOjG9Opvdc9yoBUeNBDQZiQUOhsXHdCXtTeQ?e=Sg7VNj
Septiembre.
https://secretariadistritald.sharepoint.com/:f:/s/BogotCaminaSegura/Et1U_3KU5g5EjMMre48xljcBYy1DyhZmbjMw3syUO9tx-w?e=qPIC6t
Octubre 
https://secretariadistritald.sharepoint.com/:f:/s/BogotCaminaSegura/EhitxhGnmFhMiEiZVmibauABB7FQ4ptyDSCOp6H1rAALFA?e=b7X8UI</t>
  </si>
  <si>
    <t>3. Planificar la implementación de las estrategias, incluyendo la coordinación con otras dependencias, entidades, organizaciones locales y comunitarias. Establecer alianzas y definir roles y responsabilidades.</t>
  </si>
  <si>
    <t xml:space="preserve">En octubre se firmo carta de intención con DVVI y Secretaria Distrital de Cultura, Recreación y Deporte. Así mismo iniciaron los procesos de construcción de plan de trabajo en el marco de la alianza con DVVI. 
En noviembre se avanzó en la gestión para la revision y seguimiento del contenido del memorando de entendimiento con USAID aritculando con el árera de Alianzas Estratégicas de Despacho de la SdMujer para el envío de comentarios ajustar por parte de USAID. También se realizo reunión con H&amp;M para exploración de acciones de articulacion futuras en 2025 para la implementacion de acciónes que proueban la redisrtibución de los trabajos del cuidado entre los y las colaboradoras de H&amp;M. </t>
  </si>
  <si>
    <t xml:space="preserve">Noviembre: Actividad 3
</t>
  </si>
  <si>
    <t>4. Desarrollar un informe de balance general que detalle y evalúe las acciones implementadas bajo la estrategia de transformación cultural durante el año 2024.</t>
  </si>
  <si>
    <t>En noviembre se avanzó en la creación del documento informe de balance general el cual contendra el seguimiento y evaluación de las acciones implementadas bajo la estrategia de transformaciones culturales.</t>
  </si>
  <si>
    <t>Noviembre:
https://secretariadistritald.sharepoint.com/:f:/s/BogotCaminaSegura/EhlXoV4ogWJKqEPtDnZTQcUBPoEIXxl1kuoUIRWn-FJKmQ?e=u8lA8L</t>
  </si>
  <si>
    <t>*Incluir tantas filas sean necesarias</t>
  </si>
  <si>
    <t>Implementar 3 acciones de transformación cultural que promuevan la redistribución equitativa de las labores del cuidado en Bogotá. (Producto MGA - Servicio de promoción de la garantía de derechos)</t>
  </si>
  <si>
    <t>Se realiza avance en el diseño de las estrategias de acuerdo a la respectiva programación en las que a partir de la línea base se propone la matriz de consistencia y teoría de cambio, con la estrategia de transformación cultural del laboratorio de soluciones para la redistribución de las labores de cuidado. 
Así mismo, en el marco del acompañamiento a instancias distritales se realizó la mesa coordinadora del CCM del mes de agosto de 2024, con el acompañamiento técnico de la Subsecretaría del Cuidado y Políticas de Igualdad . Se  realizaron  acciones de acompañamiento para la transversalización del enfoque de género en el consejo de Bogotá. 
Septiembre 
Durante el mes de septiembre, se lograron importantes avances en la Estrategia de Transformación Cultural. La propuesta de acciones culturales Caleidoscopio, que busca trabajar con niñas y niños en la prevención de violencias y promoción de la corresponsabilidad en los cuidados, alcanzó un 40% de desarrollo. Se completaron capítulos clave como el diagnóstico, factores culturales y análisis de los modelos COM-B y Ecológico Feminista. Asimismo, se avanzó en la estrategia del laboratorio de soluciones para la redistribución del cuidado, iniciando las jornadas de trabajo para la elaboración del protocolo de acuerdos, fundamental para la implementación de los pilotajes. Aunque la actividad de consolidación de resultados no pudo completarse debido a la falta de insumos, se propuso un ajuste en el cronograma, trasladando la finalización al mes de diciembre, cuando se espera contar con los datos necesarios para la producción de los documentos.
Se realizó acompañamiento técnico al CCMB, mesa coordinadora, mesas de trabajo y Espacio Autonomo. Igualmente se realiza acompañamiento al Concejo de Bogotá.
Octubre:
Avance significativo en la estrategia de transformaciones culturales para la redistribución de los trabajos de cuidados con el desarrollo y avances en el documento del Laboratorio de Soluciones para el Reconocimiento y Redistribución de los trabajos de cuidados no Remunerados, en los siguientes capitulos:  diagnostico, linea base, factores culturales, problemas comportamental y propuesta de cambio cultural y comportamental. Teniendo un 60% de avance en el mismo.
Noviembre: 
Avance significativo en la estrategia de transformaciones culturales para la redistribución de los trabajos de cuidados con el desarrollo y avances en el documento del Laboratorio de Soluciones para el Reconocimiento y Redistribución de los trabajos de cuidados no Remunerados, en los siguientes capitulos:  diagnostico y contexto, analisis a partir del modelo COMB, Identificación de Problemas y Comportamientos Problemáticos y propuestas de cambio comportamental. Así como se diseño el documento para la evaluación y seguimiento de la estrategia de transformaciones culturales.</t>
  </si>
  <si>
    <t>Durante los meses de agosto, septiembre y octubre, se registraron avances significativos en el marco de la Estrategia de Transformación Cultural. En agosto, se trabajó en el diseño de las estrategias programadas, utilizando la línea base para proponer una matriz de consistencia y una teoría de cambio en el laboratorio de soluciones para la redistribución de las labores de cuidado. Además, se llevó a cabo la mesa coordinadora del CCM, con la participación de la Subsecretaría del Cuidado y Políticas de Igualdad, brindando acompañamiento técnico a nivel distrital. En paralelo, se realizaron acciones para transversalizar el enfoque de género en el Consejo de Bogotá, fortaleciendo la implementación de políticas con perspectiva de igualdad.
En septiembre, el diseño de la propuesta Caleidoscopio avanzó un 40%. Esta iniciativa, enfocada en la prevención de violencias y la promoción de la corresponsabilidad en los cuidados con niñas y niños, completó capítulos esenciales como el diagnóstico, análisis de factores culturales y los modelos COM-B y Ecológico Feminista. Además, se dio inicio a las jornadas de trabajo para la elaboración del protocolo de acuerdos dentro de la estrategia del laboratorio de soluciones para la redistribución del cuidado, crucial para los pilotajes con la ciudadanía. Aunque no se pudo consolidar la actividad de resultados debido a la falta de insumos, se ajustó el cronograma para finalizar en diciembre, con los datos necesarios para la producción de los documentos.
En octubre, se avanzo en la formulación del documento de en el documento del Laboratorio de Soluciones para el Reconocimiento y Redistribución de los trabajos de cuidados no Remunerados: en el diagnostico, linea base, factores culturales, problemas comportamental y propuesta de cambio cultural y comportamental. 
Se ha realizado el acompañamiento técnico al  CCM y en el Concejo de Bogotá. Se realizó articulación para el acompañamiento del CCM con la dirección de Enfoque Diferencial.
Noviembre: 
Avance significativo en la estrategia de transformaciones culturales para la redistribución de los trabajos de cuidados con el desarrollo y avances en el documento del Laboratorio de Soluciones para el Reconocimiento y Redistribución de los trabajos de cuidados no Remunerados, en los siguientes capitulos:  diagnostico y contexto, analisis a partir del modelo COMB, Identificación de Problemas y Comportamientos Problemáticos y propuestas de cambio comportamental. Así como se diseño el documento para la evaluación y seguimiento de la estrategia de transformaciones culturales.</t>
  </si>
  <si>
    <t xml:space="preserve">La consolidación de resultados de las acciones iniciadas en septiembre no pudo completarse durante ese mes debido a la falta de insumos necesarios. Sin embargo, la actividad avanzará conforme se obtengan los resultados en los meses siguientes, garantizando que los documentos reflejen los datos más actualizados y pertinentes para su producción final.
Como alternativa de solución, se propone un ajuste en el cronograma interno de trabajo, trasladando el porcentaje de avance  del 30% y sumarlo al 10% del mes de diciembre, para que al mes de diciembre sea de un (40%), cuando se espera contar con los insumos finales para la consolidación de los resultados. Esta medida permitirá ajustar las expectativas y asegurar que los documentos se produzcan con la información necesaria y de forma completa en el nuevo plazo establecido. 
</t>
  </si>
  <si>
    <t>Durante agosto, septiembre y octubre, los avances en la Estrategia de Transformación Cultural aportaron beneficios clave para los derechos humanos de las mujeres. El diseño de estrategias para redistribuir las labores de cuidado impulsa una mayor equidad en el trabajo de cuidado, favoreciendo el reconocimiento de los derechos de las mujeres. El apoyo técnico de la Subsecretaría del Cuidado y la transversalización del enfoque de género en el Consejo de Bogotá fortalecen la implementación de políticas con igualdad de género. La propuesta Caleidoscopio avanzó en la prevención de violencias y la corresponsabilidad en los cuidados desde la infancia, protegiendo los derechos de niñas y niños. La elaboración del protocolo de acuerdos en el laboratorio de soluciones y la reprogramación de actividades garantizan un enfoque participativo que transforma prácticas culturales para reducir las desigualdades de género.</t>
  </si>
  <si>
    <t>Caleidoscopio: trabajará prevención de violencias y promoción de la corresponsabilidad en los cuidados. Capítulos: diagnóstico, factores culturales y análisis de los modelos COM-B y Ecológico Feminista. Lab.sol.redistribución del cuidado: jornadas de trabajo para elaboración de protocolo de acuerdos</t>
  </si>
  <si>
    <t>5. Diseñar dos estrategias de transformación cultural con matrices de consistencia y teorías del cambio (a partir de la línea base de investigación)</t>
  </si>
  <si>
    <t>Agosto
Se realiza avance en el diseño de las estrategias de acuerdo a la respectiva programación en las que a partir de la línea base se propone la matriz de consistencia y teoría de cambio, con la estrategia de transformación cultural del laboratorio de soluciones para la redistribución de las labores de cuidado. Este documento actualmente cuenta con 4 capítulos que brindan el contexto del problema en Bogotá, la identificación de posibles aliadas, la identificación de comportamientos problemáticos, factores culturales asociados, entre otras. 
Septiembre 
Se ha avanzado un 40% en el diseño de la propuesta de acciones culturales Caleidoscopio, enfocada en el trabajo con niñas y niños de Bogotá. La iniciativa busca prevenir violencias y discriminación, además de promover la corresponsabilidad en los cuidados. Los capítulos finalizados incluyen el diagnóstico, factores culturales, y análisis de los modelos COM-B y Ecológico Feminista, lo que proporciona una base sólida para la siguiente fase del diseño.
Octubre
Avance significativo en la estrategia de transformaciones culturales para la redistribución de los trabajos de cuidados con el desarrollo y avances en el documento del Laboratorio de Soluciones para el Reconocimiento y Redistribución de los trabajos de cuidados no Remunerados, en los siguientes capitulos:  diagnostico, factores culturales, problemas comportamental y propuesta de cambio cultural y comportamental. Teniendo un 60% de avance en el mismo.
Noviembre: Avance significativo en la estrategia de transformaciones culturales para la redistribución de los trabajos de cuidados no remunerados con la incorporación del los datos y aportes del equipo de gestión del conocimiento al capitulo uno del documento tecnico Laboratorio de soluciones para la redistribución de los trabajos de Cuidados. Actualmente el documento se encuentra en un 80% de avance.</t>
  </si>
  <si>
    <t>6. Ejecutar el pilotaje de las estrategias en comunidades seleccionadas, realizar el seguimiento de su implementación y ajustar las estrategias basándose en los resultados obtenidos. Desarrollar las acciones narrativas y comunicativas de cada estrategia.</t>
  </si>
  <si>
    <t>En septiembre con el avance en el diseño de la estrategia de laboratorio de soluciones para la redistribución del cuidado, se han iniciado las jornadas de trabajo para la elaboración del Documento de Protocolo de acuerdos. Este protocolo es clave para la ejecución de los pilotajes con la ciudadanía, permitiendo una mayor cohesión entre los diferentes actores involucrados y facilitando una implementación más efectiva de las soluciones propuestas.
Octubre 
Se realizaron dos encuentros formativos con plural para definir la lineas metodologicas y las acciones del Laboratorio de soluciones para la redistribución de los trabajos de cuidados no remunerados.
Se incorporaron las acciones/hitos en términos de articulación y comunicaciones en el plan de acción de la línea de Redistirbución de los trabajos del Cuidado
Noviembre
Se avanzo en las metodologias y la aprobación de las actividades para el desarrollo del laboratorio de soluciones para la redistribución de los trabajos de cuidados, teniendo un avance del 80%</t>
  </si>
  <si>
    <t>Septiembre
https://secretariadistritald.sharepoint.com/:f:/s/BogotCaminaSegura/EsswUr345RxNtzHcn_aCFooBbnahSkA1s6jhHknLwBCJMw?e=Uuju7W
Octubre
https://secretariadistritald.sharepoint.com/:f:/s/BogotCaminaSegura/EgyoxZiKu2tCpJVfpZUgkm0Bte2lFthWe00oUnFJaos-tA?e=i4q7Ad
Noviembre
https://secretariadistritald.sharepoint.com/:f:/s/BogotCaminaSegura/EsGz8hd04FVKoPoyOKkMXKwBxlhuubx-82nDRYD1BPya2w?e=1VU9Gr</t>
  </si>
  <si>
    <t>7. Elaborar documentos de formulación técnica que detallen el desarrollo y los resultados de las estrategias de transformación cultural. Incluir un balance de las acciones adelantadas y su impacto.</t>
  </si>
  <si>
    <t xml:space="preserve">Octubre 
Se avanzo en el documento tecnico del del protocolo de acuerdos, y la propuesta metodologica del mismo, los cuales tienen un avance del 50%.
Noviembre
Avance significativo en la estrategia de transformaciones culturales para la redistribución de los trabajos de cuidados con el desarrollo y avances en el documento del Laboratorio de Soluciones para el Reconocimiento y Redistribución de los trabajos de cuidados no Remunerados, en los siguientes capitulos:  diagnostico y contexto, analisis a partir del modelo COMB, Identificación de Problemas y Comportamientos Problemáticos y propuestas de cambio comportamental. Teniendo un avance del 80% en el mismo.
</t>
  </si>
  <si>
    <t>Octubre
https://secretariadistritald.sharepoint.com/:b:/s/BogotCaminaSegura/EcwU2sZK6aRLp7AkhqjgyLUBtsnFG1kVR2AB_sImG7Zukw?e=wUCxUA
Noviembre
https://secretariadistritald.sharepoint.com/:f:/s/BogotCaminaSegura/EnRzroQj_oBKhkdur0YrodQB72Gc9bT4ihVrP4x70WbOrw?e=Ocgmkf</t>
  </si>
  <si>
    <t>8. Evaluar de manera integral las estrategias implementadas, identificar áreas de mejora y planificar ajustes para futuras intervenciones.</t>
  </si>
  <si>
    <t>Durante el mes de noviembre se postulo el documento "Indorme Balance transformaciones culturales" el cual contiene los diferentes indicadores y caracteristicas que seran evaluados durante el mes de diciembre.</t>
  </si>
  <si>
    <t>Noviembre: https://secretariadistritald.sharepoint.com/:f:/s/BogotCaminaSegura/EtpVcPLf4-ZCmPmHHxxPKNwB3fY6lYEYjKFMBuYuPQKFBA?e=ynyId5</t>
  </si>
  <si>
    <t>9. Realizar las acciones pertinentes para el desarrollo de la secretaría técnica del Consejo Consultivo de Mujeres de Bogotá, Mesa Coordinadora, Espacio Autónomo, Espacio Ampliado, según las funciones establecidas en el Decreto 364 de 2021.</t>
  </si>
  <si>
    <t>Durante el mes de agosto se convoca y asiste a la Mesa Coordinadora de agosto en la que se presenta la Estrategia Mujeres y el estado actual de la PPMYEG y de la PPASP. Se acompaña la sesión mensual del Espacio Autónomo con levantamiento del acta. Se acompaña técnicamente dos procesos: a) Pacto de corresponsabilidad, en el cual se analiza la información reportada por las referentes de género sobre el avance en la implementación y se acompaña la construcción del nuevo pacto, a firmar por los nuevos alcaldes y alcaldesas el 19 de septiembre. b) encuentro de construcción de la memoria del espacio autónomo del CCMB, en el cual se construye conjuntamente la metodología.
Se acompaña técnicamente 3 sesiones de trabajo para la Construcción del contenido del Pacto de Corresponsabilidad por los Derechos Humanos de las Mujeres 2024-2028 (3, 13 y 16 de septiembre). Se convoca y asiste a la reunión ordinaria de la Mesa Coordinadora de septiembre en la que se presenta un recuento del proceso para la construcción del Pacto y se acuerdan pasos a seguir. En la sesión ordinaria del Espacio Autónomo se levanta acta. Además, se da continuidad a la preparación logistica y metodológica del encuentro para la construcción de la memoria colectiva del espacio autónomo del CCMB.
En el mes de octubre se desarrollaron de los eventos “Encuentro para la Construcción de la Memoria Colectiva del Consejo Consultivo de Mujeres de Bogotá” el 19 de octubre y “firma del Pacto de Corresponsabilidad por los Derechos Humanos de las Mujeres entre Alcaldesas y Alcaldes y el Consejo Consultivo de Mujeres de Bogotá – Espacio Autónomo” el 29 de octubre. Se convoca y asiste a reunión extraordinaria de la Mesa Coordinadora el 18 de octubre y a la reunión ordinaria el 30 de octubre en la que participan tres direcciones de la SDMujer: Dirección de Eliminación de Violencias contra las Mujeres y Acceso a la Justicia; Dirección del Sistema de Cuidado y Dirección de Territorialización de Derechos y Participación. Adicionalmente, se coordinó reunión entre la instancia autónoma y la Secretaría Distrital de Planeación sobre el enfoque de género y los derechos humanos de las mujeres en el Plan Distrital de Desarrollo (15 de octubre) y entre la instancia y la Dirección de Territorialización sobre criterios de elegibilidad, viabilidad y de enfoques de políticas públicas del sector mujeres (16 de octubre).
En el mes de noviembre se convoca y asiste a reunión extraordinaria de la Mesa Coordinadora el 14 de noviembre con la Dirección de Eliminación de Violencias y a reunión ordinaria el 27 de noviembre en la que se presenta un reporte de la implementación de compromisos de las reuniones ordinarias y extraordinarias de la misma instancia entre junio y octubre de 2024. Se convoca y desarrolla el evento "Voces entre generaciones: Mujeres que inspiran, un legado en común” que convocó a exconsejeras y consejeras consultivas el 30 de noviembre. Este evento buscó visibilizar sus liderazgos y aportes a la institucionalización de los derechos de las mujeres en la administración distrital desde el 2007. Adicionalmente, se desarrollaron dos espacios de conexión emocional con psicóloga de la Dirección de Enfoque Diferencial para el fortalecimiento de la instancia (9 y 23 de noviembre).</t>
  </si>
  <si>
    <t>https://secretariadistritald.sharepoint.com/:f:/s/BogotCaminaSegura/ErejKm-PqpZIgfvqQQgMPY0Bm_-j7mlIOluT7QEE1vmcww?e=clAJYP</t>
  </si>
  <si>
    <t>10. Acompañar técnicamente la transversalización del enfoque de género en el Concejo de Bogotá, con énfasis en las bancadas de mujeres de este órgano</t>
  </si>
  <si>
    <t>Durante el mes de agosto la Secretaría Distrital de la Mujer asistió al foro sobre ciudad púrpura convocado por la Comisión Legal de la Mujer en donde se expuso la articulación de la SDMujer con la policía para atender las violencias basadas en género. También se asistió a la bancada Bogotá 24 horas convocada por la HC Donka Atanassova en donde se discute el lanzamiento de la bancada y la SDMujer realiza acompañamiento para transversalizar el enfoque de género. Igualmente, la SDMujer asistió al debate de control político sobre comisarias de familia convocado por la HC Heidy Sánchez en donde se expuso las acciones articuladas de la entidad con la Secretaría de Integración Social en el marco de la atención a casos de violencia intrafamiliar. 
Durante el mes de septiembre, la Secretaría Distrital de la Mujer realizó la entrega de certificados del Sello de Igualdad a las Unidades de Apoyo Normativo que participaron en el ciclo de talleres para la transversalización del enfoque de género. 
Durante el mes de octubre se asistió al foro de salud mental en donde se conversó sobre los impactos diferenciados que esta tiene en las personas. Igualmente se prepararon insumos y se asistió a la sesión de control político en donde se informó sobre el presupuesto de la secretaría de la mujer.
Durante el mes de noviembre se asistió al foro del 25N día internacional para la eliminación de la violencia contra las mujeres convocado por el concejo de Bogotá, allí se realizó una intervención exponiendo las acciones de la SDMujer para la prevención y atención de violencias. También se asistió a la mesa de trabajo del proyecto de acuerdo 863 del 2024 sobre endometriosis en donde se realizó asistencia técnica para la incorporación del enfoque de género. Igualmente se realizó una capacitación sobre enfoque de género al comité de género del Concejo el 26 de noviembre.</t>
  </si>
  <si>
    <t>https://secretariadistritald.sharepoint.com/:f:/s/BogotCaminaSegura/EurZa_flzwFOnnVzpBvZD4IBZfHB1kQykkK4X-2h4oUAdg?e=bZKoRx</t>
  </si>
  <si>
    <t>Desarrollar 3 acciones de transformación cultural efectivas para prevenir las violencias contra las mujeres, incluyendo campañas educativas. (Producto MGA - Servicio de promoción de la garantía de derechos)</t>
  </si>
  <si>
    <t xml:space="preserve">Se desarrolla la formulación del documento técnico de la estrategia de prevención de violencias y acoso contra las mujeres en espacio y transporte público, el cual contiene los datos de diagnostico, la línea base, la identificación del problema comportamientos problemáticos, matriz de consistencia y propuestas de acciones de cambio cultural, el cual contará con tres componentes (espacio publico, parques y calles-Transmilenio-Frentes de Obra). Se ha avanzado también en el desarrollo de la propuesta de la sobrilla narrativa, las acciones comunicativas y las respectivas recomendaciones en el marco del documento de propuesta de transformación cultural.
Septiembre 
En septiembre, se integró el capítulo sobre la prevención del acoso sexual en frentes de obra, con diagnósticos y propuestas de cambio cultural, fortaleciendo las intervenciones en entornos laborales. También se inició el pilotaje de la estrategia, con mesas de trabajo junto a la Universidad El Bosque y Transmilenio, enfocadas en laboratorios de cocreación con mujeres en transporte público. Además, se realizaron reuniones con Generando Equidad y la Universidad El Bosque para desarrollar una sinergia comunicativa en la prevención de violencias en espacios públicos y transporte.            
Durante el mes de octubre se avanza en la consolidación de la firma del MEMO tripartito entre Universidad del Bosque, Transmilenio y SdMUJER, el cual permite el desarrollo del Laboartorio Ciudadano Acoso entre líneas, en términos de avance comunicativo con el programa genenerando equidad de USAID, se avanza en la consolidación conceptual de la propuesta narrativa y se inician la construcción de los primeros vocetos de la campaña comunicativa conjunta para el 25N.
En el mes de Nov se realiza el 90% de las sesiones territoriales, la consolidación de la propuesta narrativa y comunicativa para el 25N, y el inicio de la construcción de las herramientas metodologicas de territorialización. </t>
  </si>
  <si>
    <t>Durante los meses de agosto y septiembre, se han logrado avances importantes en la Estrategia de Transformación Cultural para la prevención de la violencia y el acoso contra las mujeres en espacios públicos y transporte. En agosto, se completó la matriz inicial para la formulación de documentos técnicos, que incluye marcos de referencia y enfoques, además de avanzar en la sombrilla narrativa, un eje conceptual que articula todas las acciones propuestas. Esta sombrilla asegura la coherencia de las intervenciones, detallada en el capítulo 15 del documento técnico, que incluye campañas informativas, intervenciones artísticas y estrategias pedagógicas para transformar normas y comportamientos que perpetúan la violencia y el acoso.
En septiembre, se integró al documento el capítulo sobre la prevención del acoso sexual en frentes de obra, con diagnósticos y análisis de factores culturales. Además, se avanzó en la priorización de propuestas de cambio cultural, lo que permitió un enfoque más detallado sobre cómo abordar el acoso en estos entornos laborales.
También se inició el pilotaje de la estrategia de transformación cultural mediante mesas de trabajo con la Universidad El Bosque y Transmilenio, en las que se desarrollaron laboratorios de cocreación visual y cartográfica con mujeres de Bogotá que utilizan el transporte público. Esto facilitó la participación ciudadana y permitió avanzar en la formulación de soluciones a partir de sus experiencias.
Por otra parte, se llevaron a cabo reuniones de trabajo con Generando Equidad y la Universidad El Bosque para consolidar una sinergia comunicativa, centrada en la prevención de la violencia y el acoso en espacios públicos y transporte. Estas alianzas estratégicas fortalecerán las futuras campañas y acciones culturales, asegurando una mayor articulación entre los actores clave para garantizar el impacto en la ciudadanía.</t>
  </si>
  <si>
    <t>No se presentaron retrasos conforme a lo programado.</t>
  </si>
  <si>
    <t xml:space="preserve">Los avances en la Estrategia de Transformación Cultural benefician a las mujeres de Bogotá al fortalecer su derecho a un entorno seguro y libre de violencias. Con acciones concretas para prevenir el acoso en espacios públicos, transporte y frentes de obra, se promueven cambios culturales que protegen sus derechos. Además, se fomenta la corresponsabilidad en los cuidados y se generan alianzas estratégicas que garantizan un impacto positivo, mejorando la calidad de vida de las mujeres y promoviendo su participación activa en la transformación social.
</t>
  </si>
  <si>
    <t>Capítulo: prevención acoso sexual en frentes de obra, diagnósticos y propuestas de cambio cultural. Mesas de trabajo (U.Bosque-Transmilenio) enfocadas en laboratorios de cocreación con mujeres en transporte público.Sinergia comunicativa en prevención de violencias en espacios públicos y transporte.</t>
  </si>
  <si>
    <t>11. Diseñar una estrategia de transformación cultural para prevenir las violencias contra las mujeres, incluyendo matrices de consistencia y teorías del cambio (a partir de la línea base de investigación)</t>
  </si>
  <si>
    <t>Durante los meses de agosto y septiembre, se avanzó en la formulación del documento técnico de la estrategia de prevención de violencias y acoso contra las mujeres en espacios y transporte público. Este documento aborda detalladamente el contexto del acoso en Bogotá, con análisis cualitativos y cuantitativos sobre los comportamientos problemáticos y los factores culturales asociados, como el machismo y la normalización del acoso. En particular, se estudia la violencia en Transmilenio y en espacios solitarios como parques, analizando su impacto en los derechos humanos de las mujeres, tales como la libertad de movimiento y la seguridad.
El documento utiliza los modelos COM-B y ecológico feminista para identificar y evaluar los factores culturales que alimentan el problema. Además, propone acciones de transformación cultural, como intervenciones artísticas y pedagógicas en Transmilenio, con la participación ciudadana y campañas de sensibilización. En septiembre, se integró al documento el capítulo sobre la prevención del acoso sexual en frentes de obra, incluyendo diagnósticos, análisis culturales y propuestas de cambio, con una priorización de las acciones sugeridas. Este avance permite abordar el acoso desde diversos contextos, consolidando un enfoque integral de transformación cultural en Bogotá.   
Para el mes de octubre se finaliza el documento técnico de la estrategia de Prevención de Violencias y acoso en espacio público, realizando la actualización y ajuste del  documento que fue presentado en el mes de agosto y septiembre</t>
  </si>
  <si>
    <t>Octubre:  https://secretariadistritald.sharepoint.com/:b:/s/BogotCaminaSegura/EQ4VMQCp631GossbMCvNcgwBVtj1vwxqPH3HSEXNOMtybA?e=p5OeTc
Noviembre: Actividad 11</t>
  </si>
  <si>
    <t xml:space="preserve">12. Desarrollar el pilotaje de la estrategia en comunidades seleccionadas, realizar el seguimiento de su implementación y ajustar las estrategias basándose en los resultados obtenidos. </t>
  </si>
  <si>
    <t xml:space="preserve">En septiembre se inició el pilotaje de la estrategia mediante mesas de trabajo con la Universidad El Bosque y Transmilenio. Estas mesas están enfocadas en el desarrollo de laboratorios de cocreación cartográfica y visual con mujeres en transporte público. Se consolidó un plan de trabajo que decanta en un primer espacio de pilotaje. Estas acciones permiten una mayor participación ciudadana, específicamente de las mujeres, en el diseño de soluciones visuales y culturales que aborden el acoso sexual en transporte público. 
En el mes de octubre se inicia el desarrollo de las sesiones de trabajo con las mujeres de la ciudad del Laboratorio ciudadano acoso entre líenas, espacio que busca construir conjuntamente con mujeres de la ciudad, soluciones y alternativas frente al acoso callejero en transporte público, particularmente en el sistema integrado Transmilenio.   
Para el mes de noviembre, se ha llevado a cabo el 90% de las sesiones del laboratorio ciudadano "Acoso entre líneas". Este espacio ha permitido avanzar  en la construcción de los elementos fundamentales para el diseño de la metodolgia de la estrategia, destinada a la línea de intervención específica sobre la "prevención de acoso sexual en espacios públicos y transporte colectivo".  Dentro de los avances del mes, se presenta la construcción del contenido y metodologia de una juego de cartas para ser usado como insumo pedagogico para vindrar herramientas a la ciudadania de cómo intervenir de manera efectiva y segura al ser testigos de situaciones de acoso sexual en la vía pública y la primera entrega del comic Las Siriris. </t>
  </si>
  <si>
    <t xml:space="preserve">Septiembre
https://secretariadistritald.sharepoint.com/:f:/s/BogotCaminaSegura/EnM9nekge0lPuyD2jyZWJZQBk859ES1AIAa19w_sLfZV5w?e=W2yWD7.      
Octubre:
https://secretariadistritald.sharepoint.com/:x:/s/BogotCaminaSegura/EXyWcDMMLetAjuQkaJvHXTsBv1gQQuaCJUfrasfW8CXpfw?e=lJ8KPv
Noviembre: 
https://secretariadistritald.sharepoint.com/:f:/s/BogotCaminaSegura/Ekc_y2eHlxBEie8hMUIDlZ8BzGA7nzYu7-vLeybWpjAZuA?e=BxzqmT </t>
  </si>
  <si>
    <t>13. Idear  las acciones narrativas y comunicativas de cada estrategia.</t>
  </si>
  <si>
    <t xml:space="preserve">En agosto, se logró un avance significativo en la formulación de la estrategia de transformación cultural para la prevención de la violencia y el acoso en espacios públicos y transporte. En particular, se desarrolló la sombrilla narrativa, que articula todas las acciones propuestas, asegurando coherencia y efectividad en las intervenciones. Este enfoque conceptual, detallado en el capítulo 15 (páginas 46 a 49), sirve como eje que unifica las actividades bajo un mensaje claro, orientado a sensibilizar y movilizar a la ciudadanía en torno a la prevención de violencias de género. Se han diseñado acciones comunicativas clave, incluyendo campañas informativas, intervenciones artísticas y estrategias pedagógicas que buscan transformar normas y comportamientos que perpetúan la violencia y el acoso.
En septiembre se llevaron a cabo reuniones de trabajo con Generando Equidad y la Universidad El Bosque para desarrollar una sinergia comunicativa. Esta colaboración es clave para articular acciones de cambio cultural enfocadas en la prevención de la violencia y el acoso en espacios públicos y transporte. El desarrollo de estas alianzas fortalece la cohesión entre las diferentes partes interesadas, aumentando el impacto de las futuras acciones comunicativas y culturales.
En octubre se dió continuidad a las articulaciones a través de reunión de trabajo con Generando Equidad y Universidad El Bosque para construir La narrativa a posicionar para la conmemoración del 25N. Allí se logro concertar un concepto y argumento narrativo para el anzamiento de la camapaña comunicativa para el 25N. </t>
  </si>
  <si>
    <t>Agosto
https://secretariadistritald.sharepoint.com/:w:/s/BogotCaminaSegura/EcFVCbU2lzBFoxGrIvBFfJ8BjE6wtqYX7lrZciB5HzjAWw?e=dGLLhb
Septiembre
https://secretariadistritald.sharepoint.com/:f:/s/BogotCaminaSegura/EpnndnDF0yBImSYbYLPTG4MBbv4vy3FVY__d30bqkUWD_g?e=7vBHZe.  Octubre: https://secretariadistritald-my.sharepoint.com/:b:/g/personal/jdcortes_sdmujer_gov_co/EVOC28qPvERMr9S52R2FVvgBclaAck11DzSe-mU8mSnLmw?e=BbuIWe
Octubre
https://secretariadistritald.sharepoint.com/:f:/s/BogotCaminaSegura/Eo-zwoNojhNCh5MGeua6qk8BZREP2b1HFZmocd3pcGI_dw?e=ZfJGIm</t>
  </si>
  <si>
    <t>Implementar 3 acciones de transformación cultural que promuevan y garanticen el libre ejercicio de los derechos de las mujeres y la equidad de género a través de mecanismos de cambio cultural y comportamental desarrollados con las comunidades. (Producto MGA - Servicio de promoción de la garantía de derechos)</t>
  </si>
  <si>
    <t>En septiembre Se adelantó  la elaboración de una presentación que incluye datos clave sobre las violencias y la afectación de los derechos de las mujeres en el entorno deportivo del ciclismo. Este trabajo se realizó en articulación con la Dirección de Derechos y Diseño de Política y que se incorporará en el  documento preliminar que contiene el diagnostico inicial sobre los estereotipos de las mujeres en el deporte, y que  se enmarca en el Derecho a la Igualdad y la No Discriminación; Derecho a una Vida Libre de Violencia y Discriminación; Derecho a la Participación y a la Representación Equitativa y Derecho a la Educación y Sensibilización en Igualdad de Género.
Para el mes de octubre se da inicio a la construcción del documento de eliminación de estereotipos negativos sobre las mujeres en el futbol. 
Así mismo en el marco de las acciones programadas para instancias distritales se realizó la Submesa de género del mes de noviembre de 2024, con el acompañamiento técnico de la Subsecretaría del Cuidado y Políticas de Igualdad . Se  realizaron  acciones de acompañamiento para la transversalización del enfoque de género en el Consejo Territorial de Planeación Distrital. 
En el mes de noviembre sefinalizó el diagnostico con el desarrollo de la Matriz de Consistencia "Estereotipos e Imaginarios sobre las Mujeres en el Deporte". Ademas, se avanzo en el documento “Estereotipos e Imaginarios sobre las Mujeres en el Deporte” Campeonato Mundial de Futbol Femenino.</t>
  </si>
  <si>
    <t>Durante los meses de agosto y septiembre se avanzó en la revisión y elaboración de un documento preliminar que presenta el diagnóstico inicial sobre los estereotipos de las mujeres en el deporte. Este análisis se enmarca en los derechos fundamentales de las mujeres, tales como el Derecho a la Igualdad y la No Discriminación, el Derecho a una Vida Libre de Violencia y Discriminación, el Derecho a la Participación y Representación Equitativa, y el Derecho a la Educación y Sensibilización en Igualdad de Género. Estos avances son fundamentales para identificar las barreras que enfrentan las mujeres en el ámbito deportivo, y para establecer propuestas de cambio cultural que contribuyan a la equidad de género en el deporte. El trabajo acumulado en este periodo provee una base sólida para futuras intervenciones y acciones que busquen erradicar los estereotipos y promover la igualdad en todos los niveles del deporte. En octubre se avazo con la respectiva elaboración del documento tecnico de la estrategia de eliminacion de estereotipos e inmaginarios negativos contra las mujeres. 
En el mes de noviembre sefinalizó el diagnostico con el desarrollo de la Matriz de Consistencia "Estereotipos e Imaginarios sobre las Mujeres en el Deporte". Ademas, se avanzo en el documento “Estereotipos e Imaginarios sobre las Mujeres en el Deporte” Campeonato Mundial de Futbol Femenino.
El 13 de noviembre, se realizó una submesa de género para evaluar las sesiones de sensibilización del decreto 053 con enfoque de género. Se realizó acompañamiento a los Puestos de Mando Unificados para el mes de noviembre. Se propuso un plan de acción para el trabajo de las consejeras territoriales de planeación.</t>
  </si>
  <si>
    <t>Acompañamiento técnico para el fortalecimiento del derecho a la participación de las mujeres en las diferentes instancias priorizadas, para el posicionamiento de sus agendas.</t>
  </si>
  <si>
    <t xml:space="preserve">Revisión y elaboración documento: Diagnostico sobre estereotipos - mujeres en el deporte, se enmarca en: Der.a la Igualdad y la No Discriminación; Der.Vida Libre de Violencia y Discriminación; Der.a Participación y Representación Equitativa y Der.a Educación y Sensibilización en Igualdad de Género. </t>
  </si>
  <si>
    <t>14. Adelantar la revisión de documentos diagnósticos y complementar las acciones de investigación para la consolidación de la línea base de una estrategia que promueva y garantice el libre ejercicio de los derechos de las mujeres y la equidad de género.</t>
  </si>
  <si>
    <t xml:space="preserve">Se adelantó el ejercicio de revisión y elaboración de un documento inicial de transformación cultural para la eliminación de imaginarios y estereotipos sobre las mujeres en el deporte, y que contiene un diagnostico inicial entre las páginas 5 y 15 de dicho documento, igualmente incorpora un análisis sobre la afectación de esta problemática en los derechos humanos de las mujeres y que se relacionan a continuación.  
1) Derecho a una Vida Libre de Violencia y Discriminación. 
2) Derecho a la Participación y a la Representación Equitativa. 
3) Derecho a la Educación y Sensibilización en Igualdad de Género.
En el mes de septiembre, se logró la elaboración de una presentación que incluye datos clave sobre las violencias y la afectación de los derechos de las mujeres en el entorno deportivo del ciclismo. Este trabajo se realizó en articulación con la Dirección de Derechos y Diseño de Política. Además, se elaboró un documento general que recopila los resultados de la investigación, con información cualitativa y cuantitativa, que se integrará al documento de la Estrategia de Transformación Cultural. Estos avances permiten visibilizar problemáticas específicas en el ámbito deportivo, aportando una base sólida para futuras acciones de cambio cultural
En el mes de octubre se inicio la consolidación de los respectivos diagnosticos relacionados con llas barreras culturales y comportamentales de las mujeres que limitan su participación en el deporte por estereotipos e imaginarios negativos este di9agnostico se encuientra en el documento que reposa como evidencia de la tarea 15 entre las paginas 5 y 16. 
En el mes de noviembre se da por finalizado el diagnostico con el desarrollo de la "Matriz de Consistencia"  documento anexo al documento técnico de formulación, que a partir de los datos cualitativos y cuantitativos identifica las barreras culturales y comportamentales que limitan la garantia de derechos de las mujeres y sustentan estereotipos negativos en el futbol </t>
  </si>
  <si>
    <t>Noviembre:
https://secretariadistritald.sharepoint.com/:x:/s/BogotCaminaSegura/EQ2a0sCjzSdBsFzQztoejC0ByLnHpXrb_2e6VxxYSA2aOw?e=KikAIh</t>
  </si>
  <si>
    <t xml:space="preserve">15. Avanzar en el diseño de una estrategia de transformación cultural que promueva y garantice el libre ejercicio de los derechos de las mujeres y la equidad de género (a partir de la línea base de investigación) </t>
  </si>
  <si>
    <t>Para el mes de octubre se da incio a la elbaoración del documento tecnico de formulación de la estratgegia de eliminación de estereotipos e imaginarios negativos contra las mujeres en el deporte. 
En el mes de noviembre se logró un avance significativo en el documento técnico para las acciones de cambio cultural titulado “Estereotipos e Imaginarios 
sobre las Mujeres en el Deporte” Campeonato Mundial de Futbol Femenino.</t>
  </si>
  <si>
    <t>Octubre
https://secretariadistritald.sharepoint.com/:b:/s/BogotCaminaSegura/EV4Czx3suvNCjtxjrCDyo0IBU6sy3xIFIzoc0E0ZctdaxA?e=1IS6h1
Noviembre
https://secretariadistritald.sharepoint.com/:b:/s/BogotCaminaSegura/EWXrG5xbStBBnNO6RONzxnEBD-oeel86LN1KXyYIiwFILg?e=JZJyV8</t>
  </si>
  <si>
    <t>16. Socializar e implementar la hoja de ruta para incorporar los enfoques de derechos de las mujeres, de género y diferencial, a través del acompañamiento y articulación con la Submesa para la garantía y seguimiento de los derechos de las mujeres, diversidades, disidencias sexuales y de Género y el acompañamiento técnico al Puesto de mando Unificado (PMU)</t>
  </si>
  <si>
    <t xml:space="preserve">Se realiza submesa de género el día 14 de agosto,  con el fin de realizar evaluación de las sesiones de sensibilización del decreto 053 con enfoque de género.  No se realizó Puesto de Mando Unificado para el mes de agosto.
Se realiza reunión interna de trabajo movilización y protesta social, el día 06 de septiembre para determinar las acciones conjuntas tanto en Puesto de Mando Unificado como en terreno para el día 28 de septiembre denominado Día por la Despenalización y Legalización del Aborto 
Se realiza reunión Secretaría Técnica Decreto 053-2023, el día 12 de septiembre  para realizar coordinación conjunta entre las entidades sobre las acciones que viene desarrollando desde el sector mujer dentro de la Submesa para la Garantía de los Derechos de las mujeres, diversidades, disidencias sexuales y de género y la Secretaría Técnica de la instancia que está a cargo de la Dirección de Derechos Humanos de Gobierno.
Se realiza segundo encuentro manejo universidades públicas en escenarios de protesta. el día 16 de septiembre, con el fin de  consolidar propuestas para el abordaje de la situación actual de las universidades públicas.
Se realiza reunión externa escenario protesta social, el día 18 de septiembre plan de trabajo entre la Secretaría Distrital de la Mujer y la Secretaría Distrital de Gobierno para la Submesa de Género.
Se realiza Puesto de Mando Unificado apoyo reformas del Gobierno Nacional, el día 18 de septiembre, con el fin de realizar acompañamiento por parte de la Secretaría Distrital de la Mujer como firmante del Decreto 053 de 2023.
Se realiza reunión extraordinaria del Decreto 053 de 2023, el día 20 de septiembre con el fin de  la movilización el día 25 de septiembre día por la Despenalización y Legalización del Aborto.
Se realiza Puesto de Mando Unificado despenalización y legalización Aborto el día 28 de septiembre, con el fin de realizar acompañamiento por parte de la Secretaría Distrital de la Mujer como firmante del Decreto 053 de 2023.
Se realiza reunión el día 03 de octubre, desde la Secretaría Distrital de Gobierno  a mesa Extraordinaria Distrital de Coordinación y Seguimiento, con motivo Cumbre y movilización de Consejo Nacional de Paz Afrocolombiano (CONPA)
Se realiza Puesto de Mando Unificado el día 07 de octubre, con el fin de realizar acompañamiento por parte de la Secretaría Distrital de la Mujer como firmante del Decreto 053 de 2023.
Se realiza Puesto de Mando Unificado el día 08 de octubre, con el fin de realizar acompañamiento por parte de la Secretaría Distrital de la Mujer como firmante del Decreto 053 de 2023.
Se realiza submesa de género el día 09 de octubre, con el fin de realizar balance de la movilización del 28 de septiembre a favor del aborto libre y seguro
 se realiza mesa ordinaria del Decreto 053 de 2023, el día 16 de octubre, con el fin de rendir informa por parte de las entidades firmantes del Decreto sobre sus actuaciones durante el tercer trimestre de la vigencia 2024. 
Se realiza Puesto de Mando Unificado el día 19 de octubre, con el fin de realizar acompañamiento por parte de la Secretaría Distrital de la Mujer como firmante del Decreto 053 de 2023 en la marcha de los niños y Contramarcha, Marcha contra la reforma del Gobierno.
Cargado tercer informe de gestión trimestral Submesa de Género.
Se realiza reunión el día 01 de noviembre, mesa Ordinaria Distrital de Coordinación y Seguimiento, con el fin de revisar las actuaciones de las entidades durante los primeros 6 meses dela vigencia 2024.
Se realiza reunión el día 08 de noviembre mesa extraordinaria del Decreto 053 de 2023, con motivo de las movilizaciones de taxistas convocadas para el día 13 de noviembre de 2024.
Se realiza submesa de género el día 13 de noviembre, con el fin de socializar la ruta única de atención a mujeres victimas de violencia y en riesgo de feminicidio por parte de la SDMujer.
Se realiza reunión extraordinaria del Decreto 053 de 2023, el día 19 de noviembre, con motivo de las movilizaciones del Día Internacional de la Eliminación de la Violencia contra la Mujer.
Se realiza Puesto de Mando Unificado en terreno, el día 25 de noviembre, con el fin de realizar acompañamiento por parte de la Secretaría Distrital de la Mujer como firmante del Decreto 053 de 2023 en el día internacional de la no violencia contra las mujeres.
</t>
  </si>
  <si>
    <t>https://secretariadistritald.sharepoint.com/:f:/s/BogotCaminaSegura/ElIUgF4id7ZDj_d2HUfbBzgBR74Kdvd45dN_NgBXoWqGPg?e=TnvvuD</t>
  </si>
  <si>
    <t>17. Socializar e implementar la hoja de ruta para incorporar los enfoques de derechos de las mujeres, de género y diferencial, mediante el acompañamiento técnico a dos instancias de participación del Distrito Capital, priorizadas por la Subsecretaría del Cuidado y Políticas de Igualdad</t>
  </si>
  <si>
    <t>Realizada reunión el día 13 de agosto, con el fin de realizar presentación de la nueva Subsecretaria del Cuidado y Políticas de Igualdad y proponer plan de acción para el trabajo de las consejeras territoriales durante este periodo.
En el mes de septiembre Realizado plan de acción CTPD, con el fin de realizar acompañamiento y fortalecimiento de los derechos de las mujeres a las consejeras territoriales CTPD.
Se realiza reunión con la Secretaría Tecnica del CTPD, el día 22 de octubre, con el fin de revisar temas de la instancia con la Secretaría Distrital de Planeación. 
 Se proyecta el día 25 de octubre correo para las consejeras consultivas del CTPD proponiendo desde la SDMujer socializar el plan de acción vigencia 2024.
Cargado tercer informe de gestión trimestral instancia Consejo Territorial de Planeación distital (CTPD)
Se realiza reunión con la Secretaría Tecnica del CTPD, , el día 12 de noviembre, con el fin de dialogar con la Directora del Sistema Distrital de Cuidado sobre la manzana de Engativá y el equipo de la Subsecretaría del Cuidado y Políticas de Igualdad de la Secretaría Distrital de la Mujer.</t>
  </si>
  <si>
    <t>https://secretariadistritald.sharepoint.com/:f:/s/BogotCaminaSegura/EovHildBzolOhASSH6IefPcBGIT93dO16_LwgtC0MgBzFQ?e=zZ5Qkk</t>
  </si>
  <si>
    <t>Página 2 de 4</t>
  </si>
  <si>
    <t xml:space="preserve">PROGRAMACIÓN </t>
  </si>
  <si>
    <t>SOLUCIONES PROPUESTAS PARA RESOLVER LOS RETRASOS Y FACTORES LIMITANTES PARA EL CUMPLIMIENTO</t>
  </si>
  <si>
    <t>PRODUCTO INSTITUCIONAL (PMR):</t>
  </si>
  <si>
    <t>Servicio de coordinación del Sistema Distrital de Cuidado y Servicios Complementarios</t>
  </si>
  <si>
    <t>OBJETIVO ESTRATEGICO:</t>
  </si>
  <si>
    <t xml:space="preserve"> META</t>
  </si>
  <si>
    <t xml:space="preserve">MAGNITUD CUATRIENIO
(Únicamente para indicadores PDD y PMR. Se debe diligenciar "A demanda" cuando aplique en los indicadores de tareas) </t>
  </si>
  <si>
    <t>Meta PDD</t>
  </si>
  <si>
    <t>PMR</t>
  </si>
  <si>
    <t>Tarea</t>
  </si>
  <si>
    <t>MAGNITUD EJECUTADA</t>
  </si>
  <si>
    <t>AVANCE %</t>
  </si>
  <si>
    <t>Implementar acciones de transformación cultural que promuevan la redistribución equitativa de las labores del cuidado en Bogotá.</t>
  </si>
  <si>
    <t xml:space="preserve">Número de personas que participan de las acciones y procesos de transformación cultural para las redistribución de los trabajos de cuidado no remunerados. </t>
  </si>
  <si>
    <t>Número de personas vinculadas a los talleres de cambio cultural</t>
  </si>
  <si>
    <t>Suma</t>
  </si>
  <si>
    <t xml:space="preserve">número </t>
  </si>
  <si>
    <t xml:space="preserve">sumatoria de personas participantes. </t>
  </si>
  <si>
    <t>Profesional/contratista responsable de instrumentos de planeación 2024</t>
  </si>
  <si>
    <t xml:space="preserve">Mensual </t>
  </si>
  <si>
    <t>Plan de acción del proyecto - SIMISIONAL</t>
  </si>
  <si>
    <t xml:space="preserve">Noviembre
Se realizaron un total de 64 actividades de transformación cultural para aportar al reconocimiento y la redistribución de los trabajos de cuidados no remunerados en Bogotá. Se implementaron los módulos "A cuidar se aprende" y "Cuidamos a las que nos cuidan". Estas actividades se desarrollaron en las unidades operativas del Sistema de Cuidado: Manzanas del cuidado, Asistencia en Casa y otras unidades operativas.
</t>
  </si>
  <si>
    <t>5.1 2024.11.30 Reporte de actividades TCyCuidado Noviembre.xls</t>
  </si>
  <si>
    <t>Se han realizaron un total de 125 actividades de transformación cultural para aportar al reconocimiento y la redistribución de los trabajos de cuidados no remunerados. Se implementaron los módulos "A cuidar se aprende" y "Cuidamos a las que nos cuidan". Estas actividades se desarrollaron en las unidades operativas del Sistema de Cuidado: Manzanas del cuidado, Asistencia en Casa y otras unidades operativas.
Esta meta se cumple y se supera en el mes de noviembre, sin embargo al cumplir con objetivos territoriales con el Sistema distrital del cuidado en las unidades operativas de manzanas del cuidado, se continuan realizando acciones en las manzanas a pesar de averse cumplido con la meta de personas vinculadas.</t>
  </si>
  <si>
    <t>Las acciones iniciaron a mediados de septiembre debido a las demoras para acordar las manzanas priorizadas entre la estrategia de Transformaciones Culturales de la Subsecretaría de Políticas de Igualdad y el liderazgo del Sistema Distrital del Cuidado.</t>
  </si>
  <si>
    <t>No aplica</t>
  </si>
  <si>
    <t>M1. Formular 9 acciones de transformación cultural que promuevan y garanticen el libre ejercicio de los derechos de las mujeres y la equidad de género a través de mecanismos de cambio cultural y comportamental desarrollados con las comunidades.</t>
  </si>
  <si>
    <t xml:space="preserve">Número de documentos técnicos desarrollados que contienen estrategias de transformación cultural, revisados y aprobados. </t>
  </si>
  <si>
    <t xml:space="preserve">Sumatoria del número de documentos técnicos formulados. </t>
  </si>
  <si>
    <t xml:space="preserve">Sumatoria de documentos producidos </t>
  </si>
  <si>
    <t xml:space="preserve">Durante el mes de noviembre se avanzo en las acciones para el seguimiento y evaluación de la estrategia de Transformaciones Culturales con la consolidación del documento evaluativo. A nivel de articulaciones se realizó la revision y seguimiento del contenido del memorando de entendimiento con USAID, entre otras.
			</t>
  </si>
  <si>
    <t>Meta.01</t>
  </si>
  <si>
    <t>1) Documento: Prevención violencias y acoso en transporte y espacio público. 2) Laboratorio de Soluciones para la Redistribución de Trabajos de Cuidado. 3) Caleidoscopio, estrategia orientada a la prevención de violencias y promoción de corresponsabilidad en trabajos de cuidado con niñas y niños.</t>
  </si>
  <si>
    <t>suma</t>
  </si>
  <si>
    <t>M3. Implementar 3 acciones de transformación cultural que promuevan la redistribución equitativa de las labores del cuidado en Bogotá. (Producto MGA - Servicio de promoción de la garantía de derechos)</t>
  </si>
  <si>
    <t>Número de estrategias de transformación cultural implementadas.</t>
  </si>
  <si>
    <t xml:space="preserve">Sumatoria del número de estrategias de transformación cultural implementadas. </t>
  </si>
  <si>
    <t xml:space="preserve">Sumatoria de estrategias implementadas </t>
  </si>
  <si>
    <t xml:space="preserve">Plan de acción del proyecto </t>
  </si>
  <si>
    <t>Noviembre: 
Avance significativo en la estrategia de transformaciones culturales para la redistribución de los trabajos de cuidados con el desarrollo y avances en el documento del Laboratorio de Soluciones para el Reconocimiento y Redistribución de los trabajos de cuidados no Remunerados, en los siguientes capitulos:  diagnostico y contexto, analisis a partir del modelo COMB, Identificación de Problemas y Comportamientos Problemáticos y propuestas de cambio comportamental. Así como se diseño el documento para la evaluación y seguimiento de la estrategia de transformaciones culturales.</t>
  </si>
  <si>
    <t>Meta.03</t>
  </si>
  <si>
    <t>decreciente</t>
  </si>
  <si>
    <t>M4. Desarrollar 3 acciones de transformación cultural efectivas para prevenir las violencias contra las mujeres, incluyendo campañas educativas. (Producto MGA - Servicio de promoción de la garantía de derechos)</t>
  </si>
  <si>
    <t xml:space="preserve">En el mes de Noviembre se realiza el 90% de las sesiones territoriales, la consolidación de la propuesta narrativa y comunicativa para el 25N, y el inicio de la construcción de las herramientas metodologicas de territorialización. </t>
  </si>
  <si>
    <t>Meta.04</t>
  </si>
  <si>
    <t>constante</t>
  </si>
  <si>
    <t>M5. Implementar 3 acciones de transformación cultural que promuevan y garanticen el libre ejercicio de los derechos de las mujeres y la equidad de género a través de mecanismos de cambio cultural y comportamental desarrollados con las comunidades. (Producto MGA - Servicio de promoción de la garantía de derechos)</t>
  </si>
  <si>
    <t>En el mes de noviembre sefinalizó el diagnostico con el desarrollo de la Matriz de Consistencia "Estereotipos e Imaginarios sobre las Mujeres en el Deporte". Ademas, se avanzo en el documento “Estereotipos e Imaginarios sobre las Mujeres en el Deporte” Campeonato Mundial de Futbol Femenino.</t>
  </si>
  <si>
    <t>Meta.05</t>
  </si>
  <si>
    <t>En septiembre, se integró al documento el capítulo sobre la prevención del acoso sexual en frentes de obra, con diagnósticos y análisis de factores culturales. Además, se avanzó en la priorización de propuestas de cambio cultural, lo que permitió un enfoque más detallado sobre cómo abordar el acoso en estos entornos laborales.</t>
  </si>
  <si>
    <t>También se inició el pilotaje de la estrategia de transformación cultural mediante mesas de trabajo con la Universidad El Bosque y Transmilenio, en las que se desarrollaron laboratorios de cocreación visual y cartográfica con mujeres de Bogotá que utilizan el transporte público. Esto facilitó la participación ciudadana y permitió avanzar en la formulación de soluciones a partir de sus experiencias.</t>
  </si>
  <si>
    <t>ELABORÓ</t>
  </si>
  <si>
    <t>Firma:</t>
  </si>
  <si>
    <t>APROBÓ (Según aplique Gerenta de proyecto, Líder técnica y responsable de proceso)</t>
  </si>
  <si>
    <t>REVISÓ OFICINA ASESORA DE PLANEACIÓN</t>
  </si>
  <si>
    <t xml:space="preserve">VoBo. </t>
  </si>
  <si>
    <t>Nombre: Juan David Cortes González  
Iván Felipe Vargas Aldana</t>
  </si>
  <si>
    <t>Nombre: Juan David Cortes González</t>
  </si>
  <si>
    <t>Nombre: Liza Yomara García Reyes</t>
  </si>
  <si>
    <t>Nombre:</t>
  </si>
  <si>
    <t>Por otra parte, se llevaron a cabo reuniones de trabajo con Generando Equidad y la Universidad El Bosque para consolidar una sinergia comunicativa, centrada en la prevención de la violencia y el acoso en espacios públicos y transporte. Estas alianzas estratégicas fortalecerán las futuras campañas y acciones culturales, asegurando una mayor articulación entre los actores clave para garantizar el impacto en la ciudadanía.</t>
  </si>
  <si>
    <t>Cargo: Contratistas - SCPI</t>
  </si>
  <si>
    <t xml:space="preserve">Cargo: Líder Técnico proyecto de inversión 8198
</t>
  </si>
  <si>
    <t>Cargo:  Subsecretaria del Cuidado y Políticas de Igualdad</t>
  </si>
  <si>
    <t xml:space="preserve">Cargo: </t>
  </si>
  <si>
    <t>Cargo: Jefe Oficina Asesora de Planeación</t>
  </si>
  <si>
    <t>Planes decreto 612</t>
  </si>
  <si>
    <t>Unidad de medida</t>
  </si>
  <si>
    <t>1. Plan Institucional de Archivos de la Entidad (PINAR)</t>
  </si>
  <si>
    <t>Número</t>
  </si>
  <si>
    <t>2. Plan Anual de Adquisiciones</t>
  </si>
  <si>
    <t>Procentaje</t>
  </si>
  <si>
    <t>3. Plan Anual de Vacantes</t>
  </si>
  <si>
    <t>4. Plan de Previsión de Recursos Humanos</t>
  </si>
  <si>
    <t>5. Plan Estratégico de Talento Humano</t>
  </si>
  <si>
    <t>6. Plan Institucional de Capacitación</t>
  </si>
  <si>
    <t>7. Plan de Incentivos Institucionales</t>
  </si>
  <si>
    <t>8. Plan de Trabajo Anual en Seguridad y Salud en el Trabajo</t>
  </si>
  <si>
    <t>9. Plan Anticorrupción y de Atención al Ciudadano</t>
  </si>
  <si>
    <t>10. Plan Estratégico de Tecnologías de la Información y las Comunicaciones (PETI)</t>
  </si>
  <si>
    <t>11. Plan de Tratamiento de Riesgos de Seguridad y Privacidad de la Información</t>
  </si>
  <si>
    <t>12. Plan de Seguridad y Privacidad de la Información</t>
  </si>
  <si>
    <t>Código: DE-FO-05</t>
  </si>
  <si>
    <t xml:space="preserve">FORMULACIÓN Y SEGUIMIENTO PLAN DE ACCIÓN </t>
  </si>
  <si>
    <t>ANEXO - TERRITORIALIZACIÓN</t>
  </si>
  <si>
    <t>Página 3 de 4</t>
  </si>
  <si>
    <t xml:space="preserve">SEGUIMIENTO </t>
  </si>
  <si>
    <t>FECHA DE REPORTE:</t>
  </si>
  <si>
    <t>INDICADOR / ACTIVIDAD:</t>
  </si>
  <si>
    <t>Meta 3. Implementar 3 acciones de transformación cultural que promuevan la redistribución equitativa de las labores del cuidado en Bogotá. (Producto MGA - Servicio de promoción de la garantía de derechos)</t>
  </si>
  <si>
    <t>LOCALIDAD</t>
  </si>
  <si>
    <t>TOTAL POR LOCALIDAD</t>
  </si>
  <si>
    <t xml:space="preserve">ENFOQUE DIFERENCIAL </t>
  </si>
  <si>
    <t>GRUPO ETARIO</t>
  </si>
  <si>
    <t>Magnitud</t>
  </si>
  <si>
    <t>Presupuesto</t>
  </si>
  <si>
    <t>Indígenas</t>
  </si>
  <si>
    <t>Afrodescendientes</t>
  </si>
  <si>
    <t>Raizales</t>
  </si>
  <si>
    <t>Rrom</t>
  </si>
  <si>
    <t>Discapacidad</t>
  </si>
  <si>
    <t>LGBTI</t>
  </si>
  <si>
    <t>Menor de 12</t>
  </si>
  <si>
    <t>Entre 12 y 14</t>
  </si>
  <si>
    <t>Entre 15 y 28</t>
  </si>
  <si>
    <t>Entre 29 y 59</t>
  </si>
  <si>
    <t xml:space="preserve">Igual o mayo a 60 </t>
  </si>
  <si>
    <t>No responde</t>
  </si>
  <si>
    <t xml:space="preserve">Bogotá Distrito Capital </t>
  </si>
  <si>
    <t>1. Usaquén</t>
  </si>
  <si>
    <t>2. Chapinero</t>
  </si>
  <si>
    <t>3. Santafé</t>
  </si>
  <si>
    <t>4. San Cristóbal</t>
  </si>
  <si>
    <t>5. Usme</t>
  </si>
  <si>
    <t>6. Tunjuelito</t>
  </si>
  <si>
    <t>7. Bosa</t>
  </si>
  <si>
    <t>8. Kennedy</t>
  </si>
  <si>
    <t>9. Fontibón</t>
  </si>
  <si>
    <t>10. Engativá</t>
  </si>
  <si>
    <t>11. Suba</t>
  </si>
  <si>
    <t>12. Barrios Unidos</t>
  </si>
  <si>
    <t>13. Teusaquillo</t>
  </si>
  <si>
    <t>14. Los Mártires</t>
  </si>
  <si>
    <t>15. Antonio Nariño</t>
  </si>
  <si>
    <t>16. Puente Aranda</t>
  </si>
  <si>
    <t>17. La Candelaria</t>
  </si>
  <si>
    <t>18. Rafael Uribe Uribe</t>
  </si>
  <si>
    <t>19. Ciudad Bolívar</t>
  </si>
  <si>
    <t>20. Sumapaz</t>
  </si>
  <si>
    <t>TOTAL POR MES</t>
  </si>
  <si>
    <t>Meta 4: Desarrollar 3 acciones de transformación cultural efectivas para prevenir las violencias contra las mujeres, incluyendo campañas educativas. (Producto MGA - Servicio de promoción de la garantía de derechos)</t>
  </si>
  <si>
    <t>SEGUIMIENTO PMR (META 3 Y META EQUIPO TERRITORIAL GESTORAS TRANSFORMACIÓN CULTURAL)</t>
  </si>
  <si>
    <t>ago</t>
  </si>
  <si>
    <t>sep</t>
  </si>
  <si>
    <t>oct</t>
  </si>
  <si>
    <t>nov</t>
  </si>
  <si>
    <t>dic</t>
  </si>
  <si>
    <t>Territorialización M3 - Gestoras</t>
  </si>
  <si>
    <t>Territorialización M4 - Gestoras</t>
  </si>
  <si>
    <t>Territorialización (contratos gestoras)</t>
  </si>
  <si>
    <t>ago giro sep</t>
  </si>
  <si>
    <t>sep giro oct</t>
  </si>
  <si>
    <t>oct giro nov</t>
  </si>
  <si>
    <t>nov giro dic</t>
  </si>
  <si>
    <t>dic giro ene</t>
  </si>
  <si>
    <t>Página 4 de 4</t>
  </si>
  <si>
    <t>CONTROL DE CAMBIOS EN EL PLAN DE ACCIÓN</t>
  </si>
  <si>
    <t>Fecha de aprobación</t>
  </si>
  <si>
    <t>Cambio</t>
  </si>
  <si>
    <t>Justificación del cambio</t>
  </si>
  <si>
    <t xml:space="preserve">reprogramación tarea 2 - meta 1 </t>
  </si>
  <si>
    <t xml:space="preserve">El diagnóstico sobre las barreras culturales y sociales de la redistribución del cuidado quedó en 80% debido a la priorización de otros requerimientos. por lo que como alternativa se propone reajustar del 50% al 30% en el mes de septiembre y el 20% restante se completará en octubre con ajustes en la distribución de tiempos en el cronograma interno de trabajo. </t>
  </si>
  <si>
    <t>reprogramación tarea 7 - meta 3</t>
  </si>
  <si>
    <t>Como alternativa de solución, se propone un ajuste en el cronograma interno de trabajo, trasladando el porcentaje de avance  del 30% y sumarlo al 10% del mes de diciembre, para que al mes de diciembre sea de un (40%), cuando se espera contar con los insumos finales para la consolidación de los resultados. Esta medida permitirá ajustar las expectativas y asegurar que los documentos se produzcan con la información necesaria y de forma completa.</t>
  </si>
  <si>
    <t xml:space="preserve">Reprogramación Número de personas que participan de las acciones y procesos de transformación cultural para las redistribución de los trabajos de cuidado no remunerados (1500 personas). indicador PA </t>
  </si>
  <si>
    <t>Las acciones iniciaron a mediados de septiembre debido a las demoras para acordar las manzanas priorizadas entre la estrategia de Transformaciones Culturales de la Subsecretaría de Políticas de Igualdad y el liderazgo del Sistema Distrital del Cuidado. Se realizaran nuevas convocatorias con diferentes aliadas del Sistema de cuidado y la Estrategia para llegar a la meta de septiembre y octubre.</t>
  </si>
  <si>
    <t>Valor actividades</t>
  </si>
  <si>
    <t>Se solicita modificación del valor de las metas del Proyecto de Inversión  8198 - Implementación de la estrategia de transformación cultural de la Secretaría Distrital de la Mujer en Bogotá D.C.” liderado por la Subsecretaría del Cuidado y Políticas de Igualdad, lo anterior en el marco de traslado presupuestal entre proyectos de inversión realizado en el mes de octubre de 2024 por valor de Treinta y dos millones ochocientos setenta y un mil doscientos dieciséis pesos m/cte. ($32.871.216), el cual quedó en firme través de la Resolución No 387 del 11 de octubre de 2024 “Por medio de la cual se efectúa modificación en el Presupuesto de Gastos e Inversiones de la Secretaría Distrital de la Mujer para la vigencia fiscal comprendida entre el 1 de enero y el 31 de diciembre de 2024”.</t>
  </si>
  <si>
    <t>Meta</t>
  </si>
  <si>
    <t>Recursos 2024</t>
  </si>
  <si>
    <t>Porcentaje</t>
  </si>
  <si>
    <t>Producto MGA</t>
  </si>
  <si>
    <t>Programación 2024</t>
  </si>
  <si>
    <t>Recursos programados agosto</t>
  </si>
  <si>
    <t>Recursos comprometidos agosto</t>
  </si>
  <si>
    <t>%</t>
  </si>
  <si>
    <t>Giros programados agosto</t>
  </si>
  <si>
    <t>Giros comprometidos agosto</t>
  </si>
  <si>
    <t>Giros programados septiembre</t>
  </si>
  <si>
    <t>Giros comprometidos septiembre</t>
  </si>
  <si>
    <t>Giros programados octubre</t>
  </si>
  <si>
    <t>Giros comprometidos octubre</t>
  </si>
  <si>
    <t>Documento de Lineamientos Técnicos</t>
  </si>
  <si>
    <t>Servicios de Promoción de la Garantía de Derechos</t>
  </si>
  <si>
    <t>Techo presupuestal 2024</t>
  </si>
  <si>
    <t>PROGRAMACIÓN INICIAL</t>
  </si>
  <si>
    <t>Valor inicIal</t>
  </si>
  <si>
    <t>Ejercicio</t>
  </si>
  <si>
    <t>Período</t>
  </si>
  <si>
    <t>Fecha Inicial</t>
  </si>
  <si>
    <t>Fecha Final</t>
  </si>
  <si>
    <t>Centro gestor</t>
  </si>
  <si>
    <t>Fecha Registro</t>
  </si>
  <si>
    <t>Tipo de compromiso</t>
  </si>
  <si>
    <t>Compromiso</t>
  </si>
  <si>
    <t>No. Compromiso</t>
  </si>
  <si>
    <t>Plazo (Días)</t>
  </si>
  <si>
    <t>Forma Pago</t>
  </si>
  <si>
    <t>Descripción</t>
  </si>
  <si>
    <t>Número de CDP</t>
  </si>
  <si>
    <t>Número de CRP</t>
  </si>
  <si>
    <t>Objeto</t>
  </si>
  <si>
    <t>Rubro</t>
  </si>
  <si>
    <t>Descripción del Rubro</t>
  </si>
  <si>
    <t>Fondos</t>
  </si>
  <si>
    <t>Descripcion del Fondo</t>
  </si>
  <si>
    <t>Cod.Concepto Gasto</t>
  </si>
  <si>
    <t>Decripción Concepto Gasto</t>
  </si>
  <si>
    <t>Elemento PEP</t>
  </si>
  <si>
    <t>Grafo</t>
  </si>
  <si>
    <t>Texto Id Proyecto</t>
  </si>
  <si>
    <t>Modalidad de selección</t>
  </si>
  <si>
    <t>Descripcion Mod. Selec</t>
  </si>
  <si>
    <t>BP Beneficiario</t>
  </si>
  <si>
    <t>Tipo Doc. BP Beneficiario</t>
  </si>
  <si>
    <t>Número Doc. BP Beneficiario</t>
  </si>
  <si>
    <t>Nombre BP Beneficiario</t>
  </si>
  <si>
    <t>Valor CRP</t>
  </si>
  <si>
    <t>Anulaciones</t>
  </si>
  <si>
    <t>Reintegros</t>
  </si>
  <si>
    <t>Valor Neto</t>
  </si>
  <si>
    <t>Autorizacion giro</t>
  </si>
  <si>
    <t>Com.Sin.Aut.Giro</t>
  </si>
  <si>
    <t>N° Interno CRP</t>
  </si>
  <si>
    <t>N° Posición CRP</t>
  </si>
  <si>
    <t>N° Interno CDP</t>
  </si>
  <si>
    <t>N° Posición CDP</t>
  </si>
  <si>
    <t>Fecha de entrada</t>
  </si>
  <si>
    <t>Proyecto</t>
  </si>
  <si>
    <t>Honorarios</t>
  </si>
  <si>
    <t>Fecha inicio cto</t>
  </si>
  <si>
    <t>Fecha final cto</t>
  </si>
  <si>
    <t>Dependencia</t>
  </si>
  <si>
    <t>prog.ago (giro sep)</t>
  </si>
  <si>
    <t>giros.sep</t>
  </si>
  <si>
    <t>prog.sep (giro oct)</t>
  </si>
  <si>
    <t>giros.oct</t>
  </si>
  <si>
    <t>prog.oct (giro nov)</t>
  </si>
  <si>
    <t>giros.nov</t>
  </si>
  <si>
    <t>prog.nov (giro dic)</t>
  </si>
  <si>
    <t>giros.dic</t>
  </si>
  <si>
    <t>prog.dic (giro ene)</t>
  </si>
  <si>
    <t>giros.ene</t>
  </si>
  <si>
    <t>saldo a liberar (2do pago / liberación)</t>
  </si>
  <si>
    <t>Total Giros</t>
  </si>
  <si>
    <t>META 1</t>
  </si>
  <si>
    <t>META 2</t>
  </si>
  <si>
    <t>META 3</t>
  </si>
  <si>
    <t>META 4</t>
  </si>
  <si>
    <t>META 5</t>
  </si>
  <si>
    <t>0121-01</t>
  </si>
  <si>
    <t>12</t>
  </si>
  <si>
    <t>CONTRATO DE PRESTACION DE SERVICIOS</t>
  </si>
  <si>
    <t>1040</t>
  </si>
  <si>
    <t>159</t>
  </si>
  <si>
    <t>02</t>
  </si>
  <si>
    <t>ORDENES DE PAGO</t>
  </si>
  <si>
    <t>Prestar los servicios de apoyo logístico para atender las actividades misionales y/o de apoyo que adelante la Secretaría Distrital de la Mujer en cumplimiento de sus funciones, de conformidad con el anexo técnico y la oferta presentada por el contratista.</t>
  </si>
  <si>
    <t>O23011745022024028908032</t>
  </si>
  <si>
    <t>Documentos de lineamientos técnicos</t>
  </si>
  <si>
    <t>1-100-F001</t>
  </si>
  <si>
    <t>VA-Recursos distrito</t>
  </si>
  <si>
    <t>O232020200885961 Servicios de organización y asistencia de convenciones</t>
  </si>
  <si>
    <t>Servicios de organización y asistencia de convenciones</t>
  </si>
  <si>
    <t>PM/0121/0108/45020320289</t>
  </si>
  <si>
    <t/>
  </si>
  <si>
    <t>Servicio de promoción de la garantía de derechos</t>
  </si>
  <si>
    <t>01</t>
  </si>
  <si>
    <t>LICITACIÓN PÚBLICA</t>
  </si>
  <si>
    <t>1000629251</t>
  </si>
  <si>
    <t>NIT</t>
  </si>
  <si>
    <t>900391059</t>
  </si>
  <si>
    <t>QUINTA GENERACION SAS</t>
  </si>
  <si>
    <t>Subsecretaría del Cuidado y Políticas de Igualdad</t>
  </si>
  <si>
    <t>O232020200885961</t>
  </si>
  <si>
    <t>145</t>
  </si>
  <si>
    <t>CONTRATO DE PRESTACION DE SERVICIOS PROFESIONALES</t>
  </si>
  <si>
    <t>151</t>
  </si>
  <si>
    <t>Prestar servicios profesionales para coordinar la planificación, ejecución, seguimiento y evaluación de acciones de la Estrategia de Transformación Cultural de la Secretaría Distrital de la Mujer en intervenciones que promuevan la prevención de las violencias basadas en género y la redistribución de los trabajos de cuidado no remunerados, para la promoción de los derechos humanos de las mujeres.</t>
  </si>
  <si>
    <t>O232020200991122</t>
  </si>
  <si>
    <t>Servicios de la administración pública relacionados con la salud</t>
  </si>
  <si>
    <t>10</t>
  </si>
  <si>
    <t>CONTRATACIÓN DIRECTA</t>
  </si>
  <si>
    <t>1000135892</t>
  </si>
  <si>
    <t>CC</t>
  </si>
  <si>
    <t>80283677</t>
  </si>
  <si>
    <t>JUAN DAVID CORTES GONZALEZ</t>
  </si>
  <si>
    <t>Prestar servicios profesionales a la Subsecretaría del Cuidado y Políticas de Igualdad en la coordinación de acciones que conlleven a la consolidación y seguimiento de la información presupuestal y física de los proyectos de inversión que la componen.</t>
  </si>
  <si>
    <t>O232020200991114</t>
  </si>
  <si>
    <t>Servicios de planificación económica, social y estadística de la administración publica</t>
  </si>
  <si>
    <t>1000143764</t>
  </si>
  <si>
    <t>52737116</t>
  </si>
  <si>
    <t>ANGELA ADRIANA AVILA OSPINA</t>
  </si>
  <si>
    <t>1326</t>
  </si>
  <si>
    <t>144</t>
  </si>
  <si>
    <t>Prestar servicios profesionales de apoyo en la planificación, ejecución, seguimiento y evaluación de acciones orientadas para la redistribución de los trabajos de cuidado no remunerados, y la promoción de los derechos humanos de las mujeres, el marco de la Estrategia de Transformación Cultural de la Secretaría Distrital de la Mujer.</t>
  </si>
  <si>
    <t>1010730554</t>
  </si>
  <si>
    <t>1015436980</t>
  </si>
  <si>
    <t>MIGUEL GIOVANNY GOMEZ LOPEZ</t>
  </si>
  <si>
    <t>1327</t>
  </si>
  <si>
    <t>Prestar servicios profesionales de apoyo en la planificación, ejecución, seguimiento y evaluación de acciones orientadas a la prevención de violencias basadas en género, y la promoción de derechos humanos de las mujeres, en el marco de la Estrategia de Transformación Cultural de la Secretaría Distrital de la Mujer.</t>
  </si>
  <si>
    <t>1008938488</t>
  </si>
  <si>
    <t>1014248098</t>
  </si>
  <si>
    <t>PAULA ANDREA MORALES LEAL</t>
  </si>
  <si>
    <t>127</t>
  </si>
  <si>
    <t>Prestar servicios profesionales para apoyar a la Subsecretaría del Cuidado y Políticas de Igualdad en el fortalecimiento de capacidades ciudadanas de las instancias priorizadas de la Secretaría Distrital de la Mujer.</t>
  </si>
  <si>
    <t>1009799962</t>
  </si>
  <si>
    <t>1085274653</t>
  </si>
  <si>
    <t>MARIA CONSTANZA LOPEZ MEJIA</t>
  </si>
  <si>
    <t>1383</t>
  </si>
  <si>
    <t>148</t>
  </si>
  <si>
    <t>Prestar servicios profesionales a la Subsecretaría del cuidado y de Políticas de Igualdad para la articulación de acciones con concejalas y concejales en asuntos de mujeres y género; así como, acompañar técnicamente los proyectos de acuerdo y/o proyectos de ley que se tramiten en el Concejo de Bogotá y el Congreso de la República.</t>
  </si>
  <si>
    <t>1011938666</t>
  </si>
  <si>
    <t>1018486213</t>
  </si>
  <si>
    <t>MARIA ISABEL PARRA ROJAS</t>
  </si>
  <si>
    <t>1384</t>
  </si>
  <si>
    <t>Prestar servicios profesionales para apoyar la implementación de alianzas estratégicas con actores diversos, que le permitan, faciliten y apoyen a la Secretaría Distrital de la Mujer el cumplimiento de los logros correspondientes al sector mujeres.</t>
  </si>
  <si>
    <t>1012067035</t>
  </si>
  <si>
    <t>1019088049</t>
  </si>
  <si>
    <t>LAURA  PEREZ CAMACHO</t>
  </si>
  <si>
    <t>Prestar servicios profesionales para apoyar a la Subsecretaría del Cuidado y Políticas de Igualdad en el fortalecimiento de capacidades ciudadanas del Consejo Consultivo de Mujeres.</t>
  </si>
  <si>
    <t>1010757501</t>
  </si>
  <si>
    <t>1018454387</t>
  </si>
  <si>
    <t>JINETH LILIANA GARCIA LARROTTA</t>
  </si>
  <si>
    <t>1634</t>
  </si>
  <si>
    <t>137</t>
  </si>
  <si>
    <t>Prestar servicios profesionales de apoyo en la planificación, ejecución, seguimiento y evaluación de la Estrategia de Transformación Cultural de la Secretaría Distrital de la Mujer.</t>
  </si>
  <si>
    <t>1000579039</t>
  </si>
  <si>
    <t>1014239350</t>
  </si>
  <si>
    <t>NATHALIE VIVIANA CONTRERAS TELLEZ</t>
  </si>
  <si>
    <t>1667</t>
  </si>
  <si>
    <t>133</t>
  </si>
  <si>
    <t>Prestar servicios profesionales para acompañar en la gestión operativa y pedagógica de intervenciones que promuevan la redistribución de los trabajos de cuidado no remunerados, la prevención de violencias y la promoción de los derechos de las mujeres de la Estrategia de Transformación Cultural de la Secretaría Distrital de la Mujer.</t>
  </si>
  <si>
    <t>1000142728</t>
  </si>
  <si>
    <t>1018453055</t>
  </si>
  <si>
    <t>LUZ MAGNOLIA TIRADO CUELLAR</t>
  </si>
  <si>
    <t>1668</t>
  </si>
  <si>
    <t>1009792112</t>
  </si>
  <si>
    <t>1018487742</t>
  </si>
  <si>
    <t>SHIRLY VANESSA SANCHEZ MARTINEZ</t>
  </si>
  <si>
    <t>1672</t>
  </si>
  <si>
    <t>1000198316</t>
  </si>
  <si>
    <t>1032379438</t>
  </si>
  <si>
    <t>LUIS CARLOS VEGA BARRETO</t>
  </si>
  <si>
    <t>1673</t>
  </si>
  <si>
    <t>1012069635</t>
  </si>
  <si>
    <t>1144074564</t>
  </si>
  <si>
    <t>JOSE LUIS GUTIERREZ CRUZ</t>
  </si>
  <si>
    <t>1674</t>
  </si>
  <si>
    <t>1008943936</t>
  </si>
  <si>
    <t>1030578775</t>
  </si>
  <si>
    <t>JENY PAOLA FUQUENE SALAS</t>
  </si>
  <si>
    <t>1690</t>
  </si>
  <si>
    <t>130</t>
  </si>
  <si>
    <t>1013043536</t>
  </si>
  <si>
    <t>1233897607</t>
  </si>
  <si>
    <t>FELIPE  ROJAS BARRERA</t>
  </si>
  <si>
    <t>1691</t>
  </si>
  <si>
    <t>132</t>
  </si>
  <si>
    <t>1005558136</t>
  </si>
  <si>
    <t>1015394684</t>
  </si>
  <si>
    <t>HUGO MAURICIO ZAMBRANO GALVIS</t>
  </si>
  <si>
    <t>1692</t>
  </si>
  <si>
    <t>1013640651</t>
  </si>
  <si>
    <t>1020816925</t>
  </si>
  <si>
    <t>CATALINA  ARANGO SALGADO</t>
  </si>
  <si>
    <t>2024</t>
  </si>
  <si>
    <t>1934</t>
  </si>
  <si>
    <t>85</t>
  </si>
  <si>
    <t>Prestar servicios profesionales para apoyar a la Subsecretaría del Cuidado y Políticas de Igualdad en la coordinación de los asuntos jurídicos y contractuales relacionados con las funciones de la dependencia, así como, el acompañamiento a las demás direcciones de la subsecretaria para atender las solicitudes que se generen por parte de los organismos de control.</t>
  </si>
  <si>
    <t>VA-RECURSOS DISTRITO</t>
  </si>
  <si>
    <t>79652627</t>
  </si>
  <si>
    <t>ANDRES GIOVANNI PARDO CARVAJAL</t>
  </si>
  <si>
    <t>LÍDER TÉCNICA</t>
  </si>
  <si>
    <t>CORRESPONSABILIDAD</t>
  </si>
  <si>
    <t>ADICIÓN MARIA ISABEL PARRA</t>
  </si>
  <si>
    <t>Cumplido</t>
  </si>
  <si>
    <t>Operador logístico</t>
  </si>
  <si>
    <t>1328</t>
  </si>
  <si>
    <t>María Constanza López Mejía</t>
  </si>
  <si>
    <t>Laura Pérez Camaho</t>
  </si>
  <si>
    <t>1275</t>
  </si>
  <si>
    <t>Juan David Cortés</t>
  </si>
  <si>
    <t>1277</t>
  </si>
  <si>
    <t xml:space="preserve">Angela Adriana Avila </t>
  </si>
  <si>
    <t>1428</t>
  </si>
  <si>
    <t>Jineth Liliana García</t>
  </si>
  <si>
    <t>Techo presupuestal</t>
  </si>
  <si>
    <t>Techo</t>
  </si>
  <si>
    <t>Comprometido (RP) a</t>
  </si>
  <si>
    <t>X comprometer</t>
  </si>
  <si>
    <t>Liberaciones sep</t>
  </si>
  <si>
    <t>Liberaciones oct</t>
  </si>
  <si>
    <t>Liberaciones nov</t>
  </si>
  <si>
    <t>Por comprometer + liberaciones</t>
  </si>
  <si>
    <t>Traslado (oct-nov)</t>
  </si>
  <si>
    <t>PROYECCIÓN RECURSOS X COMPROMETER</t>
  </si>
  <si>
    <t>Contrato (apoyo técnica investigación 1m,20d)</t>
  </si>
  <si>
    <t>Contrato (proceso elecccionario 1m,20d)</t>
  </si>
  <si>
    <t>Proyección adiciones (completar vigencia)</t>
  </si>
  <si>
    <t>Adición operador (reserva pptal)</t>
  </si>
  <si>
    <t>Proyección adiciones (reserva pptal)</t>
  </si>
  <si>
    <t>Posible saldo sin ejecutar</t>
  </si>
  <si>
    <t>Total Proyecto</t>
  </si>
  <si>
    <t>Pesos en millones</t>
  </si>
  <si>
    <t xml:space="preserve">Valor total Proyectos </t>
  </si>
  <si>
    <t>Valor total de Giros Agosto</t>
  </si>
  <si>
    <t>Valor total de Giros Septiembre</t>
  </si>
  <si>
    <t>Valor total de Giros Octubre</t>
  </si>
  <si>
    <t>Valor total de Giros Noviembre</t>
  </si>
  <si>
    <t>Valor total de Giros Diciembre (por pagar en Enero)</t>
  </si>
  <si>
    <t>Reservas 2025 (OPS)</t>
  </si>
  <si>
    <t>Saldo sin ejecutar (incluidas adiciones enero)</t>
  </si>
  <si>
    <t>CONCEPTO</t>
  </si>
  <si>
    <t>VALOR</t>
  </si>
  <si>
    <t xml:space="preserve"> CONCEPTO </t>
  </si>
  <si>
    <t xml:space="preserve"> DIAS ADICIÓN </t>
  </si>
  <si>
    <t xml:space="preserve"> VALOR  </t>
  </si>
  <si>
    <t xml:space="preserve"> PRESUPUESTO ASIGNADO 2024 </t>
  </si>
  <si>
    <t>50 días</t>
  </si>
  <si>
    <t xml:space="preserve"> VALOR COMPROMETIDO A 25/oct/2024 </t>
  </si>
  <si>
    <t>Contrato (proceso eleccionario 1m,20d)</t>
  </si>
  <si>
    <t xml:space="preserve"> SALDO POR UTILIZAR (1) </t>
  </si>
  <si>
    <t>Adición operador logístico</t>
  </si>
  <si>
    <t>60 días</t>
  </si>
  <si>
    <t xml:space="preserve"> LIBERACIONES SEGUNDO PAGO (2)* </t>
  </si>
  <si>
    <t xml:space="preserve"> SALDO DEL PROYECTO (1) + (2) = 3 </t>
  </si>
  <si>
    <t>Adición enlace alianzas despacho</t>
  </si>
  <si>
    <t>13 días</t>
  </si>
  <si>
    <t xml:space="preserve"> TRASLADO DE RECURSOS (4) </t>
  </si>
  <si>
    <t xml:space="preserve"> TOTAL</t>
  </si>
  <si>
    <t xml:space="preserve"> TOTAL, PRESUPUESTO DISPONIBLE (3) + (4) </t>
  </si>
  <si>
    <t xml:space="preserve"> MODIFICACIONES PAABS SOLICITADAS EN OCTUBRE  (quitando</t>
  </si>
  <si>
    <t xml:space="preserve"> SALDO DISPONIBLE** </t>
  </si>
  <si>
    <t>Adiciones enero 15 días, 3 personas (por aprobar)</t>
  </si>
  <si>
    <t xml:space="preserve"> POSIBLE SALDO SIN EJECUTAR AL CIERRE DE VIGENCIA </t>
  </si>
  <si>
    <t>OBJETIVOS PDD</t>
  </si>
  <si>
    <t>METAS PDD</t>
  </si>
  <si>
    <t>PROYECTO</t>
  </si>
  <si>
    <t>Cod Producto</t>
  </si>
  <si>
    <t>Producto PMR</t>
  </si>
  <si>
    <t xml:space="preserve">TIPO DE ANUALIZACIÓN </t>
  </si>
  <si>
    <t>Mujeres</t>
  </si>
  <si>
    <t xml:space="preserve">Creciente </t>
  </si>
  <si>
    <t>Infancia (Menor de 12 años)</t>
  </si>
  <si>
    <t xml:space="preserve">Discapacidad </t>
  </si>
  <si>
    <t>1. Bogotá avanza en seguridad</t>
  </si>
  <si>
    <t>1.02. Cero tolerancia a las violencias contra las mujeres y basadas en género</t>
  </si>
  <si>
    <t>37. Asegurar que el 100% de los casos de representación jurídica ejercida por la SDMujer que requieran servicios de psicología forense y acompañamiento psicosocial, accedan a los mismos.</t>
  </si>
  <si>
    <r>
      <t>8221</t>
    </r>
    <r>
      <rPr>
        <sz val="11"/>
        <color rgb="FF000000"/>
        <rFont val="Calibri"/>
        <family val="2"/>
        <scheme val="minor"/>
      </rPr>
      <t xml:space="preserve"> - Ampliación de los servicios con enfoque diferencial para la atención a mujeres que ejercen actividades sexuales pagadas (ASP) en Bogotá D.C.</t>
    </r>
  </si>
  <si>
    <t>06</t>
  </si>
  <si>
    <t>Servicios de prevención, atención y acogida para el fortalecimiento del derecho de las mujeres a una vida libre de violencias</t>
  </si>
  <si>
    <t>Mujeres, hijos e hijas</t>
  </si>
  <si>
    <t>Decreciente</t>
  </si>
  <si>
    <t>Juventud (Entre 12 y 14 años)</t>
  </si>
  <si>
    <t>38. Aumentar a (22) espacios interinstitucionales los servicios jurídicos y psicosociales dirigidos a mujeres víctimas de violencia, fortaleciendo el modelo de ruta integral y la oferta de acompañamiento psico jurídico en los Centros de Atención de Fiscalía y URIs.</t>
  </si>
  <si>
    <t>8222 - Fortalecimiento de los servicios y estrategias con enfoque diferencial en el sector público y privado que vinculen a la ciudadanía y a las mujeres en sus diferencias y diversidad en Bogotá D.C.</t>
  </si>
  <si>
    <t>07</t>
  </si>
  <si>
    <t>Servicio de información estadística en temas de género. Concertado SASP</t>
  </si>
  <si>
    <t>Intervenciones</t>
  </si>
  <si>
    <t xml:space="preserve">Constante </t>
  </si>
  <si>
    <t>Juventud (Entre 15 y 28 años)</t>
  </si>
  <si>
    <t>Indigenas</t>
  </si>
  <si>
    <t>3. Bogotá confia en su potencial</t>
  </si>
  <si>
    <t>3.17. Formación para el trabajo y acceso a oportunidades educativas</t>
  </si>
  <si>
    <t>39. Implementar en 6 casas refugio, los servicios con enfoque diferencial, brindando atención a mujeres víctimas de violencia y sus sistemas familiares dependientes. Entre otras, incluyendo una casa para mujeres de la ruralidad y campesinas y, un modelo intermedio.</t>
  </si>
  <si>
    <t>8207 - Implementación de una estrategia de comunicación para la promoción de los derechos de las mujeres, la prevención y atención de las violencias de género en Bogotá D.C.</t>
  </si>
  <si>
    <t>08</t>
  </si>
  <si>
    <t>Consultas</t>
  </si>
  <si>
    <t>Adultez (Entre 29 y 59 años)</t>
  </si>
  <si>
    <t>5. Bogotá confía en su gobierno</t>
  </si>
  <si>
    <t>3.18. Ciencia, tecnología e innovación-CTel para desarrollar nuestro potencial y promover el de nuestros vecinos regionales</t>
  </si>
  <si>
    <t>41. Garantizar la prestación de servicios socio jurídicos y psicosociales especializados, de manera ágil, clara y oportuna, al 100% de las mujeres víctimas de violencia, remitidas a través de las estrategias línea púrpura, agencia mujer, sistema de alertas tempranas y hospitales, entre otros.</t>
  </si>
  <si>
    <t>8225 - Mejoramiento del modelo de operación por procesos de la Secretaría Distrital de la Mujer en Bogotá D.C.</t>
  </si>
  <si>
    <t>09</t>
  </si>
  <si>
    <t>Servicio de educación informal</t>
  </si>
  <si>
    <t>Casas</t>
  </si>
  <si>
    <t>Mayores (Igual o superior a 60 años)</t>
  </si>
  <si>
    <t>3.20. Promoción del emprendimiento formal, equitativo e incluyente</t>
  </si>
  <si>
    <t>42. Implementar un modelo integral de prevención y atención de violencias contra las mujeres en el transporte público y en el espacio público peatonal para el encuentro, construyendo entornos seguros e incluyentes.</t>
  </si>
  <si>
    <t>8181 - Producción de Información sobre los derechos de las mujeres para potenciar la toma de decisiones en Bogotá D.C.</t>
  </si>
  <si>
    <t xml:space="preserve">	Servicio de formación para la participación ciudadana y liderazgo político.</t>
  </si>
  <si>
    <t>Personas</t>
  </si>
  <si>
    <t>5.33. Fortalecimiento institucional para un gobierno confiable</t>
  </si>
  <si>
    <t>43. Aumentar a 2 unidades de operación la estrategia Casa de Todas, una sede física y una móvil.</t>
  </si>
  <si>
    <t>8232 - Implementación de estrategias para el empoderamiento económico de las mujeres en toda su diversidad en Bogotá D.C.</t>
  </si>
  <si>
    <t>11</t>
  </si>
  <si>
    <t>Servicio de coordinación del Sistema Distrital de Cuidado  y servicios complementarios.</t>
  </si>
  <si>
    <t>Atenciones</t>
  </si>
  <si>
    <t>8190 - Desarrollo de capacidades digitales para potenciar la inclusión social de las mujeres en zonas urbanas y rurales en Bogotá D.C.</t>
  </si>
  <si>
    <t>Orientaciones y asesorías</t>
  </si>
  <si>
    <t>104. Desarrollar 1 estrategia de comunicaciones con énfasis en promoción de derechos de las mujeres, prevención de violencias en su contra y transformación cultural con enfoque de género, que permita impulsar y posicionar las acciones, actividades y programas de la SDMujer en los ámbitos internacional, nacional, distrital, local y barrial.</t>
  </si>
  <si>
    <t>8205 - Fortalecimiento de la estrategia de acogida, atención y prevención de violencias contra las mujeres en el espacio público y privado en Bogotá D.C.</t>
  </si>
  <si>
    <t>Orientaciones</t>
  </si>
  <si>
    <t>105. Alcanzar 31 manzanas de cuidado en operación fortaleciendo los servicios actuales e implementando nuevas estrategias lideradas por la SDMujer, en el marco del Sistema Distrital de Cuidado.</t>
  </si>
  <si>
    <t>8210 - Consolidación de la Estrategia de Justicia de Género como mecanismo para promover los derechos de las mujeres a una vida libre de violencias en Bogotá D.C.</t>
  </si>
  <si>
    <t>Estudios y/o investigaciones</t>
  </si>
  <si>
    <t>106. Mantener en funcionamiento el modelo de casas de igualdad de oportunidades para las mujeres en las 20 localidades, fortaleciendo la atención en los territorios urbanos y rurales.</t>
  </si>
  <si>
    <t>8200 - Implementación de las políticas públicas PPMYEG y PPASP para la garantía de los derechos de las mujeres, la transversalización del enfoque de género y la igualdad en Bogotá D.C.</t>
  </si>
  <si>
    <t>Contenidos</t>
  </si>
  <si>
    <t>107. Desarrollar 4 estrategias de empoderamiento para promover capacidades, liderazgos, participación, incidencia política y transformación de imaginarios culturales, que reproducen los estereotipos de género, en los territorios urbanos y rurales.</t>
  </si>
  <si>
    <t>8219 - Fortalecimiento a la implementación, seguimiento y coordinación del Sistema Distrital de Cuidado en Bogotá D.C.</t>
  </si>
  <si>
    <t>Casos nuevos</t>
  </si>
  <si>
    <t>108. Consolidar 1 estrategia de transversalización de la Política Pública de Mujeres y Equidad de Género (PPMYEG), en las 20 localidades, con actores territoriales para reducir las brechas de género.</t>
  </si>
  <si>
    <t>8223 - Implementación de estrategias de participación, territorialización y transversalización de la Política Pública de Mujeres y Equidad de Género a nivel local en Bogotá D.C</t>
  </si>
  <si>
    <t>Ciudadanos y ciudadanas</t>
  </si>
  <si>
    <t>192. Cualificar 9000 mujeres, en sus diferencias y diversidades, en herramientas para la autonomía económica.</t>
  </si>
  <si>
    <t>193. Articular con los 15 sectores de la administración distrital, programas y acciones orientadas a garantizar los derechos humanos de las mujeres y a mitigar la violencia económica, política, institucional y comunitaria contra las mujeres, aportando al fortalecimiento de su autonomía económica, física y social, así como, al ejercicio pleno de su ciudadanía.</t>
  </si>
  <si>
    <t>194. Desarrollar 16 estudios y/o investigaciones del Observatorio de Mujeres y Equidad de Género - OMEG- que den cuenta de la situación de derechos de las mujeres, con datos diversificados para la toma de decisiones.</t>
  </si>
  <si>
    <t>355. Lograr al menos 92 puntos del índice de Gestión Pública Distrital.</t>
  </si>
  <si>
    <t>400. Formar 27.000 mujeres en habilidades digitales a través de los Centros de Inclusión Digital – CID, en zonas rurales y urbanas.</t>
  </si>
  <si>
    <t>432. Vincular a 9000 mujeres en estrategias de empoderamiento social y político que aportan a la promoción y garantía de sus derechos.</t>
  </si>
  <si>
    <t>INDICADORES PDD</t>
  </si>
  <si>
    <t>9. Número de mujeres formadas en los Centros de Inclusión Digital</t>
  </si>
  <si>
    <t>10. Porcentaje de avance en el diseño y acompañamiento de la estrategia de emprendimiento y empleabilidad para la autonomía económica de las mujeres</t>
  </si>
  <si>
    <t>11. Número de localidades con el modelo de atención Casas de Igualdad de Oportunidades para las mujeres implementado</t>
  </si>
  <si>
    <t>667. Número de mujeres vinculadas a procesos de información, sensibilización y campañas de difusión de sus derechos</t>
  </si>
  <si>
    <t>668. Número de orientaciones y acompañamientos psicosociales a mujeres</t>
  </si>
  <si>
    <t>669. Número de orientaciones y asesorías socio jurídicas a mujeres víctimas de violencias</t>
  </si>
  <si>
    <t>39. Número de sectores que implementan acciones afirmativas con enfoque diferencial para desarrollar capacidades y promover los derechos de las mujeres en todas sus diversidades</t>
  </si>
  <si>
    <t>40. Política Pública de Mujeres y Equidad de Género implementada en articulación con los sectores responsables en su Plan de Acción</t>
  </si>
  <si>
    <t>41. Estrategia de transversalización implementada en los 15 sectores de la Administración Distrital</t>
  </si>
  <si>
    <t>54. Estrategia pedagógica para la valoración, la resignificación, el reconocimiento y la redistribución del trabajo de cuidado no remunerado implementada</t>
  </si>
  <si>
    <t>55. Porcentaje de avance en la definición técnica y coordinación para la implementación del sistema distrital de cuidado</t>
  </si>
  <si>
    <t>58. Estrategias de manzanas del cuidado y unidades móviles de servicios del cuidado implementadas</t>
  </si>
  <si>
    <t>324. Efectividad en la atención de la Línea Púrpura</t>
  </si>
  <si>
    <t>325. Número de Casas Refugio en operación</t>
  </si>
  <si>
    <t>326. Número de estrategias de comunicación y divulgación con enfoque de género, diferencial e interseccional diseñadas e implementadas</t>
  </si>
  <si>
    <t>327. Número de mujeres atendidas con perspectiva de género y derechos de las mujeres a través de Casas de Justicia y espacios de atención integral de la Fiscalía (CAPIV, CAIVAS)</t>
  </si>
  <si>
    <t>328. Número de URIs con estrategia de atención semi permanente para la protección de las mujeres víctimas de violencia y acceso a la justicia implementada</t>
  </si>
  <si>
    <t>329. Acciones estratégicas realizadas en el marco de los componentes del Sistema SOFIA</t>
  </si>
  <si>
    <t>487. Porcentaje de avance en la creación y fortalecimiento de infraestructura tecnológica del OMEG para la articulación con los sectores distritales</t>
  </si>
  <si>
    <t>489. Investigaciones realizadas</t>
  </si>
  <si>
    <t>431. Porcentaje de instancias con participación paritaria en el Distrito</t>
  </si>
  <si>
    <t>459. Número de mujeres vinculadas a procesos de formación para el desarrollo de capacidades de incidencia, liderazgo, empoderamiento y participación política de las mujeres</t>
  </si>
  <si>
    <t>461. Documento de lineamiento de presupuesto participativo sensible al género, formulado y adoptado</t>
  </si>
  <si>
    <t>567. Número de buenas prácticas de gestión administrativa y organizacionales implementadas</t>
  </si>
  <si>
    <r>
      <t xml:space="preserve">Agosto 
https://secretariadistritald.sharepoint.com/:w:/s/BogotCaminaSegura/EQigQQA7-5BArSTr3R6K9ZsBghwEozjCVdizdPgRIei2EA?e=6Ksayw
</t>
    </r>
    <r>
      <rPr>
        <sz val="11"/>
        <color rgb="FF000000"/>
        <rFont val="Calibri"/>
      </rPr>
      <t xml:space="preserve">Septiembre
https://secretariadistritald.sharepoint.com/:f:/s/BogotCaminaSegura/Eq1MQ8ogKcpDkidr945ED4AB2o7M1vT1XjghA5Q5tgZwwQ?e=mJoZdi
</t>
    </r>
    <r>
      <rPr>
        <u/>
        <sz val="11"/>
        <color rgb="FF000000"/>
        <rFont val="Calibri"/>
      </rPr>
      <t>Octubre
https://secretariadistritald.sharepoint.com/:b:/s/BogotCaminaSegura/EcyNoP52K05HjD-sADHBVYUBJ5ugjzMwysnjFd0jLJzbyQ?e=IGtbfJ
Noviembre
https://secretariadistritald.sharepoint.com/:f:/s/BogotCaminaSegura/Er0XtmO2hDtFtrdH1frkAvwBBafI2FSwJpq1OzcR2zYD4A?e=O5z5SA</t>
    </r>
  </si>
  <si>
    <t>Se hace necesaria la modificación del valor apropiado para tres (3) de las cuatro (4) metas del proyecto que tuvieron recursos en la presente vigencia, toda vez que se hizo necesaria la adición de Contratos de Prestación de Servicios para garantizar la continuidad de la gestión de la Subsecretaría durante el paso de una vigencia a la otra, tanto en las actividades administrativas como en la misionales, es decir, continuar la atención en la estrategia de transformación cultural.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</si>
</sst>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1" formatCode="_-* #,##0_-;\-* #,##0_-;_-* &quot;-&quot;_-;_-@_-"/>
    <numFmt numFmtId="164" formatCode="#,##0\ &quot;€&quot;;\-#,##0\ &quot;€&quot;"/>
    <numFmt numFmtId="165" formatCode="_-* #,##0\ &quot;€&quot;_-;\-* #,##0\ &quot;€&quot;_-;_-* &quot;-&quot;\ &quot;€&quot;_-;_-@_-"/>
    <numFmt numFmtId="166" formatCode="_-* #,##0.00\ &quot;€&quot;_-;\-* #,##0.00\ &quot;€&quot;_-;_-* &quot;-&quot;??\ &quot;€&quot;_-;_-@_-"/>
    <numFmt numFmtId="167" formatCode="&quot;$&quot;\ #,##0;[Red]\-&quot;$&quot;\ #,##0"/>
    <numFmt numFmtId="168" formatCode="&quot;$&quot;\ #,##0.00;[Red]\-&quot;$&quot;\ #,##0.00"/>
    <numFmt numFmtId="169" formatCode="_-&quot;$&quot;\ * #,##0.00_-;\-&quot;$&quot;\ * #,##0.00_-;_-&quot;$&quot;\ * &quot;-&quot;??_-;_-@_-"/>
    <numFmt numFmtId="170" formatCode="_-&quot;$&quot;* #,##0.00_-;\-&quot;$&quot;* #,##0.00_-;_-&quot;$&quot;* &quot;-&quot;??_-;_-@_-"/>
    <numFmt numFmtId="171" formatCode="_-* #,##0\ _€_-;\-* #,##0\ _€_-;_-* &quot;-&quot;\ _€_-;_-@_-"/>
    <numFmt numFmtId="172" formatCode="_-* #,##0.00\ _€_-;\-* #,##0.00\ _€_-;_-* &quot;-&quot;??\ _€_-;_-@_-"/>
    <numFmt numFmtId="173" formatCode="_(&quot;$&quot;\ * #,##0.00_);_(&quot;$&quot;\ * \(#,##0.00\);_(&quot;$&quot;\ * &quot;-&quot;??_);_(@_)"/>
    <numFmt numFmtId="174" formatCode="_ &quot;$&quot;\ * #,##0.00_ ;_ &quot;$&quot;\ * \-#,##0.00_ ;_ &quot;$&quot;\ * &quot;-&quot;??_ ;_ @_ "/>
    <numFmt numFmtId="175" formatCode="_-* #,##0\ _€_-;\-* #,##0\ _€_-;_-* &quot;-&quot;??\ _€_-;_-@_-"/>
    <numFmt numFmtId="176" formatCode="0.0%"/>
    <numFmt numFmtId="177" formatCode="#,##0;[Red]#,##0"/>
    <numFmt numFmtId="178" formatCode="_-[$$-240A]\ * #,##0.00_-;\-[$$-240A]\ * #,##0.00_-;_-[$$-240A]\ * &quot;-&quot;??_-;_-@_-"/>
    <numFmt numFmtId="179" formatCode="&quot;$&quot;\ #,##0.00"/>
    <numFmt numFmtId="180" formatCode="&quot;$&quot;\ #,##0"/>
    <numFmt numFmtId="181" formatCode="0.000"/>
    <numFmt numFmtId="182" formatCode="0.00000"/>
    <numFmt numFmtId="183" formatCode="0.0000"/>
  </numFmts>
  <fonts count="88" x14ac:knownFonts="1">
    <font>
      <sz val="11"/>
      <color theme="1"/>
      <name val="Calibri"/>
      <family val="2"/>
      <scheme val="minor"/>
    </font>
    <font>
      <sz val="11"/>
      <color indexed="8"/>
      <name val="Calibri"/>
      <family val="2"/>
    </font>
    <font>
      <sz val="10"/>
      <name val="Arial"/>
      <family val="2"/>
    </font>
    <font>
      <sz val="10"/>
      <name val="Arial Narrow"/>
      <family val="2"/>
    </font>
    <font>
      <sz val="10"/>
      <name val="Arial Narrow"/>
      <family val="2"/>
    </font>
    <font>
      <sz val="10"/>
      <color indexed="8"/>
      <name val="Tahoma"/>
      <family val="2"/>
    </font>
    <font>
      <sz val="9"/>
      <color indexed="81"/>
      <name val="Tahoma"/>
      <family val="2"/>
    </font>
    <font>
      <b/>
      <sz val="9"/>
      <color indexed="81"/>
      <name val="Tahoma"/>
      <family val="2"/>
    </font>
    <font>
      <sz val="11"/>
      <color theme="1"/>
      <name val="Calibri"/>
      <family val="2"/>
      <scheme val="minor"/>
    </font>
    <font>
      <sz val="11"/>
      <color theme="0"/>
      <name val="Calibri"/>
      <family val="2"/>
      <scheme val="minor"/>
    </font>
    <font>
      <sz val="10"/>
      <color theme="1"/>
      <name val="Verdana"/>
      <family val="2"/>
    </font>
    <font>
      <sz val="11"/>
      <color theme="1"/>
      <name val="Calibri"/>
      <family val="2"/>
    </font>
    <font>
      <b/>
      <sz val="11"/>
      <color theme="0"/>
      <name val="Calibri"/>
      <family val="2"/>
      <scheme val="minor"/>
    </font>
    <font>
      <sz val="17"/>
      <color theme="0"/>
      <name val="Calibri"/>
      <family val="2"/>
      <scheme val="minor"/>
    </font>
    <font>
      <sz val="11"/>
      <color rgb="FF0B744D"/>
      <name val="Calibri"/>
      <family val="2"/>
      <scheme val="minor"/>
    </font>
    <font>
      <sz val="11"/>
      <name val="Calibri"/>
      <family val="2"/>
      <scheme val="minor"/>
    </font>
    <font>
      <b/>
      <sz val="10"/>
      <color theme="1"/>
      <name val="Verdana"/>
      <family val="2"/>
    </font>
    <font>
      <sz val="11"/>
      <color rgb="FF9C5700"/>
      <name val="Calibri"/>
      <family val="2"/>
      <scheme val="minor"/>
    </font>
    <font>
      <sz val="42"/>
      <color theme="0"/>
      <name val="Segoe UI"/>
      <family val="2"/>
      <charset val="1"/>
    </font>
    <font>
      <sz val="11"/>
      <color theme="1"/>
      <name val="Times New Roman"/>
      <family val="1"/>
    </font>
    <font>
      <b/>
      <sz val="11"/>
      <color theme="1"/>
      <name val="Times New Roman"/>
      <family val="1"/>
    </font>
    <font>
      <sz val="11"/>
      <color rgb="FF000000"/>
      <name val="Times New Roman"/>
      <family val="1"/>
    </font>
    <font>
      <sz val="10"/>
      <color indexed="81"/>
      <name val="Tahoma"/>
      <family val="2"/>
    </font>
    <font>
      <b/>
      <sz val="10"/>
      <color theme="1"/>
      <name val="Arial"/>
      <family val="2"/>
    </font>
    <font>
      <sz val="11"/>
      <color rgb="FF000000"/>
      <name val="Aptos Narrow"/>
      <family val="2"/>
    </font>
    <font>
      <sz val="11"/>
      <color rgb="FF000000"/>
      <name val="Calibri"/>
      <family val="2"/>
      <scheme val="minor"/>
    </font>
    <font>
      <sz val="11"/>
      <name val="Arial"/>
      <family val="2"/>
    </font>
    <font>
      <b/>
      <sz val="11"/>
      <name val="Arial"/>
      <family val="2"/>
    </font>
    <font>
      <b/>
      <sz val="12"/>
      <name val="Arial"/>
      <family val="2"/>
    </font>
    <font>
      <sz val="11"/>
      <color theme="1"/>
      <name val="Arial"/>
      <family val="2"/>
    </font>
    <font>
      <b/>
      <sz val="12"/>
      <color theme="1"/>
      <name val="Arial"/>
      <family val="2"/>
    </font>
    <font>
      <b/>
      <sz val="11"/>
      <color theme="0" tint="-0.34998626667073579"/>
      <name val="Arial"/>
      <family val="2"/>
    </font>
    <font>
      <b/>
      <sz val="11"/>
      <color theme="1"/>
      <name val="Arial"/>
      <family val="2"/>
    </font>
    <font>
      <b/>
      <i/>
      <sz val="11"/>
      <name val="Arial"/>
      <family val="2"/>
    </font>
    <font>
      <b/>
      <sz val="11"/>
      <color theme="0"/>
      <name val="Arial"/>
      <family val="2"/>
    </font>
    <font>
      <b/>
      <sz val="11"/>
      <color indexed="8"/>
      <name val="Arial"/>
      <family val="2"/>
    </font>
    <font>
      <sz val="11"/>
      <color indexed="8"/>
      <name val="Arial"/>
      <family val="2"/>
    </font>
    <font>
      <b/>
      <sz val="10"/>
      <name val="Arial"/>
      <family val="2"/>
    </font>
    <font>
      <sz val="8"/>
      <color theme="1"/>
      <name val="Calibri"/>
      <family val="2"/>
      <scheme val="minor"/>
    </font>
    <font>
      <b/>
      <sz val="8"/>
      <color theme="1"/>
      <name val="Calibri"/>
      <family val="2"/>
      <scheme val="minor"/>
    </font>
    <font>
      <sz val="8"/>
      <color theme="1"/>
      <name val="Arial"/>
      <family val="2"/>
    </font>
    <font>
      <b/>
      <sz val="8"/>
      <color theme="1"/>
      <name val="Arial"/>
      <family val="2"/>
    </font>
    <font>
      <u/>
      <sz val="11"/>
      <color theme="10"/>
      <name val="Calibri"/>
      <family val="2"/>
      <scheme val="minor"/>
    </font>
    <font>
      <sz val="11"/>
      <name val="Times New Roman"/>
      <family val="1"/>
    </font>
    <font>
      <b/>
      <sz val="8"/>
      <color rgb="FF000000"/>
      <name val="Calibri"/>
      <family val="2"/>
      <scheme val="minor"/>
    </font>
    <font>
      <sz val="8"/>
      <color rgb="FF000000"/>
      <name val="Calibri"/>
      <family val="2"/>
      <scheme val="minor"/>
    </font>
    <font>
      <sz val="10"/>
      <name val="Arial"/>
      <family val="2"/>
    </font>
    <font>
      <b/>
      <sz val="9"/>
      <name val="Arial"/>
      <family val="2"/>
    </font>
    <font>
      <b/>
      <sz val="9"/>
      <color theme="0"/>
      <name val="Arial"/>
      <family val="2"/>
    </font>
    <font>
      <b/>
      <sz val="9"/>
      <color theme="0"/>
      <name val="Calibri"/>
      <family val="2"/>
      <scheme val="minor"/>
    </font>
    <font>
      <sz val="9"/>
      <name val="Arial"/>
      <family val="2"/>
    </font>
    <font>
      <sz val="9"/>
      <color theme="5"/>
      <name val="Arial"/>
      <family val="2"/>
    </font>
    <font>
      <sz val="9"/>
      <color rgb="FF0070C0"/>
      <name val="Arial"/>
      <family val="2"/>
    </font>
    <font>
      <sz val="9"/>
      <color rgb="FF0070C0"/>
      <name val="Calibri"/>
      <family val="2"/>
    </font>
    <font>
      <b/>
      <sz val="9"/>
      <color rgb="FF0070C0"/>
      <name val="Arial"/>
      <family val="2"/>
    </font>
    <font>
      <sz val="10"/>
      <name val="Arial"/>
      <family val="2"/>
    </font>
    <font>
      <b/>
      <sz val="18"/>
      <name val="Arial"/>
      <family val="2"/>
    </font>
    <font>
      <u/>
      <sz val="11"/>
      <name val="Calibri"/>
      <family val="2"/>
      <scheme val="minor"/>
    </font>
    <font>
      <b/>
      <sz val="8"/>
      <name val="Times New Roman"/>
      <family val="1"/>
    </font>
    <font>
      <sz val="8"/>
      <name val="Times New Roman"/>
      <family val="1"/>
    </font>
    <font>
      <sz val="7"/>
      <name val="Times New Roman"/>
      <family val="1"/>
    </font>
    <font>
      <sz val="10"/>
      <name val="Times New Roman"/>
      <family val="1"/>
    </font>
    <font>
      <sz val="11"/>
      <color rgb="FF000000"/>
      <name val="Arial"/>
      <family val="2"/>
    </font>
    <font>
      <sz val="11"/>
      <color theme="1" tint="4.9989318521683403E-2"/>
      <name val="Arial"/>
      <family val="2"/>
    </font>
    <font>
      <sz val="9"/>
      <color theme="1"/>
      <name val="Arial"/>
      <family val="2"/>
    </font>
    <font>
      <sz val="9"/>
      <color theme="1"/>
      <name val="Calibri"/>
      <family val="2"/>
    </font>
    <font>
      <b/>
      <sz val="9"/>
      <color theme="1"/>
      <name val="Arial"/>
      <family val="2"/>
    </font>
    <font>
      <sz val="10"/>
      <color theme="1"/>
      <name val="Arial"/>
      <family val="2"/>
    </font>
    <font>
      <b/>
      <sz val="9"/>
      <color rgb="FF0070C0"/>
      <name val="Calibri"/>
      <family val="2"/>
    </font>
    <font>
      <b/>
      <sz val="9"/>
      <color rgb="FF7030A0"/>
      <name val="Arial"/>
      <family val="2"/>
    </font>
    <font>
      <sz val="10"/>
      <color rgb="FFFF0000"/>
      <name val="Arial"/>
      <family val="2"/>
    </font>
    <font>
      <sz val="10"/>
      <color rgb="FF7030A0"/>
      <name val="Arial"/>
      <family val="2"/>
    </font>
    <font>
      <sz val="9"/>
      <color rgb="FF7030A0"/>
      <name val="Arial"/>
      <family val="2"/>
    </font>
    <font>
      <b/>
      <sz val="9"/>
      <color rgb="FFFF0000"/>
      <name val="Arial"/>
      <family val="2"/>
    </font>
    <font>
      <b/>
      <sz val="9"/>
      <color rgb="FF000000"/>
      <name val="Aptos"/>
      <family val="2"/>
    </font>
    <font>
      <sz val="9"/>
      <color rgb="FF000000"/>
      <name val="Aptos"/>
      <family val="2"/>
    </font>
    <font>
      <sz val="7"/>
      <color theme="1"/>
      <name val="Arial"/>
      <family val="2"/>
    </font>
    <font>
      <sz val="8"/>
      <name val="Arial"/>
      <family val="2"/>
    </font>
    <font>
      <b/>
      <sz val="9"/>
      <color theme="1"/>
      <name val="Calibri"/>
      <family val="2"/>
    </font>
    <font>
      <sz val="10"/>
      <color rgb="FF0070C0"/>
      <name val="Arial"/>
      <family val="2"/>
    </font>
    <font>
      <sz val="9"/>
      <color rgb="FF7030A0"/>
      <name val="Calibri"/>
      <family val="2"/>
    </font>
    <font>
      <b/>
      <sz val="11"/>
      <color rgb="FF000000"/>
      <name val="Aptos Narrow"/>
      <family val="2"/>
    </font>
    <font>
      <b/>
      <sz val="11"/>
      <name val="Aptos Narrow"/>
      <family val="2"/>
    </font>
    <font>
      <sz val="11"/>
      <name val="Aptos Narrow"/>
      <family val="2"/>
    </font>
    <font>
      <b/>
      <sz val="11"/>
      <color rgb="FFA02B93"/>
      <name val="Aptos Narrow"/>
      <family val="2"/>
    </font>
    <font>
      <u/>
      <sz val="11"/>
      <color rgb="FF000000"/>
      <name val="Calibri"/>
    </font>
    <font>
      <sz val="11"/>
      <color rgb="FF000000"/>
      <name val="Calibri"/>
    </font>
    <font>
      <sz val="11"/>
      <color rgb="FF000000"/>
      <name val="Arial"/>
      <charset val="1"/>
    </font>
  </fonts>
  <fills count="41">
    <fill>
      <patternFill patternType="none"/>
    </fill>
    <fill>
      <patternFill patternType="gray125"/>
    </fill>
    <fill>
      <patternFill patternType="solid">
        <fgColor indexed="9"/>
        <bgColor indexed="64"/>
      </patternFill>
    </fill>
    <fill>
      <patternFill patternType="solid">
        <fgColor theme="9" tint="0.79998168889431442"/>
        <bgColor indexed="65"/>
      </patternFill>
    </fill>
    <fill>
      <patternFill patternType="solid">
        <fgColor theme="9" tint="0.79998168889431442"/>
        <bgColor theme="9" tint="0.79998168889431442"/>
      </patternFill>
    </fill>
    <fill>
      <patternFill patternType="solid">
        <fgColor rgb="FF217346"/>
        <bgColor indexed="64"/>
      </patternFill>
    </fill>
    <fill>
      <patternFill patternType="solid">
        <fgColor theme="9"/>
      </patternFill>
    </fill>
    <fill>
      <patternFill patternType="solid">
        <fgColor rgb="FFDBE5F1"/>
        <bgColor indexed="64"/>
      </patternFill>
    </fill>
    <fill>
      <patternFill patternType="solid">
        <fgColor rgb="FFFFEB9C"/>
      </patternFill>
    </fill>
    <fill>
      <patternFill patternType="solid">
        <fgColor theme="0"/>
        <bgColor indexed="64"/>
      </patternFill>
    </fill>
    <fill>
      <patternFill patternType="solid">
        <fgColor theme="7" tint="0.59999389629810485"/>
        <bgColor indexed="64"/>
      </patternFill>
    </fill>
    <fill>
      <patternFill patternType="solid">
        <fgColor rgb="FFDDDDDD"/>
        <bgColor indexed="64"/>
      </patternFill>
    </fill>
    <fill>
      <patternFill patternType="solid">
        <fgColor theme="0" tint="-0.14999847407452621"/>
        <bgColor indexed="64"/>
      </patternFill>
    </fill>
    <fill>
      <patternFill patternType="solid">
        <fgColor theme="7" tint="0.7999816888943144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499984740745262"/>
        <bgColor indexed="64"/>
      </patternFill>
    </fill>
    <fill>
      <patternFill patternType="solid">
        <fgColor theme="3" tint="0.39997558519241921"/>
        <bgColor indexed="64"/>
      </patternFill>
    </fill>
    <fill>
      <patternFill patternType="solid">
        <fgColor theme="4" tint="0.79998168889431442"/>
        <bgColor indexed="64"/>
      </patternFill>
    </fill>
    <fill>
      <patternFill patternType="solid">
        <fgColor rgb="FFFFFFCC"/>
        <bgColor rgb="FFFFFFCC"/>
      </patternFill>
    </fill>
    <fill>
      <patternFill patternType="solid">
        <fgColor rgb="FFFF6699"/>
        <bgColor indexed="64"/>
      </patternFill>
    </fill>
    <fill>
      <patternFill patternType="solid">
        <fgColor rgb="FFC6D9F0"/>
        <bgColor rgb="FFC6D9F0"/>
      </patternFill>
    </fill>
    <fill>
      <patternFill patternType="solid">
        <fgColor rgb="FFFDE9D9"/>
        <bgColor rgb="FFFDE9D9"/>
      </patternFill>
    </fill>
    <fill>
      <patternFill patternType="solid">
        <fgColor rgb="FFF79646"/>
        <bgColor rgb="FFF79646"/>
      </patternFill>
    </fill>
    <fill>
      <patternFill patternType="solid">
        <fgColor rgb="FFFFFFFF"/>
        <bgColor rgb="FF000000"/>
      </patternFill>
    </fill>
    <fill>
      <patternFill patternType="solid">
        <fgColor rgb="FFCCC0DA"/>
        <bgColor rgb="FF000000"/>
      </patternFill>
    </fill>
    <fill>
      <patternFill patternType="solid">
        <fgColor rgb="FFFCD5B4"/>
        <bgColor rgb="FF000000"/>
      </patternFill>
    </fill>
    <fill>
      <patternFill patternType="solid">
        <fgColor indexed="22"/>
        <bgColor indexed="64"/>
      </patternFill>
    </fill>
    <fill>
      <patternFill patternType="solid">
        <fgColor theme="5" tint="0.59999389629810485"/>
        <bgColor indexed="64"/>
      </patternFill>
    </fill>
    <fill>
      <patternFill patternType="solid">
        <fgColor rgb="FF0070C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00B0F0"/>
        <bgColor indexed="64"/>
      </patternFill>
    </fill>
    <fill>
      <patternFill patternType="solid">
        <fgColor rgb="FFFFFF00"/>
        <bgColor indexed="64"/>
      </patternFill>
    </fill>
    <fill>
      <patternFill patternType="solid">
        <fgColor theme="5" tint="0.39997558519241921"/>
        <bgColor indexed="64"/>
      </patternFill>
    </fill>
    <fill>
      <patternFill patternType="solid">
        <fgColor rgb="FF92D050"/>
        <bgColor indexed="64"/>
      </patternFill>
    </fill>
    <fill>
      <patternFill patternType="solid">
        <fgColor rgb="FF66FFCC"/>
        <bgColor indexed="64"/>
      </patternFill>
    </fill>
    <fill>
      <patternFill patternType="solid">
        <fgColor rgb="FFD0D0D0"/>
        <bgColor indexed="64"/>
      </patternFill>
    </fill>
    <fill>
      <patternFill patternType="solid">
        <fgColor rgb="FFFFFFFF"/>
        <bgColor indexed="64"/>
      </patternFill>
    </fill>
    <fill>
      <patternFill patternType="solid">
        <fgColor rgb="FFFBE2D5"/>
        <bgColor indexed="64"/>
      </patternFill>
    </fill>
  </fills>
  <borders count="102">
    <border>
      <left/>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medium">
        <color indexed="64"/>
      </bottom>
      <diagonal/>
    </border>
    <border>
      <left/>
      <right/>
      <top style="thin">
        <color theme="9" tint="0.39994506668294322"/>
      </top>
      <bottom style="thin">
        <color theme="9" tint="0.39994506668294322"/>
      </bottom>
      <diagonal/>
    </border>
    <border>
      <left/>
      <right style="thin">
        <color theme="9" tint="0.39991454817346722"/>
      </right>
      <top/>
      <bottom style="thin">
        <color theme="9" tint="0.39991454817346722"/>
      </bottom>
      <diagonal/>
    </border>
    <border>
      <left style="thin">
        <color theme="9" tint="0.39994506668294322"/>
      </left>
      <right/>
      <top/>
      <bottom style="thin">
        <color theme="9" tint="0.39991454817346722"/>
      </bottom>
      <diagonal/>
    </border>
    <border>
      <left style="medium">
        <color indexed="64"/>
      </left>
      <right style="medium">
        <color theme="0"/>
      </right>
      <top style="medium">
        <color indexed="64"/>
      </top>
      <bottom style="medium">
        <color theme="0"/>
      </bottom>
      <diagonal/>
    </border>
    <border>
      <left style="medium">
        <color theme="0"/>
      </left>
      <right/>
      <top style="medium">
        <color indexed="64"/>
      </top>
      <bottom style="medium">
        <color indexed="64"/>
      </bottom>
      <diagonal/>
    </border>
    <border>
      <left style="medium">
        <color theme="0"/>
      </left>
      <right/>
      <top/>
      <bottom style="medium">
        <color theme="0"/>
      </bottom>
      <diagonal/>
    </border>
    <border>
      <left style="medium">
        <color theme="0"/>
      </left>
      <right/>
      <top/>
      <bottom/>
      <diagonal/>
    </border>
    <border>
      <left style="thin">
        <color indexed="64"/>
      </left>
      <right style="medium">
        <color indexed="64"/>
      </right>
      <top style="thin">
        <color indexed="64"/>
      </top>
      <bottom/>
      <diagonal/>
    </border>
    <border>
      <left/>
      <right style="thin">
        <color indexed="64"/>
      </right>
      <top style="medium">
        <color indexed="64"/>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auto="1"/>
      </left>
      <right style="thin">
        <color rgb="FF000000"/>
      </right>
      <top style="medium">
        <color auto="1"/>
      </top>
      <bottom/>
      <diagonal/>
    </border>
    <border>
      <left style="thin">
        <color rgb="FF000000"/>
      </left>
      <right style="thin">
        <color rgb="FF000000"/>
      </right>
      <top style="medium">
        <color auto="1"/>
      </top>
      <bottom/>
      <diagonal/>
    </border>
    <border>
      <left style="thin">
        <color rgb="FF000000"/>
      </left>
      <right/>
      <top style="medium">
        <color auto="1"/>
      </top>
      <bottom style="thin">
        <color rgb="FF000000"/>
      </bottom>
      <diagonal/>
    </border>
    <border>
      <left/>
      <right/>
      <top style="medium">
        <color auto="1"/>
      </top>
      <bottom style="thin">
        <color rgb="FF000000"/>
      </bottom>
      <diagonal/>
    </border>
    <border>
      <left/>
      <right style="medium">
        <color auto="1"/>
      </right>
      <top style="medium">
        <color auto="1"/>
      </top>
      <bottom style="thin">
        <color rgb="FF000000"/>
      </bottom>
      <diagonal/>
    </border>
    <border>
      <left style="medium">
        <color auto="1"/>
      </left>
      <right style="thin">
        <color rgb="FF000000"/>
      </right>
      <top/>
      <bottom style="thin">
        <color rgb="FF000000"/>
      </bottom>
      <diagonal/>
    </border>
    <border>
      <left style="thin">
        <color rgb="FF000000"/>
      </left>
      <right style="medium">
        <color auto="1"/>
      </right>
      <top style="thin">
        <color rgb="FF000000"/>
      </top>
      <bottom style="thin">
        <color rgb="FF000000"/>
      </bottom>
      <diagonal/>
    </border>
    <border>
      <left style="medium">
        <color auto="1"/>
      </left>
      <right style="thin">
        <color rgb="FF000000"/>
      </right>
      <top style="thin">
        <color rgb="FF000000"/>
      </top>
      <bottom/>
      <diagonal/>
    </border>
    <border>
      <left style="thin">
        <color rgb="FF000000"/>
      </left>
      <right style="thin">
        <color rgb="FF000000"/>
      </right>
      <top style="thin">
        <color rgb="FF000000"/>
      </top>
      <bottom style="medium">
        <color auto="1"/>
      </bottom>
      <diagonal/>
    </border>
    <border>
      <left/>
      <right style="thin">
        <color rgb="FF000000"/>
      </right>
      <top style="thin">
        <color indexed="64"/>
      </top>
      <bottom/>
      <diagonal/>
    </border>
    <border>
      <left/>
      <right style="thin">
        <color rgb="FF000000"/>
      </right>
      <top/>
      <bottom style="thin">
        <color indexed="64"/>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indexed="64"/>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style="thin">
        <color indexed="64"/>
      </right>
      <top/>
      <bottom style="medium">
        <color rgb="FF000000"/>
      </bottom>
      <diagonal/>
    </border>
    <border>
      <left/>
      <right style="medium">
        <color rgb="FF000000"/>
      </right>
      <top style="thin">
        <color indexed="64"/>
      </top>
      <bottom/>
      <diagonal/>
    </border>
    <border>
      <left/>
      <right style="medium">
        <color rgb="FF000000"/>
      </right>
      <top/>
      <bottom style="medium">
        <color rgb="FF000000"/>
      </bottom>
      <diagonal/>
    </border>
    <border>
      <left/>
      <right/>
      <top style="thin">
        <color rgb="FF000000"/>
      </top>
      <bottom/>
      <diagonal/>
    </border>
    <border>
      <left/>
      <right style="thin">
        <color rgb="FF000000"/>
      </right>
      <top style="thin">
        <color rgb="FF000000"/>
      </top>
      <bottom/>
      <diagonal/>
    </border>
    <border>
      <left style="medium">
        <color indexed="64"/>
      </left>
      <right style="medium">
        <color indexed="64"/>
      </right>
      <top style="medium">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bottom/>
      <diagonal/>
    </border>
  </borders>
  <cellStyleXfs count="40">
    <xf numFmtId="0" fontId="0" fillId="0" borderId="0"/>
    <xf numFmtId="0" fontId="8" fillId="3" borderId="62" applyNumberFormat="0" applyAlignment="0" applyProtection="0"/>
    <xf numFmtId="49" fontId="10" fillId="0" borderId="0" applyFill="0" applyBorder="0" applyProtection="0">
      <alignment horizontal="left" vertical="center"/>
    </xf>
    <xf numFmtId="0" fontId="11" fillId="4" borderId="63" applyNumberFormat="0" applyFont="0" applyFill="0" applyAlignment="0"/>
    <xf numFmtId="0" fontId="11" fillId="4" borderId="64" applyNumberFormat="0" applyFont="0" applyFill="0" applyAlignment="0"/>
    <xf numFmtId="0" fontId="13" fillId="5" borderId="0" applyNumberFormat="0" applyProtection="0">
      <alignment horizontal="left" wrapText="1" indent="4"/>
    </xf>
    <xf numFmtId="0" fontId="14" fillId="5" borderId="0" applyNumberFormat="0" applyProtection="0">
      <alignment horizontal="left" wrapText="1" indent="4"/>
    </xf>
    <xf numFmtId="0" fontId="12" fillId="6" borderId="0" applyNumberFormat="0" applyBorder="0" applyAlignment="0" applyProtection="0"/>
    <xf numFmtId="16" fontId="15" fillId="0" borderId="0" applyFont="0" applyFill="0" applyBorder="0" applyAlignment="0">
      <alignment horizontal="left"/>
    </xf>
    <xf numFmtId="0" fontId="16" fillId="7" borderId="0" applyNumberFormat="0" applyBorder="0" applyProtection="0">
      <alignment horizontal="center" vertical="center"/>
    </xf>
    <xf numFmtId="172" fontId="8" fillId="0" borderId="0" applyFont="0" applyFill="0" applyBorder="0" applyAlignment="0" applyProtection="0"/>
    <xf numFmtId="171" fontId="8" fillId="0" borderId="0" applyFont="0" applyFill="0" applyBorder="0" applyAlignment="0" applyProtection="0"/>
    <xf numFmtId="41" fontId="8" fillId="0" borderId="0" applyFont="0" applyFill="0" applyBorder="0" applyAlignment="0" applyProtection="0"/>
    <xf numFmtId="172" fontId="3" fillId="0" borderId="0" applyFont="0" applyFill="0" applyBorder="0" applyAlignment="0" applyProtection="0"/>
    <xf numFmtId="166" fontId="8" fillId="0" borderId="0" applyFont="0" applyFill="0" applyBorder="0" applyAlignment="0" applyProtection="0"/>
    <xf numFmtId="165" fontId="8" fillId="0" borderId="0" applyFont="0" applyFill="0" applyBorder="0" applyAlignment="0" applyProtection="0"/>
    <xf numFmtId="170" fontId="8" fillId="0" borderId="0" applyFont="0" applyFill="0" applyBorder="0" applyAlignment="0" applyProtection="0"/>
    <xf numFmtId="174" fontId="2" fillId="0" borderId="0" applyFont="0" applyFill="0" applyBorder="0" applyAlignment="0" applyProtection="0"/>
    <xf numFmtId="173" fontId="8" fillId="0" borderId="0" applyFont="0" applyFill="0" applyBorder="0" applyAlignment="0" applyProtection="0"/>
    <xf numFmtId="170" fontId="1" fillId="0" borderId="0" applyFont="0" applyFill="0" applyBorder="0" applyAlignment="0" applyProtection="0"/>
    <xf numFmtId="164" fontId="11" fillId="0" borderId="0" applyFont="0" applyFill="0" applyBorder="0" applyAlignment="0" applyProtection="0"/>
    <xf numFmtId="0" fontId="17" fillId="8" borderId="0" applyNumberFormat="0" applyBorder="0" applyAlignment="0" applyProtection="0"/>
    <xf numFmtId="0" fontId="2" fillId="0" borderId="0"/>
    <xf numFmtId="0" fontId="2" fillId="0" borderId="0"/>
    <xf numFmtId="0" fontId="11" fillId="0" borderId="0"/>
    <xf numFmtId="0" fontId="4" fillId="0" borderId="0"/>
    <xf numFmtId="0" fontId="3" fillId="0" borderId="0"/>
    <xf numFmtId="0" fontId="2" fillId="0" borderId="0"/>
    <xf numFmtId="9" fontId="8"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14" fillId="0" borderId="0" applyFill="0" applyBorder="0">
      <alignment wrapText="1"/>
    </xf>
    <xf numFmtId="0" fontId="9" fillId="0" borderId="0"/>
    <xf numFmtId="0" fontId="18" fillId="5" borderId="0" applyNumberFormat="0" applyBorder="0" applyProtection="0">
      <alignment horizontal="left" indent="1"/>
    </xf>
    <xf numFmtId="0" fontId="42" fillId="0" borderId="0" applyNumberFormat="0" applyFill="0" applyBorder="0" applyAlignment="0" applyProtection="0"/>
    <xf numFmtId="0" fontId="42" fillId="0" borderId="0" applyNumberFormat="0" applyFill="0" applyBorder="0" applyAlignment="0" applyProtection="0"/>
    <xf numFmtId="0" fontId="46" fillId="0" borderId="0"/>
    <xf numFmtId="0" fontId="55" fillId="0" borderId="0"/>
    <xf numFmtId="9" fontId="2" fillId="0" borderId="0" applyFont="0" applyFill="0" applyBorder="0" applyAlignment="0" applyProtection="0"/>
    <xf numFmtId="169" fontId="2" fillId="0" borderId="0" applyFont="0" applyFill="0" applyBorder="0" applyAlignment="0" applyProtection="0"/>
  </cellStyleXfs>
  <cellXfs count="908">
    <xf numFmtId="0" fontId="0" fillId="0" borderId="0" xfId="0"/>
    <xf numFmtId="0" fontId="0" fillId="0" borderId="0" xfId="0" applyAlignment="1">
      <alignment vertical="center"/>
    </xf>
    <xf numFmtId="0" fontId="19" fillId="0" borderId="0" xfId="0" applyFont="1" applyAlignment="1">
      <alignment vertical="center"/>
    </xf>
    <xf numFmtId="0" fontId="21" fillId="0" borderId="6" xfId="0" applyFont="1" applyBorder="1" applyAlignment="1">
      <alignment vertical="center"/>
    </xf>
    <xf numFmtId="0" fontId="19" fillId="0" borderId="6" xfId="0" applyFont="1" applyBorder="1" applyAlignment="1">
      <alignment horizontal="left" vertical="center"/>
    </xf>
    <xf numFmtId="0" fontId="20" fillId="0" borderId="0" xfId="0" applyFont="1" applyAlignment="1">
      <alignment horizontal="left" vertical="center"/>
    </xf>
    <xf numFmtId="0" fontId="20" fillId="10" borderId="6" xfId="0" applyFont="1" applyFill="1" applyBorder="1" applyAlignment="1">
      <alignment vertical="center"/>
    </xf>
    <xf numFmtId="0" fontId="19" fillId="0" borderId="0" xfId="0" applyFont="1" applyAlignment="1">
      <alignment horizontal="left" vertical="center"/>
    </xf>
    <xf numFmtId="0" fontId="0" fillId="0" borderId="6" xfId="0" applyBorder="1"/>
    <xf numFmtId="0" fontId="23" fillId="18" borderId="58" xfId="0" applyFont="1" applyFill="1" applyBorder="1" applyAlignment="1">
      <alignment horizontal="center" vertical="center"/>
    </xf>
    <xf numFmtId="0" fontId="23" fillId="18" borderId="69" xfId="0" applyFont="1" applyFill="1" applyBorder="1" applyAlignment="1">
      <alignment horizontal="left" vertical="center" wrapText="1"/>
    </xf>
    <xf numFmtId="0" fontId="23" fillId="0" borderId="6" xfId="0" applyFont="1" applyBorder="1" applyAlignment="1">
      <alignment horizontal="center" vertical="center"/>
    </xf>
    <xf numFmtId="0" fontId="23" fillId="0" borderId="6" xfId="0" applyFont="1" applyBorder="1" applyAlignment="1">
      <alignment horizontal="left" vertical="center" wrapText="1"/>
    </xf>
    <xf numFmtId="0" fontId="24" fillId="0" borderId="6" xfId="0" applyFont="1" applyBorder="1"/>
    <xf numFmtId="0" fontId="0" fillId="0" borderId="12" xfId="0" applyBorder="1" applyAlignment="1">
      <alignment vertical="center"/>
    </xf>
    <xf numFmtId="0" fontId="29" fillId="0" borderId="0" xfId="0" applyFont="1" applyAlignment="1">
      <alignment vertical="center"/>
    </xf>
    <xf numFmtId="0" fontId="27" fillId="0" borderId="5" xfId="22" applyFont="1" applyBorder="1" applyAlignment="1">
      <alignment horizontal="center" vertical="center" wrapText="1"/>
    </xf>
    <xf numFmtId="0" fontId="27" fillId="9" borderId="65" xfId="22" applyFont="1" applyFill="1" applyBorder="1" applyAlignment="1">
      <alignment vertical="center" wrapText="1"/>
    </xf>
    <xf numFmtId="0" fontId="27" fillId="9" borderId="67" xfId="22" applyFont="1" applyFill="1" applyBorder="1" applyAlignment="1">
      <alignment vertical="center" wrapText="1"/>
    </xf>
    <xf numFmtId="0" fontId="27" fillId="9" borderId="68" xfId="22" applyFont="1" applyFill="1" applyBorder="1" applyAlignment="1">
      <alignment vertical="center" wrapText="1"/>
    </xf>
    <xf numFmtId="0" fontId="27" fillId="9" borderId="0" xfId="22" applyFont="1" applyFill="1" applyAlignment="1">
      <alignment vertical="center" wrapText="1"/>
    </xf>
    <xf numFmtId="0" fontId="26" fillId="9" borderId="0" xfId="22" applyFont="1" applyFill="1" applyAlignment="1">
      <alignment vertical="center" wrapText="1"/>
    </xf>
    <xf numFmtId="0" fontId="26" fillId="9" borderId="2" xfId="22" applyFont="1" applyFill="1" applyBorder="1" applyAlignment="1">
      <alignment vertical="center" wrapText="1"/>
    </xf>
    <xf numFmtId="0" fontId="27" fillId="9" borderId="1" xfId="22" applyFont="1" applyFill="1" applyBorder="1" applyAlignment="1">
      <alignment vertical="center" wrapText="1"/>
    </xf>
    <xf numFmtId="0" fontId="27" fillId="0" borderId="1" xfId="22" applyFont="1" applyBorder="1" applyAlignment="1">
      <alignment vertical="center" wrapText="1"/>
    </xf>
    <xf numFmtId="0" fontId="27" fillId="0" borderId="0" xfId="22" applyFont="1" applyAlignment="1">
      <alignment vertical="center" wrapText="1"/>
    </xf>
    <xf numFmtId="0" fontId="27" fillId="0" borderId="0" xfId="22" applyFont="1" applyAlignment="1">
      <alignment horizontal="center" vertical="center" wrapText="1"/>
    </xf>
    <xf numFmtId="0" fontId="29" fillId="0" borderId="0" xfId="0" applyFont="1" applyAlignment="1">
      <alignment horizontal="center" vertical="center"/>
    </xf>
    <xf numFmtId="0" fontId="26" fillId="0" borderId="0" xfId="22" applyFont="1" applyAlignment="1">
      <alignment vertical="center" wrapText="1"/>
    </xf>
    <xf numFmtId="0" fontId="26" fillId="0" borderId="2" xfId="22" applyFont="1" applyBorder="1" applyAlignment="1">
      <alignment vertical="center" wrapText="1"/>
    </xf>
    <xf numFmtId="0" fontId="27" fillId="0" borderId="2" xfId="22" applyFont="1" applyBorder="1" applyAlignment="1">
      <alignment horizontal="center" vertical="center" wrapText="1"/>
    </xf>
    <xf numFmtId="0" fontId="27" fillId="9" borderId="1" xfId="22" applyFont="1" applyFill="1" applyBorder="1" applyAlignment="1">
      <alignment horizontal="center" vertical="center" wrapText="1"/>
    </xf>
    <xf numFmtId="0" fontId="27" fillId="9" borderId="66" xfId="22" applyFont="1" applyFill="1" applyBorder="1" applyAlignment="1">
      <alignment horizontal="center" vertical="center" wrapText="1"/>
    </xf>
    <xf numFmtId="0" fontId="33" fillId="9" borderId="0" xfId="22" applyFont="1" applyFill="1" applyAlignment="1">
      <alignment horizontal="center" vertical="center" wrapText="1"/>
    </xf>
    <xf numFmtId="0" fontId="27" fillId="9" borderId="0" xfId="22" applyFont="1" applyFill="1" applyAlignment="1">
      <alignment horizontal="center" vertical="center" wrapText="1"/>
    </xf>
    <xf numFmtId="0" fontId="33" fillId="0" borderId="0" xfId="22" applyFont="1" applyAlignment="1">
      <alignment horizontal="center" vertical="center" wrapText="1"/>
    </xf>
    <xf numFmtId="0" fontId="27" fillId="2" borderId="0" xfId="22" applyFont="1" applyFill="1" applyAlignment="1">
      <alignment vertical="center" wrapText="1"/>
    </xf>
    <xf numFmtId="0" fontId="27" fillId="13" borderId="18" xfId="22" applyFont="1" applyFill="1" applyBorder="1" applyAlignment="1">
      <alignment horizontal="center" vertical="center" wrapText="1"/>
    </xf>
    <xf numFmtId="0" fontId="27" fillId="13" borderId="24" xfId="22" applyFont="1" applyFill="1" applyBorder="1" applyAlignment="1">
      <alignment horizontal="center" vertical="center" wrapText="1"/>
    </xf>
    <xf numFmtId="0" fontId="27" fillId="13" borderId="25" xfId="22" applyFont="1" applyFill="1" applyBorder="1" applyAlignment="1">
      <alignment horizontal="center" vertical="center" wrapText="1"/>
    </xf>
    <xf numFmtId="0" fontId="27" fillId="13" borderId="26" xfId="22" applyFont="1" applyFill="1" applyBorder="1" applyAlignment="1">
      <alignment horizontal="center" vertical="center" wrapText="1"/>
    </xf>
    <xf numFmtId="0" fontId="27" fillId="12" borderId="0" xfId="22" applyFont="1" applyFill="1" applyAlignment="1">
      <alignment vertical="center" wrapText="1"/>
    </xf>
    <xf numFmtId="0" fontId="27" fillId="13" borderId="19" xfId="22" applyFont="1" applyFill="1" applyBorder="1" applyAlignment="1">
      <alignment horizontal="center" vertical="center" wrapText="1"/>
    </xf>
    <xf numFmtId="0" fontId="27" fillId="13" borderId="31" xfId="22" applyFont="1" applyFill="1" applyBorder="1" applyAlignment="1">
      <alignment horizontal="center" vertical="center" wrapText="1"/>
    </xf>
    <xf numFmtId="0" fontId="27" fillId="13" borderId="20" xfId="22" applyFont="1" applyFill="1" applyBorder="1" applyAlignment="1">
      <alignment vertical="center" wrapText="1"/>
    </xf>
    <xf numFmtId="0" fontId="27" fillId="13" borderId="13" xfId="22" applyFont="1" applyFill="1" applyBorder="1" applyAlignment="1">
      <alignment vertical="center" wrapText="1"/>
    </xf>
    <xf numFmtId="0" fontId="27" fillId="13" borderId="23" xfId="22" applyFont="1" applyFill="1" applyBorder="1" applyAlignment="1">
      <alignment vertical="center" wrapText="1"/>
    </xf>
    <xf numFmtId="0" fontId="29" fillId="0" borderId="0" xfId="0" applyFont="1"/>
    <xf numFmtId="0" fontId="27" fillId="13" borderId="6" xfId="22" applyFont="1" applyFill="1" applyBorder="1" applyAlignment="1">
      <alignment horizontal="center" vertical="center" wrapText="1"/>
    </xf>
    <xf numFmtId="0" fontId="26" fillId="0" borderId="23" xfId="22" applyFont="1" applyBorder="1" applyAlignment="1">
      <alignment horizontal="left" vertical="center" wrapText="1"/>
    </xf>
    <xf numFmtId="171" fontId="27" fillId="0" borderId="5" xfId="11" applyFont="1" applyFill="1" applyBorder="1" applyAlignment="1" applyProtection="1">
      <alignment horizontal="center" vertical="center" wrapText="1"/>
    </xf>
    <xf numFmtId="0" fontId="26" fillId="0" borderId="1" xfId="22" applyFont="1" applyBorder="1" applyAlignment="1">
      <alignment horizontal="left" vertical="center" wrapText="1"/>
    </xf>
    <xf numFmtId="3" fontId="27" fillId="0" borderId="0" xfId="22" applyNumberFormat="1" applyFont="1" applyAlignment="1">
      <alignment horizontal="center" vertical="center" wrapText="1"/>
    </xf>
    <xf numFmtId="171" fontId="27" fillId="0" borderId="0" xfId="11" applyFont="1" applyFill="1" applyBorder="1" applyAlignment="1" applyProtection="1">
      <alignment horizontal="center" vertical="center" wrapText="1"/>
    </xf>
    <xf numFmtId="0" fontId="27" fillId="0" borderId="4" xfId="22" applyFont="1" applyBorder="1" applyAlignment="1">
      <alignment horizontal="left" vertical="center" wrapText="1"/>
    </xf>
    <xf numFmtId="0" fontId="27" fillId="10" borderId="5" xfId="22" applyFont="1" applyFill="1" applyBorder="1" applyAlignment="1">
      <alignment horizontal="left" vertical="center" wrapText="1"/>
    </xf>
    <xf numFmtId="0" fontId="27" fillId="0" borderId="6" xfId="22" applyFont="1" applyBorder="1" applyAlignment="1">
      <alignment horizontal="left" vertical="center" wrapText="1"/>
    </xf>
    <xf numFmtId="9" fontId="26" fillId="0" borderId="6" xfId="29" applyFont="1" applyFill="1" applyBorder="1" applyAlignment="1" applyProtection="1">
      <alignment horizontal="center" vertical="center" wrapText="1"/>
      <protection locked="0"/>
    </xf>
    <xf numFmtId="9" fontId="27" fillId="0" borderId="6" xfId="22" applyNumberFormat="1" applyFont="1" applyBorder="1" applyAlignment="1">
      <alignment horizontal="center" vertical="center" wrapText="1"/>
    </xf>
    <xf numFmtId="0" fontId="27" fillId="10" borderId="6" xfId="22" applyFont="1" applyFill="1" applyBorder="1" applyAlignment="1">
      <alignment horizontal="left" vertical="center" wrapText="1"/>
    </xf>
    <xf numFmtId="9" fontId="26" fillId="10" borderId="6" xfId="28" applyFont="1" applyFill="1" applyBorder="1" applyAlignment="1" applyProtection="1">
      <alignment horizontal="center" vertical="center" wrapText="1"/>
      <protection locked="0"/>
    </xf>
    <xf numFmtId="9" fontId="26" fillId="10" borderId="5" xfId="28" applyFont="1" applyFill="1" applyBorder="1" applyAlignment="1" applyProtection="1">
      <alignment horizontal="center" vertical="center" wrapText="1"/>
      <protection locked="0"/>
    </xf>
    <xf numFmtId="9" fontId="27" fillId="0" borderId="5" xfId="22" applyNumberFormat="1" applyFont="1" applyBorder="1" applyAlignment="1">
      <alignment horizontal="center" vertical="center" wrapText="1"/>
    </xf>
    <xf numFmtId="0" fontId="29" fillId="0" borderId="0" xfId="0" applyFont="1" applyAlignment="1">
      <alignment horizontal="left" vertical="center"/>
    </xf>
    <xf numFmtId="0" fontId="32" fillId="14" borderId="6" xfId="0" applyFont="1" applyFill="1" applyBorder="1" applyAlignment="1">
      <alignment horizontal="left" vertical="center"/>
    </xf>
    <xf numFmtId="0" fontId="32" fillId="14" borderId="6" xfId="0" applyFont="1" applyFill="1" applyBorder="1" applyAlignment="1">
      <alignment horizontal="center" vertical="center"/>
    </xf>
    <xf numFmtId="0" fontId="32" fillId="0" borderId="6" xfId="0" applyFont="1" applyBorder="1" applyAlignment="1">
      <alignment horizontal="left" vertical="center"/>
    </xf>
    <xf numFmtId="0" fontId="29" fillId="0" borderId="3" xfId="0" applyFont="1" applyBorder="1" applyAlignment="1">
      <alignment horizontal="left" vertical="center"/>
    </xf>
    <xf numFmtId="0" fontId="35" fillId="0" borderId="3" xfId="0" applyFont="1" applyBorder="1" applyAlignment="1">
      <alignment horizontal="left" vertical="center" wrapText="1"/>
    </xf>
    <xf numFmtId="0" fontId="29" fillId="0" borderId="6" xfId="0" applyFont="1" applyBorder="1" applyAlignment="1">
      <alignment vertical="center" wrapText="1"/>
    </xf>
    <xf numFmtId="0" fontId="29" fillId="0" borderId="4" xfId="0" applyFont="1" applyBorder="1" applyAlignment="1">
      <alignment vertical="center" wrapText="1"/>
    </xf>
    <xf numFmtId="0" fontId="32" fillId="16" borderId="6" xfId="0" applyFont="1" applyFill="1" applyBorder="1" applyAlignment="1">
      <alignment horizontal="left" vertical="center"/>
    </xf>
    <xf numFmtId="0" fontId="29" fillId="16" borderId="4" xfId="0" applyFont="1" applyFill="1" applyBorder="1" applyAlignment="1">
      <alignment vertical="center" wrapText="1"/>
    </xf>
    <xf numFmtId="0" fontId="29" fillId="0" borderId="4" xfId="0" applyFont="1" applyBorder="1" applyAlignment="1">
      <alignment horizontal="left" vertical="center" wrapText="1"/>
    </xf>
    <xf numFmtId="0" fontId="29" fillId="16" borderId="4" xfId="0" applyFont="1" applyFill="1" applyBorder="1" applyAlignment="1">
      <alignment horizontal="left" vertical="center" wrapText="1"/>
    </xf>
    <xf numFmtId="0" fontId="32" fillId="0" borderId="6" xfId="0" applyFont="1" applyBorder="1" applyAlignment="1">
      <alignment horizontal="left" vertical="center" wrapText="1"/>
    </xf>
    <xf numFmtId="0" fontId="32" fillId="16" borderId="6" xfId="0" applyFont="1" applyFill="1" applyBorder="1" applyAlignment="1">
      <alignment horizontal="left" vertical="center" wrapText="1"/>
    </xf>
    <xf numFmtId="0" fontId="32" fillId="0" borderId="6" xfId="0" applyFont="1" applyBorder="1" applyAlignment="1">
      <alignment vertical="center" wrapText="1"/>
    </xf>
    <xf numFmtId="0" fontId="29" fillId="0" borderId="6" xfId="0" applyFont="1" applyBorder="1" applyAlignment="1">
      <alignment horizontal="left" vertical="center" wrapText="1"/>
    </xf>
    <xf numFmtId="0" fontId="26" fillId="9" borderId="6" xfId="0" applyFont="1" applyFill="1" applyBorder="1" applyAlignment="1">
      <alignment horizontal="left" vertical="center" wrapText="1"/>
    </xf>
    <xf numFmtId="0" fontId="32" fillId="10" borderId="7" xfId="0" applyFont="1" applyFill="1" applyBorder="1" applyAlignment="1">
      <alignment horizontal="center" vertical="center"/>
    </xf>
    <xf numFmtId="0" fontId="32" fillId="10" borderId="6" xfId="0" applyFont="1" applyFill="1" applyBorder="1" applyAlignment="1">
      <alignment horizontal="center" vertical="center" wrapText="1"/>
    </xf>
    <xf numFmtId="0" fontId="32" fillId="0" borderId="6" xfId="0" applyFont="1" applyBorder="1" applyAlignment="1">
      <alignment horizontal="center" vertical="center" wrapText="1"/>
    </xf>
    <xf numFmtId="0" fontId="29" fillId="0" borderId="6" xfId="0" applyFont="1" applyBorder="1" applyAlignment="1">
      <alignment horizontal="center" vertical="center"/>
    </xf>
    <xf numFmtId="0" fontId="29" fillId="0" borderId="29" xfId="0" applyFont="1" applyBorder="1" applyAlignment="1">
      <alignment horizontal="center" vertical="center"/>
    </xf>
    <xf numFmtId="0" fontId="32" fillId="10" borderId="7" xfId="0" applyFont="1" applyFill="1" applyBorder="1" applyAlignment="1">
      <alignment vertical="center"/>
    </xf>
    <xf numFmtId="0" fontId="32" fillId="10" borderId="0" xfId="0" applyFont="1" applyFill="1" applyAlignment="1">
      <alignment horizontal="center" vertical="center"/>
    </xf>
    <xf numFmtId="0" fontId="29" fillId="0" borderId="30" xfId="0" applyFont="1" applyBorder="1" applyAlignment="1">
      <alignment horizontal="center" vertical="center"/>
    </xf>
    <xf numFmtId="0" fontId="32" fillId="10" borderId="0" xfId="0" applyFont="1" applyFill="1" applyAlignment="1">
      <alignment vertical="center"/>
    </xf>
    <xf numFmtId="0" fontId="29" fillId="0" borderId="15" xfId="0" applyFont="1" applyBorder="1" applyAlignment="1">
      <alignment horizontal="center" vertical="center"/>
    </xf>
    <xf numFmtId="0" fontId="32" fillId="10" borderId="10" xfId="0" applyFont="1" applyFill="1" applyBorder="1" applyAlignment="1">
      <alignment vertical="center"/>
    </xf>
    <xf numFmtId="0" fontId="32" fillId="10" borderId="10" xfId="0" applyFont="1" applyFill="1" applyBorder="1" applyAlignment="1">
      <alignment horizontal="center" vertical="center"/>
    </xf>
    <xf numFmtId="0" fontId="27" fillId="10" borderId="3" xfId="0" applyFont="1" applyFill="1" applyBorder="1" applyAlignment="1">
      <alignment horizontal="center" vertical="center" wrapText="1"/>
    </xf>
    <xf numFmtId="9" fontId="32" fillId="10" borderId="6" xfId="28" applyFont="1" applyFill="1" applyBorder="1" applyAlignment="1">
      <alignment horizontal="center" vertical="center" wrapText="1"/>
    </xf>
    <xf numFmtId="0" fontId="27" fillId="13" borderId="6" xfId="0" applyFont="1" applyFill="1" applyBorder="1" applyAlignment="1">
      <alignment horizontal="left" vertical="center" wrapText="1"/>
    </xf>
    <xf numFmtId="0" fontId="27" fillId="13" borderId="6" xfId="0" applyFont="1" applyFill="1" applyBorder="1" applyAlignment="1">
      <alignment vertical="center" wrapText="1"/>
    </xf>
    <xf numFmtId="0" fontId="36" fillId="9" borderId="0" xfId="0" applyFont="1" applyFill="1" applyAlignment="1">
      <alignment vertical="center"/>
    </xf>
    <xf numFmtId="0" fontId="36" fillId="9" borderId="0" xfId="0" applyFont="1" applyFill="1" applyAlignment="1">
      <alignment horizontal="center" vertical="center"/>
    </xf>
    <xf numFmtId="0" fontId="27" fillId="10" borderId="12" xfId="0" applyFont="1" applyFill="1" applyBorder="1" applyAlignment="1">
      <alignment horizontal="center" vertical="center" wrapText="1"/>
    </xf>
    <xf numFmtId="0" fontId="37" fillId="10" borderId="17" xfId="0" applyFont="1" applyFill="1" applyBorder="1" applyAlignment="1">
      <alignment horizontal="center" vertical="center" wrapText="1"/>
    </xf>
    <xf numFmtId="0" fontId="37" fillId="10" borderId="4" xfId="0" applyFont="1" applyFill="1" applyBorder="1" applyAlignment="1">
      <alignment horizontal="center" vertical="center" wrapText="1"/>
    </xf>
    <xf numFmtId="49" fontId="27" fillId="10" borderId="3" xfId="0" applyNumberFormat="1" applyFont="1" applyFill="1" applyBorder="1" applyAlignment="1">
      <alignment horizontal="center" vertical="center" wrapText="1"/>
    </xf>
    <xf numFmtId="0" fontId="37" fillId="10" borderId="3" xfId="0" applyFont="1" applyFill="1" applyBorder="1" applyAlignment="1">
      <alignment horizontal="center" vertical="center" wrapText="1"/>
    </xf>
    <xf numFmtId="49" fontId="37" fillId="10" borderId="3" xfId="0" applyNumberFormat="1" applyFont="1" applyFill="1" applyBorder="1" applyAlignment="1">
      <alignment horizontal="center" vertical="center" wrapText="1"/>
    </xf>
    <xf numFmtId="0" fontId="36" fillId="0" borderId="6" xfId="0" applyFont="1" applyBorder="1" applyAlignment="1">
      <alignment vertical="center"/>
    </xf>
    <xf numFmtId="179" fontId="36" fillId="0" borderId="6" xfId="14" applyNumberFormat="1" applyFont="1" applyBorder="1" applyAlignment="1">
      <alignment vertical="center"/>
    </xf>
    <xf numFmtId="0" fontId="36" fillId="12" borderId="6" xfId="0" applyFont="1" applyFill="1" applyBorder="1" applyAlignment="1">
      <alignment horizontal="center" vertical="center"/>
    </xf>
    <xf numFmtId="178" fontId="35" fillId="11" borderId="6" xfId="15" applyNumberFormat="1" applyFont="1" applyFill="1" applyBorder="1" applyAlignment="1">
      <alignment horizontal="center" vertical="center"/>
    </xf>
    <xf numFmtId="178" fontId="35" fillId="0" borderId="6" xfId="15" applyNumberFormat="1" applyFont="1" applyFill="1" applyBorder="1" applyAlignment="1">
      <alignment horizontal="center" vertical="center"/>
    </xf>
    <xf numFmtId="0" fontId="35" fillId="0" borderId="6" xfId="0" applyFont="1" applyBorder="1" applyAlignment="1">
      <alignment vertical="center"/>
    </xf>
    <xf numFmtId="0" fontId="35" fillId="0" borderId="6" xfId="0" applyFont="1" applyBorder="1" applyAlignment="1">
      <alignment vertical="center" wrapText="1"/>
    </xf>
    <xf numFmtId="0" fontId="35" fillId="11" borderId="6" xfId="0" applyFont="1" applyFill="1" applyBorder="1" applyAlignment="1">
      <alignment horizontal="left" vertical="center"/>
    </xf>
    <xf numFmtId="0" fontId="35" fillId="11" borderId="6" xfId="0" applyFont="1" applyFill="1" applyBorder="1" applyAlignment="1">
      <alignment horizontal="center" vertical="center"/>
    </xf>
    <xf numFmtId="179" fontId="35" fillId="11" borderId="6" xfId="14" applyNumberFormat="1" applyFont="1" applyFill="1" applyBorder="1" applyAlignment="1">
      <alignment horizontal="center" vertical="center"/>
    </xf>
    <xf numFmtId="0" fontId="35" fillId="12" borderId="6" xfId="0" applyFont="1" applyFill="1" applyBorder="1" applyAlignment="1">
      <alignment horizontal="center" vertical="center"/>
    </xf>
    <xf numFmtId="178" fontId="35" fillId="11" borderId="6" xfId="0" applyNumberFormat="1" applyFont="1" applyFill="1" applyBorder="1" applyAlignment="1">
      <alignment horizontal="center" vertical="center"/>
    </xf>
    <xf numFmtId="0" fontId="28" fillId="0" borderId="22" xfId="0" applyFont="1" applyBorder="1" applyAlignment="1">
      <alignment horizontal="left" vertical="center" wrapText="1"/>
    </xf>
    <xf numFmtId="0" fontId="28" fillId="0" borderId="16" xfId="0" applyFont="1" applyBorder="1" applyAlignment="1">
      <alignment horizontal="left" vertical="center" wrapText="1"/>
    </xf>
    <xf numFmtId="0" fontId="30" fillId="0" borderId="28" xfId="0" applyFont="1" applyBorder="1" applyAlignment="1">
      <alignment horizontal="left" vertical="center" wrapText="1"/>
    </xf>
    <xf numFmtId="0" fontId="27" fillId="13" borderId="23" xfId="22" applyFont="1" applyFill="1" applyBorder="1" applyAlignment="1">
      <alignment horizontal="center" vertical="center" wrapText="1"/>
    </xf>
    <xf numFmtId="0" fontId="27" fillId="13" borderId="5" xfId="22" applyFont="1" applyFill="1" applyBorder="1" applyAlignment="1">
      <alignment horizontal="center" vertical="center" wrapText="1"/>
    </xf>
    <xf numFmtId="0" fontId="29" fillId="0" borderId="13" xfId="0" applyFont="1" applyBorder="1"/>
    <xf numFmtId="0" fontId="29" fillId="0" borderId="6" xfId="0" applyFont="1" applyBorder="1"/>
    <xf numFmtId="0" fontId="29" fillId="0" borderId="23" xfId="0" applyFont="1" applyBorder="1"/>
    <xf numFmtId="0" fontId="29" fillId="0" borderId="5" xfId="0" applyFont="1" applyBorder="1"/>
    <xf numFmtId="0" fontId="26" fillId="0" borderId="0" xfId="0" applyFont="1" applyAlignment="1">
      <alignment vertical="center"/>
    </xf>
    <xf numFmtId="0" fontId="26" fillId="0" borderId="0" xfId="22" applyFont="1" applyAlignment="1">
      <alignment horizontal="center" vertical="center" wrapText="1"/>
    </xf>
    <xf numFmtId="0" fontId="26" fillId="0" borderId="2" xfId="22" applyFont="1" applyBorder="1" applyAlignment="1">
      <alignment horizontal="center" vertical="center" wrapText="1"/>
    </xf>
    <xf numFmtId="165" fontId="26" fillId="0" borderId="0" xfId="15" applyFont="1" applyAlignment="1">
      <alignment vertical="center"/>
    </xf>
    <xf numFmtId="0" fontId="38" fillId="0" borderId="0" xfId="0" applyFont="1" applyAlignment="1">
      <alignment vertical="center"/>
    </xf>
    <xf numFmtId="0" fontId="38" fillId="0" borderId="0" xfId="0" applyFont="1" applyAlignment="1">
      <alignment vertical="center" wrapText="1"/>
    </xf>
    <xf numFmtId="0" fontId="38" fillId="0" borderId="0" xfId="0" applyFont="1" applyAlignment="1">
      <alignment horizontal="center" vertical="center"/>
    </xf>
    <xf numFmtId="0" fontId="38" fillId="0" borderId="0" xfId="0" applyFont="1" applyAlignment="1">
      <alignment horizontal="center" vertical="center" wrapText="1"/>
    </xf>
    <xf numFmtId="179" fontId="38" fillId="0" borderId="0" xfId="0" applyNumberFormat="1" applyFont="1" applyAlignment="1">
      <alignment vertical="center" wrapText="1"/>
    </xf>
    <xf numFmtId="3" fontId="38" fillId="0" borderId="0" xfId="0" applyNumberFormat="1" applyFont="1" applyAlignment="1">
      <alignment horizontal="center" vertical="center" wrapText="1"/>
    </xf>
    <xf numFmtId="3" fontId="39" fillId="19" borderId="0" xfId="0" applyNumberFormat="1" applyFont="1" applyFill="1" applyAlignment="1">
      <alignment horizontal="center" vertical="center" wrapText="1"/>
    </xf>
    <xf numFmtId="9" fontId="39" fillId="19" borderId="0" xfId="28" applyFont="1" applyFill="1" applyAlignment="1">
      <alignment horizontal="center" vertical="center" wrapText="1"/>
    </xf>
    <xf numFmtId="9" fontId="38" fillId="0" borderId="0" xfId="28" applyFont="1" applyAlignment="1">
      <alignment horizontal="center" vertical="center" wrapText="1"/>
    </xf>
    <xf numFmtId="9" fontId="27" fillId="0" borderId="3" xfId="22" applyNumberFormat="1" applyFont="1" applyBorder="1" applyAlignment="1">
      <alignment horizontal="center" vertical="center" wrapText="1"/>
    </xf>
    <xf numFmtId="0" fontId="40" fillId="0" borderId="0" xfId="0" applyFont="1" applyAlignment="1">
      <alignment horizontal="center" vertical="center"/>
    </xf>
    <xf numFmtId="0" fontId="40" fillId="0" borderId="0" xfId="0" applyFont="1" applyAlignment="1">
      <alignment horizontal="center" vertical="center" wrapText="1"/>
    </xf>
    <xf numFmtId="180" fontId="40" fillId="0" borderId="0" xfId="0" applyNumberFormat="1" applyFont="1" applyAlignment="1">
      <alignment horizontal="center" vertical="center"/>
    </xf>
    <xf numFmtId="0" fontId="41" fillId="0" borderId="0" xfId="0" applyFont="1" applyAlignment="1">
      <alignment horizontal="center" vertical="center"/>
    </xf>
    <xf numFmtId="0" fontId="29" fillId="0" borderId="6" xfId="0" applyFont="1" applyBorder="1" applyAlignment="1">
      <alignment horizontal="justify" vertical="center" wrapText="1"/>
    </xf>
    <xf numFmtId="0" fontId="29" fillId="0" borderId="6" xfId="0" applyFont="1" applyBorder="1" applyAlignment="1">
      <alignment horizontal="justify" vertical="center"/>
    </xf>
    <xf numFmtId="171" fontId="29" fillId="0" borderId="6" xfId="11" applyFont="1" applyBorder="1" applyAlignment="1">
      <alignment horizontal="justify" vertical="center" wrapText="1"/>
    </xf>
    <xf numFmtId="9" fontId="29" fillId="0" borderId="6" xfId="28" applyFont="1" applyBorder="1" applyAlignment="1">
      <alignment horizontal="justify" vertical="center"/>
    </xf>
    <xf numFmtId="0" fontId="29" fillId="0" borderId="0" xfId="0" applyFont="1" applyAlignment="1">
      <alignment horizontal="justify" vertical="center"/>
    </xf>
    <xf numFmtId="9" fontId="26" fillId="10" borderId="3" xfId="28" applyFont="1" applyFill="1" applyBorder="1" applyAlignment="1" applyProtection="1">
      <alignment horizontal="center" vertical="center" wrapText="1"/>
      <protection locked="0"/>
    </xf>
    <xf numFmtId="0" fontId="27" fillId="0" borderId="39" xfId="22" applyFont="1" applyBorder="1" applyAlignment="1">
      <alignment horizontal="left" vertical="center" wrapText="1"/>
    </xf>
    <xf numFmtId="0" fontId="27" fillId="10" borderId="8" xfId="22" applyFont="1" applyFill="1" applyBorder="1" applyAlignment="1">
      <alignment horizontal="left" vertical="center" wrapText="1"/>
    </xf>
    <xf numFmtId="9" fontId="26" fillId="0" borderId="6" xfId="29" applyFont="1" applyBorder="1" applyAlignment="1" applyProtection="1">
      <alignment horizontal="center" vertical="center" wrapText="1"/>
      <protection locked="0"/>
    </xf>
    <xf numFmtId="0" fontId="29" fillId="0" borderId="12" xfId="0" applyFont="1" applyBorder="1" applyAlignment="1">
      <alignment horizontal="justify" vertical="center"/>
    </xf>
    <xf numFmtId="0" fontId="29" fillId="0" borderId="39" xfId="0" applyFont="1" applyBorder="1" applyAlignment="1">
      <alignment horizontal="justify" vertical="center" wrapText="1"/>
    </xf>
    <xf numFmtId="0" fontId="29" fillId="0" borderId="4" xfId="0" applyFont="1" applyBorder="1" applyAlignment="1">
      <alignment horizontal="justify" vertical="center"/>
    </xf>
    <xf numFmtId="0" fontId="29" fillId="0" borderId="71" xfId="0" applyFont="1" applyBorder="1" applyAlignment="1">
      <alignment vertical="center" wrapText="1"/>
    </xf>
    <xf numFmtId="0" fontId="32" fillId="10" borderId="29"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15" xfId="0" applyFont="1" applyFill="1" applyBorder="1" applyAlignment="1">
      <alignment horizontal="center" vertical="center"/>
    </xf>
    <xf numFmtId="0" fontId="39" fillId="0" borderId="0" xfId="0" applyFont="1" applyAlignment="1">
      <alignment horizontal="center" vertical="center"/>
    </xf>
    <xf numFmtId="9" fontId="39" fillId="0" borderId="0" xfId="0" applyNumberFormat="1" applyFont="1" applyAlignment="1">
      <alignment horizontal="center" vertical="center"/>
    </xf>
    <xf numFmtId="0" fontId="29" fillId="0" borderId="6" xfId="0" applyFont="1" applyBorder="1" applyAlignment="1">
      <alignment horizontal="center" vertical="center" wrapText="1"/>
    </xf>
    <xf numFmtId="4" fontId="27" fillId="0" borderId="3" xfId="22" applyNumberFormat="1" applyFont="1" applyBorder="1" applyAlignment="1">
      <alignment horizontal="center" vertical="center" wrapText="1"/>
    </xf>
    <xf numFmtId="4" fontId="27" fillId="10" borderId="5" xfId="28" applyNumberFormat="1" applyFont="1" applyFill="1" applyBorder="1" applyAlignment="1" applyProtection="1">
      <alignment horizontal="center" vertical="center" wrapText="1"/>
    </xf>
    <xf numFmtId="4" fontId="27" fillId="0" borderId="3" xfId="10" applyNumberFormat="1" applyFont="1" applyFill="1" applyBorder="1" applyAlignment="1" applyProtection="1">
      <alignment horizontal="center" vertical="center" wrapText="1"/>
    </xf>
    <xf numFmtId="4" fontId="26" fillId="10" borderId="5" xfId="30" applyNumberFormat="1" applyFont="1" applyFill="1" applyBorder="1" applyAlignment="1" applyProtection="1">
      <alignment horizontal="center" vertical="center" wrapText="1"/>
    </xf>
    <xf numFmtId="4" fontId="27" fillId="0" borderId="4" xfId="22" applyNumberFormat="1" applyFont="1" applyBorder="1" applyAlignment="1">
      <alignment horizontal="left" vertical="center" wrapText="1"/>
    </xf>
    <xf numFmtId="4" fontId="27" fillId="10" borderId="5" xfId="22" applyNumberFormat="1" applyFont="1" applyFill="1" applyBorder="1" applyAlignment="1">
      <alignment horizontal="left" vertical="center" wrapText="1"/>
    </xf>
    <xf numFmtId="0" fontId="27" fillId="9" borderId="67" xfId="22" applyFont="1" applyFill="1" applyBorder="1" applyAlignment="1">
      <alignment horizontal="center" vertical="center" wrapText="1"/>
    </xf>
    <xf numFmtId="4" fontId="29" fillId="0" borderId="6" xfId="0" applyNumberFormat="1" applyFont="1" applyBorder="1" applyAlignment="1">
      <alignment horizontal="center" vertical="center"/>
    </xf>
    <xf numFmtId="9" fontId="29" fillId="0" borderId="6" xfId="28" applyFont="1" applyBorder="1" applyAlignment="1">
      <alignment horizontal="center" vertical="center"/>
    </xf>
    <xf numFmtId="9" fontId="29" fillId="0" borderId="0" xfId="28" applyFont="1" applyAlignment="1">
      <alignment horizontal="center" vertical="center"/>
    </xf>
    <xf numFmtId="9" fontId="27" fillId="10" borderId="6" xfId="28" applyFont="1" applyFill="1" applyBorder="1" applyAlignment="1" applyProtection="1">
      <alignment horizontal="center" vertical="center" wrapText="1"/>
      <protection locked="0"/>
    </xf>
    <xf numFmtId="0" fontId="44" fillId="26" borderId="0" xfId="0" applyFont="1" applyFill="1" applyAlignment="1">
      <alignment horizontal="center" vertical="center" wrapText="1"/>
    </xf>
    <xf numFmtId="0" fontId="45" fillId="27" borderId="0" xfId="0" applyFont="1" applyFill="1" applyAlignment="1">
      <alignment horizontal="center" vertical="center" wrapText="1"/>
    </xf>
    <xf numFmtId="168" fontId="45" fillId="0" borderId="0" xfId="0" applyNumberFormat="1" applyFont="1" applyAlignment="1">
      <alignment vertical="center" wrapText="1"/>
    </xf>
    <xf numFmtId="10" fontId="45" fillId="0" borderId="0" xfId="0" applyNumberFormat="1" applyFont="1" applyAlignment="1">
      <alignment vertical="center" wrapText="1"/>
    </xf>
    <xf numFmtId="10" fontId="38" fillId="0" borderId="0" xfId="0" applyNumberFormat="1" applyFont="1" applyAlignment="1">
      <alignment vertical="center"/>
    </xf>
    <xf numFmtId="168" fontId="38" fillId="0" borderId="0" xfId="0" applyNumberFormat="1" applyFont="1" applyAlignment="1">
      <alignment vertical="center"/>
    </xf>
    <xf numFmtId="10" fontId="44" fillId="26" borderId="0" xfId="0" applyNumberFormat="1" applyFont="1" applyFill="1" applyAlignment="1">
      <alignment horizontal="center" vertical="center" wrapText="1"/>
    </xf>
    <xf numFmtId="179" fontId="39" fillId="0" borderId="0" xfId="0" applyNumberFormat="1" applyFont="1" applyAlignment="1">
      <alignment vertical="center" wrapText="1"/>
    </xf>
    <xf numFmtId="0" fontId="27" fillId="0" borderId="0" xfId="0" applyFont="1" applyAlignment="1">
      <alignment horizontal="center" vertical="center"/>
    </xf>
    <xf numFmtId="0" fontId="27" fillId="0" borderId="0" xfId="0" applyFont="1" applyAlignment="1">
      <alignment horizontal="center" vertical="center" wrapText="1"/>
    </xf>
    <xf numFmtId="0" fontId="26" fillId="0" borderId="0" xfId="0" applyFont="1" applyAlignment="1">
      <alignment horizontal="center" vertical="center"/>
    </xf>
    <xf numFmtId="0" fontId="26" fillId="9" borderId="1" xfId="0" applyFont="1" applyFill="1" applyBorder="1" applyAlignment="1">
      <alignment vertical="center"/>
    </xf>
    <xf numFmtId="0" fontId="26" fillId="9" borderId="0" xfId="0" applyFont="1" applyFill="1" applyAlignment="1">
      <alignment vertical="center"/>
    </xf>
    <xf numFmtId="0" fontId="26" fillId="9" borderId="2" xfId="0" applyFont="1" applyFill="1" applyBorder="1" applyAlignment="1">
      <alignment vertical="center"/>
    </xf>
    <xf numFmtId="177" fontId="26" fillId="0" borderId="0" xfId="0" applyNumberFormat="1" applyFont="1" applyAlignment="1">
      <alignment vertical="center"/>
    </xf>
    <xf numFmtId="177" fontId="26" fillId="0" borderId="0" xfId="14" applyNumberFormat="1" applyFont="1" applyBorder="1" applyAlignment="1">
      <alignment vertical="center"/>
    </xf>
    <xf numFmtId="175" fontId="26" fillId="0" borderId="14" xfId="10" applyNumberFormat="1" applyFont="1" applyBorder="1" applyAlignment="1">
      <alignment vertical="center"/>
    </xf>
    <xf numFmtId="175" fontId="26" fillId="0" borderId="4" xfId="10" applyNumberFormat="1" applyFont="1" applyBorder="1" applyAlignment="1">
      <alignment vertical="center"/>
    </xf>
    <xf numFmtId="175" fontId="26" fillId="0" borderId="15" xfId="10" applyNumberFormat="1" applyFont="1" applyBorder="1" applyAlignment="1">
      <alignment vertical="center"/>
    </xf>
    <xf numFmtId="175" fontId="26" fillId="0" borderId="20" xfId="10" applyNumberFormat="1" applyFont="1" applyBorder="1" applyAlignment="1">
      <alignment vertical="center"/>
    </xf>
    <xf numFmtId="175" fontId="26" fillId="0" borderId="21" xfId="10" applyNumberFormat="1" applyFont="1" applyBorder="1" applyAlignment="1">
      <alignment vertical="center"/>
    </xf>
    <xf numFmtId="175" fontId="26" fillId="0" borderId="21" xfId="10" applyNumberFormat="1" applyFont="1" applyFill="1" applyBorder="1" applyAlignment="1">
      <alignment vertical="center"/>
    </xf>
    <xf numFmtId="175" fontId="26" fillId="0" borderId="22" xfId="10" applyNumberFormat="1" applyFont="1" applyBorder="1" applyAlignment="1">
      <alignment vertical="center"/>
    </xf>
    <xf numFmtId="175" fontId="26" fillId="0" borderId="13" xfId="10" applyNumberFormat="1" applyFont="1" applyBorder="1" applyAlignment="1">
      <alignment vertical="center"/>
    </xf>
    <xf numFmtId="175" fontId="26" fillId="0" borderId="6" xfId="10" applyNumberFormat="1" applyFont="1" applyBorder="1" applyAlignment="1">
      <alignment vertical="center"/>
    </xf>
    <xf numFmtId="9" fontId="26" fillId="0" borderId="12" xfId="28" applyFont="1" applyBorder="1" applyAlignment="1">
      <alignment vertical="center"/>
    </xf>
    <xf numFmtId="175" fontId="26" fillId="0" borderId="6" xfId="10" applyNumberFormat="1" applyFont="1" applyFill="1" applyBorder="1" applyAlignment="1">
      <alignment vertical="center"/>
    </xf>
    <xf numFmtId="9" fontId="26" fillId="0" borderId="16" xfId="28" applyFont="1" applyBorder="1" applyAlignment="1">
      <alignment vertical="center"/>
    </xf>
    <xf numFmtId="175" fontId="26" fillId="0" borderId="12" xfId="10" applyNumberFormat="1" applyFont="1" applyBorder="1" applyAlignment="1">
      <alignment vertical="center"/>
    </xf>
    <xf numFmtId="175" fontId="26" fillId="0" borderId="16" xfId="10" applyNumberFormat="1" applyFont="1" applyBorder="1" applyAlignment="1">
      <alignment vertical="center"/>
    </xf>
    <xf numFmtId="175" fontId="26" fillId="0" borderId="23" xfId="10" applyNumberFormat="1" applyFont="1" applyBorder="1" applyAlignment="1">
      <alignment vertical="center"/>
    </xf>
    <xf numFmtId="175" fontId="26" fillId="0" borderId="5" xfId="10" applyNumberFormat="1" applyFont="1" applyBorder="1" applyAlignment="1">
      <alignment vertical="center"/>
    </xf>
    <xf numFmtId="175" fontId="26" fillId="0" borderId="27" xfId="10" applyNumberFormat="1" applyFont="1" applyBorder="1" applyAlignment="1">
      <alignment vertical="center"/>
    </xf>
    <xf numFmtId="9" fontId="26" fillId="0" borderId="28" xfId="28" applyFont="1" applyBorder="1" applyAlignment="1">
      <alignment vertical="center"/>
    </xf>
    <xf numFmtId="0" fontId="26" fillId="0" borderId="0" xfId="0" applyFont="1"/>
    <xf numFmtId="165" fontId="27" fillId="0" borderId="0" xfId="15" applyFont="1" applyAlignment="1">
      <alignment vertical="center"/>
    </xf>
    <xf numFmtId="0" fontId="27" fillId="0" borderId="0" xfId="0" applyFont="1" applyAlignment="1">
      <alignment vertical="center"/>
    </xf>
    <xf numFmtId="0" fontId="26" fillId="0" borderId="0" xfId="0" applyFont="1" applyAlignment="1">
      <alignment horizontal="justify" vertical="center"/>
    </xf>
    <xf numFmtId="0" fontId="59" fillId="0" borderId="0" xfId="0" applyFont="1" applyAlignment="1">
      <alignment horizontal="justify" vertical="center" wrapText="1"/>
    </xf>
    <xf numFmtId="0" fontId="15" fillId="0" borderId="0" xfId="0" applyFont="1" applyAlignment="1">
      <alignment horizontal="justify" vertical="center" wrapText="1"/>
    </xf>
    <xf numFmtId="0" fontId="15" fillId="0" borderId="0" xfId="0" applyFont="1" applyAlignment="1">
      <alignment horizontal="justify" vertical="center"/>
    </xf>
    <xf numFmtId="0" fontId="15" fillId="0" borderId="0" xfId="0" applyFont="1" applyAlignment="1">
      <alignment vertical="center"/>
    </xf>
    <xf numFmtId="0" fontId="58" fillId="20" borderId="71" xfId="0" applyFont="1" applyFill="1" applyBorder="1" applyAlignment="1">
      <alignment horizontal="center" vertical="center" wrapText="1"/>
    </xf>
    <xf numFmtId="0" fontId="58" fillId="20" borderId="83" xfId="0" applyFont="1" applyFill="1" applyBorder="1" applyAlignment="1">
      <alignment horizontal="center" vertical="center" wrapText="1"/>
    </xf>
    <xf numFmtId="0" fontId="58" fillId="0" borderId="71" xfId="0" applyFont="1" applyBorder="1" applyAlignment="1">
      <alignment horizontal="center" vertical="center" wrapText="1"/>
    </xf>
    <xf numFmtId="9" fontId="59" fillId="0" borderId="0" xfId="0" applyNumberFormat="1" applyFont="1" applyAlignment="1">
      <alignment horizontal="center" vertical="center"/>
    </xf>
    <xf numFmtId="181" fontId="58" fillId="21" borderId="2" xfId="0" applyNumberFormat="1" applyFont="1" applyFill="1" applyBorder="1" applyAlignment="1">
      <alignment horizontal="center" vertical="center"/>
    </xf>
    <xf numFmtId="0" fontId="43" fillId="0" borderId="0" xfId="0" applyFont="1" applyAlignment="1">
      <alignment horizontal="justify" vertical="center" wrapText="1"/>
    </xf>
    <xf numFmtId="181" fontId="59" fillId="0" borderId="0" xfId="0" applyNumberFormat="1" applyFont="1" applyAlignment="1">
      <alignment horizontal="justify" vertical="center" wrapText="1"/>
    </xf>
    <xf numFmtId="0" fontId="58" fillId="22" borderId="71" xfId="0" applyFont="1" applyFill="1" applyBorder="1" applyAlignment="1">
      <alignment horizontal="center" vertical="center" wrapText="1"/>
    </xf>
    <xf numFmtId="181" fontId="59" fillId="22" borderId="0" xfId="0" applyNumberFormat="1" applyFont="1" applyFill="1" applyAlignment="1">
      <alignment horizontal="center" vertical="center"/>
    </xf>
    <xf numFmtId="181" fontId="58" fillId="22" borderId="2" xfId="0" applyNumberFormat="1" applyFont="1" applyFill="1" applyBorder="1" applyAlignment="1">
      <alignment horizontal="center" vertical="center"/>
    </xf>
    <xf numFmtId="181" fontId="43" fillId="0" borderId="0" xfId="0" applyNumberFormat="1" applyFont="1" applyAlignment="1">
      <alignment horizontal="justify" vertical="center" wrapText="1"/>
    </xf>
    <xf numFmtId="10" fontId="59" fillId="22" borderId="0" xfId="0" applyNumberFormat="1" applyFont="1" applyFill="1" applyAlignment="1">
      <alignment horizontal="center" vertical="center"/>
    </xf>
    <xf numFmtId="0" fontId="58" fillId="22" borderId="85" xfId="0" applyFont="1" applyFill="1" applyBorder="1" applyAlignment="1">
      <alignment horizontal="center" vertical="center" wrapText="1"/>
    </xf>
    <xf numFmtId="0" fontId="58" fillId="0" borderId="0" xfId="0" applyFont="1" applyAlignment="1">
      <alignment horizontal="center" vertical="center" wrapText="1"/>
    </xf>
    <xf numFmtId="181" fontId="58" fillId="0" borderId="0" xfId="0" applyNumberFormat="1" applyFont="1" applyAlignment="1">
      <alignment horizontal="center" vertical="center"/>
    </xf>
    <xf numFmtId="0" fontId="60" fillId="0" borderId="0" xfId="0" applyFont="1" applyAlignment="1">
      <alignment horizontal="justify" vertical="center" wrapText="1"/>
    </xf>
    <xf numFmtId="176" fontId="43" fillId="0" borderId="0" xfId="0" applyNumberFormat="1" applyFont="1" applyAlignment="1">
      <alignment vertical="center"/>
    </xf>
    <xf numFmtId="181" fontId="59" fillId="0" borderId="0" xfId="0" applyNumberFormat="1" applyFont="1" applyAlignment="1">
      <alignment horizontal="center" vertical="center"/>
    </xf>
    <xf numFmtId="0" fontId="59" fillId="0" borderId="0" xfId="0" applyFont="1" applyAlignment="1">
      <alignment horizontal="center" vertical="center"/>
    </xf>
    <xf numFmtId="0" fontId="59" fillId="23" borderId="0" xfId="0" applyFont="1" applyFill="1" applyAlignment="1">
      <alignment horizontal="center" vertical="center"/>
    </xf>
    <xf numFmtId="182" fontId="58" fillId="23" borderId="0" xfId="0" applyNumberFormat="1" applyFont="1" applyFill="1" applyAlignment="1">
      <alignment horizontal="center" vertical="center"/>
    </xf>
    <xf numFmtId="0" fontId="59" fillId="0" borderId="0" xfId="0" applyFont="1" applyAlignment="1">
      <alignment vertical="center"/>
    </xf>
    <xf numFmtId="0" fontId="58" fillId="24" borderId="0" xfId="0" applyFont="1" applyFill="1" applyAlignment="1">
      <alignment vertical="center"/>
    </xf>
    <xf numFmtId="183" fontId="59" fillId="24" borderId="0" xfId="0" applyNumberFormat="1" applyFont="1" applyFill="1" applyAlignment="1">
      <alignment horizontal="center" vertical="center"/>
    </xf>
    <xf numFmtId="181" fontId="59" fillId="24" borderId="0" xfId="0" applyNumberFormat="1" applyFont="1" applyFill="1" applyAlignment="1">
      <alignment horizontal="center" vertical="center"/>
    </xf>
    <xf numFmtId="0" fontId="61" fillId="0" borderId="0" xfId="0" applyFont="1" applyAlignment="1">
      <alignment horizontal="justify" vertical="center" wrapText="1"/>
    </xf>
    <xf numFmtId="0" fontId="61" fillId="0" borderId="0" xfId="0" applyFont="1" applyAlignment="1">
      <alignment vertical="center"/>
    </xf>
    <xf numFmtId="0" fontId="43" fillId="0" borderId="0" xfId="0" applyFont="1" applyAlignment="1">
      <alignment vertical="center"/>
    </xf>
    <xf numFmtId="2" fontId="26" fillId="0" borderId="0" xfId="0" applyNumberFormat="1" applyFont="1" applyAlignment="1">
      <alignment vertical="center"/>
    </xf>
    <xf numFmtId="2" fontId="26" fillId="0" borderId="0" xfId="0" applyNumberFormat="1" applyFont="1" applyAlignment="1">
      <alignment horizontal="center" vertical="center"/>
    </xf>
    <xf numFmtId="0" fontId="26" fillId="0" borderId="0" xfId="0" applyFont="1" applyAlignment="1">
      <alignment horizontal="justify" vertical="center" wrapText="1"/>
    </xf>
    <xf numFmtId="0" fontId="26" fillId="9" borderId="0" xfId="0" applyFont="1" applyFill="1" applyAlignment="1">
      <alignment horizontal="center" vertical="center"/>
    </xf>
    <xf numFmtId="175" fontId="26" fillId="0" borderId="14" xfId="10" applyNumberFormat="1" applyFont="1" applyBorder="1" applyAlignment="1">
      <alignment horizontal="center" vertical="center"/>
    </xf>
    <xf numFmtId="175" fontId="26" fillId="0" borderId="13" xfId="10" applyNumberFormat="1" applyFont="1" applyBorder="1" applyAlignment="1">
      <alignment horizontal="center" vertical="center"/>
    </xf>
    <xf numFmtId="175" fontId="26" fillId="0" borderId="23" xfId="10" applyNumberFormat="1" applyFont="1" applyBorder="1" applyAlignment="1">
      <alignment horizontal="center" vertical="center"/>
    </xf>
    <xf numFmtId="0" fontId="26" fillId="0" borderId="0" xfId="0" applyFont="1" applyAlignment="1">
      <alignment horizontal="center"/>
    </xf>
    <xf numFmtId="10" fontId="26" fillId="0" borderId="0" xfId="0" applyNumberFormat="1" applyFont="1" applyAlignment="1">
      <alignment horizontal="center" vertical="center"/>
    </xf>
    <xf numFmtId="9" fontId="26" fillId="0" borderId="0" xfId="0" applyNumberFormat="1" applyFont="1" applyAlignment="1">
      <alignment vertical="center"/>
    </xf>
    <xf numFmtId="0" fontId="27" fillId="20" borderId="71" xfId="0" applyFont="1" applyFill="1" applyBorder="1" applyAlignment="1">
      <alignment horizontal="center" vertical="center" wrapText="1"/>
    </xf>
    <xf numFmtId="0" fontId="27" fillId="20" borderId="83" xfId="0" applyFont="1" applyFill="1" applyBorder="1" applyAlignment="1">
      <alignment horizontal="center" vertical="center" wrapText="1"/>
    </xf>
    <xf numFmtId="0" fontId="27" fillId="0" borderId="71" xfId="0" applyFont="1" applyBorder="1" applyAlignment="1">
      <alignment horizontal="center" vertical="center" wrapText="1"/>
    </xf>
    <xf numFmtId="9" fontId="26" fillId="0" borderId="0" xfId="0" applyNumberFormat="1" applyFont="1" applyAlignment="1">
      <alignment horizontal="center" vertical="center"/>
    </xf>
    <xf numFmtId="181" fontId="27" fillId="21" borderId="2" xfId="0" applyNumberFormat="1" applyFont="1" applyFill="1" applyBorder="1" applyAlignment="1">
      <alignment horizontal="center" vertical="center"/>
    </xf>
    <xf numFmtId="181" fontId="26" fillId="0" borderId="0" xfId="0" applyNumberFormat="1" applyFont="1" applyAlignment="1">
      <alignment horizontal="justify" vertical="center" wrapText="1"/>
    </xf>
    <xf numFmtId="0" fontId="27" fillId="22" borderId="71" xfId="0" applyFont="1" applyFill="1" applyBorder="1" applyAlignment="1">
      <alignment horizontal="center" vertical="center" wrapText="1"/>
    </xf>
    <xf numFmtId="181" fontId="26" fillId="22" borderId="0" xfId="0" applyNumberFormat="1" applyFont="1" applyFill="1" applyAlignment="1">
      <alignment horizontal="center" vertical="center"/>
    </xf>
    <xf numFmtId="181" fontId="27" fillId="22" borderId="2" xfId="0" applyNumberFormat="1" applyFont="1" applyFill="1" applyBorder="1" applyAlignment="1">
      <alignment horizontal="center" vertical="center"/>
    </xf>
    <xf numFmtId="0" fontId="27" fillId="22" borderId="85" xfId="0" applyFont="1" applyFill="1" applyBorder="1" applyAlignment="1">
      <alignment horizontal="center" vertical="center" wrapText="1"/>
    </xf>
    <xf numFmtId="181" fontId="27" fillId="0" borderId="0" xfId="0" applyNumberFormat="1" applyFont="1" applyAlignment="1">
      <alignment horizontal="center" vertical="center"/>
    </xf>
    <xf numFmtId="181" fontId="26" fillId="0" borderId="0" xfId="0" applyNumberFormat="1" applyFont="1" applyAlignment="1">
      <alignment horizontal="center" vertical="center"/>
    </xf>
    <xf numFmtId="0" fontId="26" fillId="23" borderId="0" xfId="0" applyFont="1" applyFill="1" applyAlignment="1">
      <alignment horizontal="center" vertical="center"/>
    </xf>
    <xf numFmtId="182" fontId="27" fillId="23" borderId="0" xfId="0" applyNumberFormat="1" applyFont="1" applyFill="1" applyAlignment="1">
      <alignment horizontal="center" vertical="center"/>
    </xf>
    <xf numFmtId="0" fontId="27" fillId="24" borderId="0" xfId="0" applyFont="1" applyFill="1" applyAlignment="1">
      <alignment vertical="center"/>
    </xf>
    <xf numFmtId="183" fontId="26" fillId="24" borderId="0" xfId="0" applyNumberFormat="1" applyFont="1" applyFill="1" applyAlignment="1">
      <alignment horizontal="center" vertical="center"/>
    </xf>
    <xf numFmtId="181" fontId="26" fillId="24" borderId="0" xfId="0" applyNumberFormat="1" applyFont="1" applyFill="1" applyAlignment="1">
      <alignment horizontal="center" vertical="center"/>
    </xf>
    <xf numFmtId="0" fontId="29" fillId="0" borderId="6" xfId="28" applyNumberFormat="1" applyFont="1" applyBorder="1" applyAlignment="1">
      <alignment horizontal="justify" vertical="center" wrapText="1"/>
    </xf>
    <xf numFmtId="9" fontId="29" fillId="0" borderId="6" xfId="28" applyFont="1" applyBorder="1" applyAlignment="1">
      <alignment horizontal="justify" vertical="center" wrapText="1"/>
    </xf>
    <xf numFmtId="10" fontId="63" fillId="0" borderId="0" xfId="0" applyNumberFormat="1" applyFont="1" applyAlignment="1">
      <alignment vertical="center"/>
    </xf>
    <xf numFmtId="10" fontId="63" fillId="0" borderId="6" xfId="28" applyNumberFormat="1" applyFont="1" applyBorder="1" applyAlignment="1">
      <alignment vertical="center"/>
    </xf>
    <xf numFmtId="10" fontId="63" fillId="0" borderId="6" xfId="10" applyNumberFormat="1" applyFont="1" applyBorder="1" applyAlignment="1">
      <alignment vertical="center"/>
    </xf>
    <xf numFmtId="10" fontId="63" fillId="0" borderId="5" xfId="28" applyNumberFormat="1" applyFont="1" applyBorder="1" applyAlignment="1">
      <alignment vertical="center"/>
    </xf>
    <xf numFmtId="0" fontId="38" fillId="31" borderId="0" xfId="0" applyFont="1" applyFill="1" applyAlignment="1">
      <alignment horizontal="center" vertical="center" wrapText="1"/>
    </xf>
    <xf numFmtId="10" fontId="38" fillId="0" borderId="0" xfId="28" applyNumberFormat="1" applyFont="1" applyAlignment="1">
      <alignment vertical="center"/>
    </xf>
    <xf numFmtId="0" fontId="47" fillId="28" borderId="6" xfId="22" applyFont="1" applyFill="1" applyBorder="1" applyAlignment="1">
      <alignment vertical="center"/>
    </xf>
    <xf numFmtId="0" fontId="47" fillId="28" borderId="6" xfId="22" applyFont="1" applyFill="1" applyBorder="1" applyAlignment="1">
      <alignment vertical="center" wrapText="1"/>
    </xf>
    <xf numFmtId="0" fontId="47" fillId="32" borderId="6" xfId="22" applyFont="1" applyFill="1" applyBorder="1" applyAlignment="1">
      <alignment vertical="center"/>
    </xf>
    <xf numFmtId="0" fontId="47" fillId="29" borderId="6" xfId="22" applyFont="1" applyFill="1" applyBorder="1" applyAlignment="1">
      <alignment vertical="center"/>
    </xf>
    <xf numFmtId="0" fontId="47" fillId="28" borderId="12" xfId="22" applyFont="1" applyFill="1" applyBorder="1" applyAlignment="1">
      <alignment vertical="center"/>
    </xf>
    <xf numFmtId="0" fontId="48" fillId="30" borderId="24" xfId="22" applyFont="1" applyFill="1" applyBorder="1" applyAlignment="1">
      <alignment horizontal="center" vertical="center"/>
    </xf>
    <xf numFmtId="180" fontId="48" fillId="30" borderId="70" xfId="22" applyNumberFormat="1" applyFont="1" applyFill="1" applyBorder="1" applyAlignment="1">
      <alignment horizontal="center" vertical="center"/>
    </xf>
    <xf numFmtId="0" fontId="48" fillId="30" borderId="70" xfId="22" applyFont="1" applyFill="1" applyBorder="1" applyAlignment="1">
      <alignment horizontal="center" vertical="center" wrapText="1"/>
    </xf>
    <xf numFmtId="0" fontId="48" fillId="30" borderId="25" xfId="22" applyFont="1" applyFill="1" applyBorder="1" applyAlignment="1">
      <alignment horizontal="center" vertical="center"/>
    </xf>
    <xf numFmtId="0" fontId="49" fillId="30" borderId="25" xfId="22" applyFont="1" applyFill="1" applyBorder="1" applyAlignment="1">
      <alignment horizontal="center" vertical="center" wrapText="1"/>
    </xf>
    <xf numFmtId="0" fontId="49" fillId="33" borderId="25" xfId="22" applyFont="1" applyFill="1" applyBorder="1" applyAlignment="1">
      <alignment horizontal="center" vertical="center" wrapText="1"/>
    </xf>
    <xf numFmtId="0" fontId="49" fillId="30" borderId="25" xfId="22" applyFont="1" applyFill="1" applyBorder="1" applyAlignment="1">
      <alignment horizontal="right" vertical="center" wrapText="1"/>
    </xf>
    <xf numFmtId="0" fontId="49" fillId="30" borderId="26" xfId="22" applyFont="1" applyFill="1" applyBorder="1" applyAlignment="1">
      <alignment horizontal="center" vertical="center" wrapText="1"/>
    </xf>
    <xf numFmtId="0" fontId="49" fillId="30" borderId="99" xfId="22" applyFont="1" applyFill="1" applyBorder="1" applyAlignment="1">
      <alignment horizontal="center" vertical="center" wrapText="1"/>
    </xf>
    <xf numFmtId="0" fontId="47" fillId="0" borderId="0" xfId="22" applyFont="1" applyAlignment="1">
      <alignment vertical="center"/>
    </xf>
    <xf numFmtId="0" fontId="47" fillId="0" borderId="0" xfId="22" applyFont="1" applyAlignment="1">
      <alignment horizontal="center" vertical="center"/>
    </xf>
    <xf numFmtId="180" fontId="47" fillId="0" borderId="0" xfId="22" applyNumberFormat="1" applyFont="1" applyAlignment="1">
      <alignment horizontal="center" vertical="center"/>
    </xf>
    <xf numFmtId="0" fontId="64" fillId="0" borderId="0" xfId="22" applyFont="1" applyAlignment="1">
      <alignment vertical="top"/>
    </xf>
    <xf numFmtId="14" fontId="64" fillId="0" borderId="0" xfId="22" applyNumberFormat="1" applyFont="1" applyAlignment="1">
      <alignment horizontal="right" vertical="top"/>
    </xf>
    <xf numFmtId="3" fontId="64" fillId="0" borderId="0" xfId="22" applyNumberFormat="1" applyFont="1" applyAlignment="1">
      <alignment horizontal="right" vertical="top"/>
    </xf>
    <xf numFmtId="0" fontId="64" fillId="0" borderId="13" xfId="22" applyFont="1" applyBorder="1" applyAlignment="1">
      <alignment horizontal="center" vertical="center"/>
    </xf>
    <xf numFmtId="3" fontId="64" fillId="0" borderId="6" xfId="22" applyNumberFormat="1" applyFont="1" applyBorder="1" applyAlignment="1">
      <alignment horizontal="center" vertical="top"/>
    </xf>
    <xf numFmtId="15" fontId="65" fillId="0" borderId="6" xfId="22" applyNumberFormat="1" applyFont="1" applyBorder="1" applyAlignment="1">
      <alignment horizontal="center" vertical="center" wrapText="1"/>
    </xf>
    <xf numFmtId="0" fontId="64" fillId="0" borderId="6" xfId="22" applyFont="1" applyBorder="1" applyAlignment="1">
      <alignment vertical="top"/>
    </xf>
    <xf numFmtId="3" fontId="64" fillId="0" borderId="6" xfId="22" applyNumberFormat="1" applyFont="1" applyBorder="1" applyAlignment="1">
      <alignment horizontal="right" vertical="top"/>
    </xf>
    <xf numFmtId="3" fontId="64" fillId="0" borderId="12" xfId="22" applyNumberFormat="1" applyFont="1" applyBorder="1" applyAlignment="1">
      <alignment horizontal="right" vertical="top"/>
    </xf>
    <xf numFmtId="3" fontId="64" fillId="0" borderId="16" xfId="22" applyNumberFormat="1" applyFont="1" applyBorder="1" applyAlignment="1">
      <alignment horizontal="right" vertical="top"/>
    </xf>
    <xf numFmtId="3" fontId="66" fillId="0" borderId="52" xfId="22" applyNumberFormat="1" applyFont="1" applyBorder="1" applyAlignment="1">
      <alignment horizontal="right" vertical="top"/>
    </xf>
    <xf numFmtId="0" fontId="64" fillId="0" borderId="0" xfId="22" applyFont="1" applyAlignment="1">
      <alignment horizontal="center" vertical="center"/>
    </xf>
    <xf numFmtId="3" fontId="64" fillId="0" borderId="0" xfId="22" applyNumberFormat="1" applyFont="1" applyAlignment="1">
      <alignment horizontal="center" vertical="center"/>
    </xf>
    <xf numFmtId="3" fontId="64" fillId="0" borderId="0" xfId="22" applyNumberFormat="1" applyFont="1" applyAlignment="1">
      <alignment vertical="top"/>
    </xf>
    <xf numFmtId="9" fontId="64" fillId="0" borderId="0" xfId="38" applyFont="1" applyFill="1" applyAlignment="1">
      <alignment vertical="top"/>
    </xf>
    <xf numFmtId="3" fontId="64" fillId="0" borderId="0" xfId="22" applyNumberFormat="1" applyFont="1" applyAlignment="1">
      <alignment horizontal="center" vertical="top"/>
    </xf>
    <xf numFmtId="0" fontId="2" fillId="0" borderId="0" xfId="22" applyAlignment="1">
      <alignment vertical="top"/>
    </xf>
    <xf numFmtId="3" fontId="2" fillId="0" borderId="0" xfId="22" applyNumberFormat="1" applyAlignment="1">
      <alignment vertical="top"/>
    </xf>
    <xf numFmtId="0" fontId="2" fillId="0" borderId="0" xfId="22" applyAlignment="1">
      <alignment horizontal="center" vertical="center"/>
    </xf>
    <xf numFmtId="3" fontId="47" fillId="0" borderId="0" xfId="22" applyNumberFormat="1" applyFont="1" applyAlignment="1">
      <alignment vertical="top"/>
    </xf>
    <xf numFmtId="0" fontId="50" fillId="13" borderId="0" xfId="22" applyFont="1" applyFill="1" applyAlignment="1">
      <alignment vertical="top"/>
    </xf>
    <xf numFmtId="0" fontId="50" fillId="0" borderId="0" xfId="22" applyFont="1" applyAlignment="1">
      <alignment vertical="top"/>
    </xf>
    <xf numFmtId="3" fontId="47" fillId="13" borderId="0" xfId="22" applyNumberFormat="1" applyFont="1" applyFill="1" applyAlignment="1">
      <alignment vertical="top"/>
    </xf>
    <xf numFmtId="0" fontId="50" fillId="13" borderId="0" xfId="22" applyFont="1" applyFill="1" applyAlignment="1">
      <alignment horizontal="center" vertical="center"/>
    </xf>
    <xf numFmtId="180" fontId="50" fillId="13" borderId="0" xfId="22" applyNumberFormat="1" applyFont="1" applyFill="1" applyAlignment="1">
      <alignment horizontal="center" vertical="center"/>
    </xf>
    <xf numFmtId="0" fontId="50" fillId="13" borderId="0" xfId="22" applyFont="1" applyFill="1" applyAlignment="1">
      <alignment horizontal="center" vertical="center" wrapText="1"/>
    </xf>
    <xf numFmtId="3" fontId="51" fillId="13" borderId="16" xfId="22" applyNumberFormat="1" applyFont="1" applyFill="1" applyBorder="1" applyAlignment="1">
      <alignment horizontal="right" vertical="top"/>
    </xf>
    <xf numFmtId="3" fontId="47" fillId="13" borderId="0" xfId="22" applyNumberFormat="1" applyFont="1" applyFill="1" applyAlignment="1">
      <alignment horizontal="center" vertical="center"/>
    </xf>
    <xf numFmtId="3" fontId="50" fillId="0" borderId="0" xfId="22" applyNumberFormat="1" applyFont="1" applyAlignment="1">
      <alignment vertical="top"/>
    </xf>
    <xf numFmtId="0" fontId="37" fillId="0" borderId="0" xfId="22" applyFont="1" applyAlignment="1">
      <alignment horizontal="center" vertical="center"/>
    </xf>
    <xf numFmtId="0" fontId="2" fillId="0" borderId="0" xfId="22" applyAlignment="1">
      <alignment horizontal="center" vertical="top"/>
    </xf>
    <xf numFmtId="0" fontId="50" fillId="0" borderId="0" xfId="22" applyFont="1" applyAlignment="1">
      <alignment horizontal="center" vertical="top"/>
    </xf>
    <xf numFmtId="0" fontId="54" fillId="13" borderId="0" xfId="22" applyFont="1" applyFill="1" applyAlignment="1">
      <alignment vertical="top"/>
    </xf>
    <xf numFmtId="0" fontId="47" fillId="0" borderId="0" xfId="22" applyFont="1" applyAlignment="1">
      <alignment vertical="top"/>
    </xf>
    <xf numFmtId="3" fontId="54" fillId="13" borderId="0" xfId="22" applyNumberFormat="1" applyFont="1" applyFill="1" applyAlignment="1">
      <alignment horizontal="right" vertical="top"/>
    </xf>
    <xf numFmtId="0" fontId="54" fillId="13" borderId="13" xfId="22" applyFont="1" applyFill="1" applyBorder="1" applyAlignment="1">
      <alignment horizontal="center" vertical="center"/>
    </xf>
    <xf numFmtId="3" fontId="54" fillId="13" borderId="6" xfId="22" applyNumberFormat="1" applyFont="1" applyFill="1" applyBorder="1" applyAlignment="1">
      <alignment horizontal="center" vertical="top"/>
    </xf>
    <xf numFmtId="15" fontId="68" fillId="13" borderId="6" xfId="22" applyNumberFormat="1" applyFont="1" applyFill="1" applyBorder="1" applyAlignment="1">
      <alignment horizontal="center" vertical="center" wrapText="1"/>
    </xf>
    <xf numFmtId="0" fontId="54" fillId="13" borderId="6" xfId="22" applyFont="1" applyFill="1" applyBorder="1" applyAlignment="1">
      <alignment vertical="top"/>
    </xf>
    <xf numFmtId="3" fontId="54" fillId="13" borderId="6" xfId="22" applyNumberFormat="1" applyFont="1" applyFill="1" applyBorder="1" applyAlignment="1">
      <alignment horizontal="right" vertical="top"/>
    </xf>
    <xf numFmtId="3" fontId="54" fillId="13" borderId="12" xfId="22" applyNumberFormat="1" applyFont="1" applyFill="1" applyBorder="1" applyAlignment="1">
      <alignment horizontal="right" vertical="top"/>
    </xf>
    <xf numFmtId="0" fontId="54" fillId="13" borderId="0" xfId="22" applyFont="1" applyFill="1" applyAlignment="1">
      <alignment horizontal="center" vertical="center"/>
    </xf>
    <xf numFmtId="0" fontId="54" fillId="0" borderId="0" xfId="22" applyFont="1" applyAlignment="1">
      <alignment vertical="top"/>
    </xf>
    <xf numFmtId="0" fontId="54" fillId="0" borderId="0" xfId="22" applyFont="1" applyAlignment="1">
      <alignment horizontal="center" vertical="top"/>
    </xf>
    <xf numFmtId="0" fontId="52" fillId="0" borderId="0" xfId="22" applyFont="1" applyAlignment="1">
      <alignment vertical="top"/>
    </xf>
    <xf numFmtId="0" fontId="37" fillId="34" borderId="0" xfId="22" applyFont="1" applyFill="1" applyAlignment="1">
      <alignment vertical="top"/>
    </xf>
    <xf numFmtId="3" fontId="47" fillId="34" borderId="0" xfId="22" applyNumberFormat="1" applyFont="1" applyFill="1" applyAlignment="1">
      <alignment vertical="top"/>
    </xf>
    <xf numFmtId="167" fontId="2" fillId="0" borderId="0" xfId="22" applyNumberFormat="1" applyAlignment="1">
      <alignment horizontal="center" vertical="top"/>
    </xf>
    <xf numFmtId="0" fontId="37" fillId="0" borderId="0" xfId="22" applyFont="1" applyAlignment="1">
      <alignment vertical="top"/>
    </xf>
    <xf numFmtId="3" fontId="69" fillId="0" borderId="0" xfId="22" applyNumberFormat="1" applyFont="1" applyAlignment="1">
      <alignment vertical="top"/>
    </xf>
    <xf numFmtId="3" fontId="2" fillId="0" borderId="0" xfId="22" applyNumberFormat="1" applyAlignment="1">
      <alignment horizontal="center" vertical="top"/>
    </xf>
    <xf numFmtId="3" fontId="47" fillId="35" borderId="0" xfId="22" applyNumberFormat="1" applyFont="1" applyFill="1" applyAlignment="1">
      <alignment vertical="top"/>
    </xf>
    <xf numFmtId="0" fontId="37" fillId="0" borderId="0" xfId="22" applyFont="1" applyAlignment="1">
      <alignment horizontal="center" vertical="top"/>
    </xf>
    <xf numFmtId="0" fontId="71" fillId="0" borderId="0" xfId="22" applyFont="1" applyAlignment="1">
      <alignment vertical="top"/>
    </xf>
    <xf numFmtId="3" fontId="72" fillId="0" borderId="0" xfId="22" applyNumberFormat="1" applyFont="1" applyAlignment="1">
      <alignment vertical="top"/>
    </xf>
    <xf numFmtId="10" fontId="0" fillId="0" borderId="0" xfId="38" applyNumberFormat="1" applyFont="1" applyAlignment="1">
      <alignment horizontal="center" vertical="top"/>
    </xf>
    <xf numFmtId="10" fontId="0" fillId="0" borderId="0" xfId="38" applyNumberFormat="1" applyFont="1" applyAlignment="1">
      <alignment vertical="top"/>
    </xf>
    <xf numFmtId="0" fontId="70" fillId="34" borderId="0" xfId="22" applyFont="1" applyFill="1" applyAlignment="1">
      <alignment vertical="top"/>
    </xf>
    <xf numFmtId="3" fontId="73" fillId="34" borderId="0" xfId="22" applyNumberFormat="1" applyFont="1" applyFill="1" applyAlignment="1">
      <alignment vertical="top"/>
    </xf>
    <xf numFmtId="0" fontId="74" fillId="0" borderId="100" xfId="22" applyFont="1" applyBorder="1" applyAlignment="1">
      <alignment vertical="center" wrapText="1"/>
    </xf>
    <xf numFmtId="0" fontId="74" fillId="0" borderId="100" xfId="22" applyFont="1" applyBorder="1" applyAlignment="1">
      <alignment horizontal="center" vertical="center" wrapText="1"/>
    </xf>
    <xf numFmtId="3" fontId="74" fillId="0" borderId="100" xfId="22" applyNumberFormat="1" applyFont="1" applyBorder="1" applyAlignment="1">
      <alignment vertical="center" wrapText="1"/>
    </xf>
    <xf numFmtId="10" fontId="74" fillId="0" borderId="100" xfId="22" applyNumberFormat="1" applyFont="1" applyBorder="1" applyAlignment="1">
      <alignment vertical="center" wrapText="1"/>
    </xf>
    <xf numFmtId="3" fontId="75" fillId="0" borderId="100" xfId="22" applyNumberFormat="1" applyFont="1" applyBorder="1" applyAlignment="1">
      <alignment vertical="center" wrapText="1"/>
    </xf>
    <xf numFmtId="10" fontId="75" fillId="0" borderId="100" xfId="22" applyNumberFormat="1" applyFont="1" applyBorder="1" applyAlignment="1">
      <alignment vertical="center" wrapText="1"/>
    </xf>
    <xf numFmtId="10" fontId="2" fillId="0" borderId="0" xfId="22" applyNumberFormat="1" applyAlignment="1">
      <alignment horizontal="center" vertical="top"/>
    </xf>
    <xf numFmtId="3" fontId="75" fillId="0" borderId="0" xfId="22" applyNumberFormat="1" applyFont="1" applyAlignment="1">
      <alignment vertical="center" wrapText="1"/>
    </xf>
    <xf numFmtId="10" fontId="75" fillId="0" borderId="0" xfId="22" applyNumberFormat="1" applyFont="1" applyAlignment="1">
      <alignment vertical="center" wrapText="1"/>
    </xf>
    <xf numFmtId="0" fontId="29" fillId="0" borderId="0" xfId="0" applyFont="1" applyAlignment="1">
      <alignment horizontal="justify" vertical="center" wrapText="1"/>
    </xf>
    <xf numFmtId="165" fontId="26" fillId="0" borderId="0" xfId="15" applyFont="1" applyAlignment="1">
      <alignment vertical="center" wrapText="1"/>
    </xf>
    <xf numFmtId="0" fontId="32" fillId="0" borderId="11" xfId="0" applyFont="1" applyBorder="1" applyAlignment="1">
      <alignment horizontal="center" vertical="center"/>
    </xf>
    <xf numFmtId="0" fontId="32" fillId="0" borderId="8" xfId="0" applyFont="1" applyBorder="1" applyAlignment="1">
      <alignment horizontal="center" vertical="center"/>
    </xf>
    <xf numFmtId="0" fontId="29" fillId="0" borderId="0" xfId="0" applyFont="1" applyAlignment="1">
      <alignment wrapText="1"/>
    </xf>
    <xf numFmtId="0" fontId="29" fillId="0" borderId="6" xfId="0" applyFont="1" applyBorder="1" applyAlignment="1">
      <alignment vertical="center"/>
    </xf>
    <xf numFmtId="15" fontId="29" fillId="0" borderId="14" xfId="0" applyNumberFormat="1" applyFont="1" applyBorder="1" applyAlignment="1">
      <alignment horizontal="center" vertical="center" wrapText="1"/>
    </xf>
    <xf numFmtId="0" fontId="29" fillId="0" borderId="0" xfId="0" applyFont="1" applyAlignment="1">
      <alignment horizontal="center" vertical="center" wrapText="1"/>
    </xf>
    <xf numFmtId="0" fontId="29" fillId="0" borderId="13" xfId="0" applyFont="1" applyBorder="1" applyAlignment="1">
      <alignment horizontal="center" vertical="center" wrapText="1"/>
    </xf>
    <xf numFmtId="0" fontId="29" fillId="0" borderId="13" xfId="0" applyFont="1" applyBorder="1" applyAlignment="1">
      <alignment horizontal="center" vertical="center"/>
    </xf>
    <xf numFmtId="0" fontId="29" fillId="0" borderId="13" xfId="0" applyFont="1" applyBorder="1" applyAlignment="1">
      <alignment horizontal="center"/>
    </xf>
    <xf numFmtId="0" fontId="29" fillId="0" borderId="6" xfId="0" applyFont="1" applyBorder="1" applyAlignment="1">
      <alignment horizontal="center"/>
    </xf>
    <xf numFmtId="0" fontId="29" fillId="0" borderId="0" xfId="0" applyFont="1" applyAlignment="1">
      <alignment horizontal="center"/>
    </xf>
    <xf numFmtId="0" fontId="29" fillId="0" borderId="12" xfId="0" applyFont="1" applyBorder="1" applyAlignment="1">
      <alignment horizontal="justify" vertical="center" wrapText="1"/>
    </xf>
    <xf numFmtId="0" fontId="32" fillId="0" borderId="9" xfId="0" applyFont="1" applyBorder="1" applyAlignment="1">
      <alignment horizontal="center" vertical="center"/>
    </xf>
    <xf numFmtId="0" fontId="32" fillId="10" borderId="6" xfId="0" applyFont="1" applyFill="1" applyBorder="1" applyAlignment="1">
      <alignment vertical="center" wrapText="1"/>
    </xf>
    <xf numFmtId="171" fontId="29" fillId="0" borderId="6" xfId="11" applyFont="1" applyBorder="1" applyAlignment="1">
      <alignment vertical="center" wrapText="1"/>
    </xf>
    <xf numFmtId="4" fontId="36" fillId="0" borderId="6" xfId="0" applyNumberFormat="1" applyFont="1" applyBorder="1" applyAlignment="1">
      <alignment vertical="center"/>
    </xf>
    <xf numFmtId="0" fontId="41" fillId="0" borderId="0" xfId="0" applyFont="1" applyAlignment="1">
      <alignment horizontal="center" vertical="center" wrapText="1"/>
    </xf>
    <xf numFmtId="0" fontId="29" fillId="0" borderId="0" xfId="0" applyFont="1" applyAlignment="1">
      <alignment vertical="center" wrapText="1"/>
    </xf>
    <xf numFmtId="179" fontId="29" fillId="0" borderId="0" xfId="0" applyNumberFormat="1" applyFont="1" applyAlignment="1">
      <alignment vertical="center"/>
    </xf>
    <xf numFmtId="4" fontId="36" fillId="12" borderId="6" xfId="0" applyNumberFormat="1" applyFont="1" applyFill="1" applyBorder="1" applyAlignment="1">
      <alignment horizontal="center" vertical="center"/>
    </xf>
    <xf numFmtId="0" fontId="62" fillId="0" borderId="6" xfId="0" applyFont="1" applyBorder="1" applyAlignment="1">
      <alignment vertical="center"/>
    </xf>
    <xf numFmtId="0" fontId="27" fillId="32" borderId="15" xfId="0" applyFont="1" applyFill="1" applyBorder="1" applyAlignment="1">
      <alignment horizontal="center" vertical="center" wrapText="1"/>
    </xf>
    <xf numFmtId="0" fontId="36" fillId="0" borderId="4" xfId="0" applyFont="1" applyBorder="1" applyAlignment="1">
      <alignment vertical="center"/>
    </xf>
    <xf numFmtId="179" fontId="36" fillId="0" borderId="4" xfId="14" applyNumberFormat="1" applyFont="1" applyBorder="1" applyAlignment="1">
      <alignment vertical="center"/>
    </xf>
    <xf numFmtId="0" fontId="62" fillId="0" borderId="4" xfId="0" applyFont="1" applyBorder="1" applyAlignment="1">
      <alignment vertical="center"/>
    </xf>
    <xf numFmtId="0" fontId="36" fillId="12" borderId="4" xfId="0" applyFont="1" applyFill="1" applyBorder="1" applyAlignment="1">
      <alignment horizontal="center" vertical="center"/>
    </xf>
    <xf numFmtId="178" fontId="35" fillId="11" borderId="4" xfId="15" applyNumberFormat="1" applyFont="1" applyFill="1" applyBorder="1" applyAlignment="1">
      <alignment horizontal="center" vertical="center"/>
    </xf>
    <xf numFmtId="178" fontId="35" fillId="0" borderId="4" xfId="15" applyNumberFormat="1" applyFont="1" applyFill="1" applyBorder="1" applyAlignment="1">
      <alignment horizontal="center" vertical="center"/>
    </xf>
    <xf numFmtId="0" fontId="35" fillId="0" borderId="4" xfId="0" applyFont="1" applyBorder="1" applyAlignment="1">
      <alignment vertical="center"/>
    </xf>
    <xf numFmtId="0" fontId="29" fillId="32" borderId="0" xfId="0" applyFont="1" applyFill="1" applyAlignment="1">
      <alignment vertical="center"/>
    </xf>
    <xf numFmtId="0" fontId="27" fillId="32" borderId="5" xfId="0" applyFont="1" applyFill="1" applyBorder="1" applyAlignment="1">
      <alignment horizontal="center" vertical="center" wrapText="1"/>
    </xf>
    <xf numFmtId="0" fontId="37" fillId="32" borderId="19" xfId="0" applyFont="1" applyFill="1" applyBorder="1" applyAlignment="1">
      <alignment horizontal="center" vertical="center" wrapText="1"/>
    </xf>
    <xf numFmtId="49" fontId="27" fillId="32" borderId="5" xfId="0" applyNumberFormat="1" applyFont="1" applyFill="1" applyBorder="1" applyAlignment="1">
      <alignment horizontal="center" vertical="center" wrapText="1"/>
    </xf>
    <xf numFmtId="0" fontId="29" fillId="32" borderId="45" xfId="0" applyFont="1" applyFill="1" applyBorder="1" applyAlignment="1">
      <alignment vertical="center"/>
    </xf>
    <xf numFmtId="0" fontId="37" fillId="32" borderId="5" xfId="0" applyFont="1" applyFill="1" applyBorder="1" applyAlignment="1">
      <alignment horizontal="center" vertical="center" wrapText="1"/>
    </xf>
    <xf numFmtId="49" fontId="37" fillId="32" borderId="5" xfId="0" applyNumberFormat="1" applyFont="1" applyFill="1" applyBorder="1" applyAlignment="1">
      <alignment horizontal="center" vertical="center" wrapText="1"/>
    </xf>
    <xf numFmtId="0" fontId="37" fillId="32" borderId="28" xfId="0" applyFont="1" applyFill="1" applyBorder="1" applyAlignment="1">
      <alignment horizontal="center" vertical="center" wrapText="1"/>
    </xf>
    <xf numFmtId="180" fontId="41" fillId="0" borderId="0" xfId="0" applyNumberFormat="1" applyFont="1" applyAlignment="1">
      <alignment horizontal="center" vertical="center"/>
    </xf>
    <xf numFmtId="0" fontId="76" fillId="0" borderId="0" xfId="0" applyFont="1" applyAlignment="1">
      <alignment vertical="center"/>
    </xf>
    <xf numFmtId="178" fontId="76" fillId="0" borderId="0" xfId="0" applyNumberFormat="1" applyFont="1" applyAlignment="1">
      <alignment vertical="center"/>
    </xf>
    <xf numFmtId="0" fontId="76" fillId="0" borderId="0" xfId="0" applyFont="1" applyAlignment="1">
      <alignment vertical="center" wrapText="1"/>
    </xf>
    <xf numFmtId="0" fontId="40" fillId="0" borderId="0" xfId="0" applyFont="1" applyAlignment="1">
      <alignment vertical="center"/>
    </xf>
    <xf numFmtId="0" fontId="40" fillId="0" borderId="0" xfId="0" applyFont="1" applyAlignment="1">
      <alignment vertical="center" wrapText="1"/>
    </xf>
    <xf numFmtId="175" fontId="26" fillId="0" borderId="5" xfId="10" applyNumberFormat="1" applyFont="1" applyFill="1" applyBorder="1" applyAlignment="1">
      <alignment vertical="center"/>
    </xf>
    <xf numFmtId="0" fontId="39" fillId="19" borderId="0" xfId="0" applyFont="1" applyFill="1" applyAlignment="1">
      <alignment vertical="center" wrapText="1"/>
    </xf>
    <xf numFmtId="179" fontId="39" fillId="19" borderId="0" xfId="0" applyNumberFormat="1" applyFont="1" applyFill="1" applyAlignment="1">
      <alignment vertical="center" wrapText="1"/>
    </xf>
    <xf numFmtId="0" fontId="39" fillId="0" borderId="0" xfId="0" applyFont="1" applyAlignment="1">
      <alignment vertical="center" wrapText="1"/>
    </xf>
    <xf numFmtId="3" fontId="67" fillId="0" borderId="0" xfId="22" applyNumberFormat="1" applyFont="1" applyAlignment="1">
      <alignment horizontal="right" vertical="top"/>
    </xf>
    <xf numFmtId="9" fontId="27" fillId="0" borderId="71" xfId="22" applyNumberFormat="1" applyFont="1" applyBorder="1" applyAlignment="1">
      <alignment horizontal="center" vertical="center" wrapText="1"/>
    </xf>
    <xf numFmtId="9" fontId="26" fillId="10" borderId="29" xfId="28" applyFont="1" applyFill="1" applyBorder="1" applyAlignment="1" applyProtection="1">
      <alignment horizontal="center" vertical="center" wrapText="1"/>
      <protection locked="0"/>
    </xf>
    <xf numFmtId="175" fontId="27" fillId="0" borderId="21" xfId="10" applyNumberFormat="1" applyFont="1" applyFill="1" applyBorder="1" applyAlignment="1">
      <alignment vertical="center"/>
    </xf>
    <xf numFmtId="175" fontId="27" fillId="0" borderId="6" xfId="10" applyNumberFormat="1" applyFont="1" applyFill="1" applyBorder="1" applyAlignment="1">
      <alignment vertical="center"/>
    </xf>
    <xf numFmtId="15" fontId="29" fillId="0" borderId="13" xfId="0" applyNumberFormat="1" applyFont="1" applyBorder="1" applyAlignment="1">
      <alignment horizontal="center" vertical="center" wrapText="1"/>
    </xf>
    <xf numFmtId="3" fontId="77" fillId="0" borderId="0" xfId="22" applyNumberFormat="1" applyFont="1" applyAlignment="1">
      <alignment horizontal="right" vertical="top"/>
    </xf>
    <xf numFmtId="3" fontId="51" fillId="0" borderId="16" xfId="22" applyNumberFormat="1" applyFont="1" applyBorder="1" applyAlignment="1">
      <alignment horizontal="right" vertical="top"/>
    </xf>
    <xf numFmtId="169" fontId="66" fillId="0" borderId="0" xfId="39" applyFont="1" applyFill="1" applyAlignment="1">
      <alignment vertical="top"/>
    </xf>
    <xf numFmtId="0" fontId="64" fillId="36" borderId="0" xfId="22" applyFont="1" applyFill="1" applyAlignment="1">
      <alignment vertical="top"/>
    </xf>
    <xf numFmtId="9" fontId="64" fillId="0" borderId="0" xfId="22" applyNumberFormat="1" applyFont="1" applyAlignment="1">
      <alignment vertical="top"/>
    </xf>
    <xf numFmtId="3" fontId="66" fillId="0" borderId="0" xfId="22" applyNumberFormat="1" applyFont="1" applyAlignment="1">
      <alignment horizontal="center" vertical="center"/>
    </xf>
    <xf numFmtId="0" fontId="66" fillId="0" borderId="0" xfId="22" applyFont="1" applyAlignment="1">
      <alignment vertical="top"/>
    </xf>
    <xf numFmtId="14" fontId="66" fillId="0" borderId="0" xfId="22" applyNumberFormat="1" applyFont="1" applyAlignment="1">
      <alignment horizontal="right" vertical="top"/>
    </xf>
    <xf numFmtId="0" fontId="66" fillId="0" borderId="13" xfId="22" applyFont="1" applyBorder="1" applyAlignment="1">
      <alignment horizontal="center" vertical="center"/>
    </xf>
    <xf numFmtId="3" fontId="66" fillId="0" borderId="6" xfId="22" applyNumberFormat="1" applyFont="1" applyBorder="1" applyAlignment="1">
      <alignment horizontal="center" vertical="top"/>
    </xf>
    <xf numFmtId="15" fontId="78" fillId="0" borderId="6" xfId="22" applyNumberFormat="1" applyFont="1" applyBorder="1" applyAlignment="1">
      <alignment horizontal="center" vertical="center" wrapText="1"/>
    </xf>
    <xf numFmtId="0" fontId="66" fillId="0" borderId="6" xfId="22" applyFont="1" applyBorder="1" applyAlignment="1">
      <alignment vertical="top"/>
    </xf>
    <xf numFmtId="3" fontId="66" fillId="0" borderId="6" xfId="22" applyNumberFormat="1" applyFont="1" applyBorder="1" applyAlignment="1">
      <alignment horizontal="right" vertical="top"/>
    </xf>
    <xf numFmtId="3" fontId="23" fillId="0" borderId="0" xfId="22" applyNumberFormat="1" applyFont="1" applyAlignment="1">
      <alignment horizontal="right" vertical="top"/>
    </xf>
    <xf numFmtId="3" fontId="66" fillId="0" borderId="12" xfId="22" applyNumberFormat="1" applyFont="1" applyBorder="1" applyAlignment="1">
      <alignment horizontal="right" vertical="top"/>
    </xf>
    <xf numFmtId="0" fontId="66" fillId="0" borderId="0" xfId="22" applyFont="1" applyAlignment="1">
      <alignment horizontal="center" vertical="center"/>
    </xf>
    <xf numFmtId="3" fontId="66" fillId="0" borderId="0" xfId="22" applyNumberFormat="1" applyFont="1" applyAlignment="1">
      <alignment vertical="top"/>
    </xf>
    <xf numFmtId="3" fontId="66" fillId="0" borderId="0" xfId="22" applyNumberFormat="1" applyFont="1" applyAlignment="1">
      <alignment horizontal="center" vertical="top"/>
    </xf>
    <xf numFmtId="14" fontId="52" fillId="0" borderId="0" xfId="22" applyNumberFormat="1" applyFont="1" applyAlignment="1">
      <alignment horizontal="right" vertical="top"/>
    </xf>
    <xf numFmtId="0" fontId="52" fillId="0" borderId="13" xfId="22" applyFont="1" applyBorder="1" applyAlignment="1">
      <alignment horizontal="center" vertical="center"/>
    </xf>
    <xf numFmtId="3" fontId="52" fillId="0" borderId="6" xfId="22" applyNumberFormat="1" applyFont="1" applyBorder="1" applyAlignment="1">
      <alignment horizontal="center" vertical="top"/>
    </xf>
    <xf numFmtId="15" fontId="53" fillId="0" borderId="6" xfId="22" applyNumberFormat="1" applyFont="1" applyBorder="1" applyAlignment="1">
      <alignment horizontal="center" vertical="center" wrapText="1"/>
    </xf>
    <xf numFmtId="0" fontId="52" fillId="0" borderId="6" xfId="22" applyFont="1" applyBorder="1" applyAlignment="1">
      <alignment vertical="top"/>
    </xf>
    <xf numFmtId="3" fontId="52" fillId="0" borderId="6" xfId="22" applyNumberFormat="1" applyFont="1" applyBorder="1" applyAlignment="1">
      <alignment horizontal="right" vertical="top"/>
    </xf>
    <xf numFmtId="3" fontId="79" fillId="0" borderId="0" xfId="22" applyNumberFormat="1" applyFont="1" applyAlignment="1">
      <alignment horizontal="right" vertical="top"/>
    </xf>
    <xf numFmtId="3" fontId="52" fillId="0" borderId="12" xfId="22" applyNumberFormat="1" applyFont="1" applyBorder="1" applyAlignment="1">
      <alignment horizontal="right" vertical="top"/>
    </xf>
    <xf numFmtId="0" fontId="52" fillId="0" borderId="0" xfId="22" applyFont="1" applyAlignment="1">
      <alignment horizontal="center" vertical="center"/>
    </xf>
    <xf numFmtId="3" fontId="52" fillId="0" borderId="0" xfId="22" applyNumberFormat="1" applyFont="1" applyAlignment="1">
      <alignment horizontal="center" vertical="center"/>
    </xf>
    <xf numFmtId="3" fontId="52" fillId="0" borderId="0" xfId="22" applyNumberFormat="1" applyFont="1" applyAlignment="1">
      <alignment vertical="top"/>
    </xf>
    <xf numFmtId="3" fontId="52" fillId="0" borderId="0" xfId="22" applyNumberFormat="1" applyFont="1" applyAlignment="1">
      <alignment horizontal="center" vertical="top"/>
    </xf>
    <xf numFmtId="0" fontId="77" fillId="0" borderId="0" xfId="22" applyFont="1" applyAlignment="1">
      <alignment vertical="top"/>
    </xf>
    <xf numFmtId="14" fontId="77" fillId="0" borderId="0" xfId="22" applyNumberFormat="1" applyFont="1" applyAlignment="1">
      <alignment horizontal="right" vertical="top"/>
    </xf>
    <xf numFmtId="3" fontId="64" fillId="37" borderId="0" xfId="22" applyNumberFormat="1" applyFont="1" applyFill="1" applyAlignment="1">
      <alignment horizontal="center" vertical="top"/>
    </xf>
    <xf numFmtId="3" fontId="51" fillId="0" borderId="6" xfId="22" applyNumberFormat="1" applyFont="1" applyBorder="1" applyAlignment="1">
      <alignment horizontal="right" vertical="top"/>
    </xf>
    <xf numFmtId="3" fontId="47" fillId="37" borderId="0" xfId="22" applyNumberFormat="1" applyFont="1" applyFill="1" applyAlignment="1">
      <alignment vertical="top"/>
    </xf>
    <xf numFmtId="9" fontId="37" fillId="0" borderId="0" xfId="38" applyFont="1" applyAlignment="1">
      <alignment horizontal="center" vertical="center"/>
    </xf>
    <xf numFmtId="10" fontId="37" fillId="0" borderId="0" xfId="38" applyNumberFormat="1" applyFont="1" applyAlignment="1">
      <alignment horizontal="center" vertical="center"/>
    </xf>
    <xf numFmtId="169" fontId="37" fillId="34" borderId="0" xfId="22" applyNumberFormat="1" applyFont="1" applyFill="1" applyAlignment="1">
      <alignment vertical="top"/>
    </xf>
    <xf numFmtId="0" fontId="54" fillId="36" borderId="0" xfId="22" applyFont="1" applyFill="1" applyAlignment="1">
      <alignment vertical="top"/>
    </xf>
    <xf numFmtId="14" fontId="54" fillId="36" borderId="0" xfId="22" applyNumberFormat="1" applyFont="1" applyFill="1" applyAlignment="1">
      <alignment horizontal="right" vertical="top"/>
    </xf>
    <xf numFmtId="3" fontId="54" fillId="36" borderId="0" xfId="22" applyNumberFormat="1" applyFont="1" applyFill="1" applyAlignment="1">
      <alignment horizontal="right" vertical="top"/>
    </xf>
    <xf numFmtId="0" fontId="54" fillId="36" borderId="13" xfId="22" applyFont="1" applyFill="1" applyBorder="1" applyAlignment="1">
      <alignment horizontal="center" vertical="center"/>
    </xf>
    <xf numFmtId="3" fontId="54" fillId="36" borderId="6" xfId="22" applyNumberFormat="1" applyFont="1" applyFill="1" applyBorder="1" applyAlignment="1">
      <alignment horizontal="center" vertical="top"/>
    </xf>
    <xf numFmtId="15" fontId="68" fillId="36" borderId="6" xfId="22" applyNumberFormat="1" applyFont="1" applyFill="1" applyBorder="1" applyAlignment="1">
      <alignment horizontal="center" vertical="center" wrapText="1"/>
    </xf>
    <xf numFmtId="0" fontId="54" fillId="36" borderId="6" xfId="22" applyFont="1" applyFill="1" applyBorder="1" applyAlignment="1">
      <alignment vertical="top"/>
    </xf>
    <xf numFmtId="3" fontId="54" fillId="36" borderId="6" xfId="22" applyNumberFormat="1" applyFont="1" applyFill="1" applyBorder="1" applyAlignment="1">
      <alignment horizontal="right" vertical="top"/>
    </xf>
    <xf numFmtId="3" fontId="54" fillId="36" borderId="12" xfId="22" applyNumberFormat="1" applyFont="1" applyFill="1" applyBorder="1" applyAlignment="1">
      <alignment horizontal="right" vertical="top"/>
    </xf>
    <xf numFmtId="0" fontId="54" fillId="36" borderId="0" xfId="22" applyFont="1" applyFill="1" applyAlignment="1">
      <alignment horizontal="center" vertical="center"/>
    </xf>
    <xf numFmtId="3" fontId="54" fillId="36" borderId="0" xfId="22" applyNumberFormat="1" applyFont="1" applyFill="1" applyAlignment="1">
      <alignment horizontal="center" vertical="center"/>
    </xf>
    <xf numFmtId="3" fontId="54" fillId="36" borderId="0" xfId="22" applyNumberFormat="1" applyFont="1" applyFill="1" applyAlignment="1">
      <alignment vertical="top"/>
    </xf>
    <xf numFmtId="9" fontId="54" fillId="36" borderId="0" xfId="38" applyFont="1" applyFill="1" applyAlignment="1">
      <alignment vertical="top"/>
    </xf>
    <xf numFmtId="0" fontId="54" fillId="36" borderId="0" xfId="22" applyFont="1" applyFill="1" applyAlignment="1">
      <alignment horizontal="center" vertical="top"/>
    </xf>
    <xf numFmtId="10" fontId="54" fillId="36" borderId="0" xfId="38" applyNumberFormat="1" applyFont="1" applyFill="1" applyAlignment="1">
      <alignment horizontal="center" vertical="top"/>
    </xf>
    <xf numFmtId="14" fontId="54" fillId="0" borderId="0" xfId="22" applyNumberFormat="1" applyFont="1" applyAlignment="1">
      <alignment horizontal="right" vertical="top"/>
    </xf>
    <xf numFmtId="3" fontId="54" fillId="13" borderId="0" xfId="22" applyNumberFormat="1" applyFont="1" applyFill="1" applyAlignment="1">
      <alignment horizontal="center" vertical="center"/>
    </xf>
    <xf numFmtId="3" fontId="54" fillId="0" borderId="0" xfId="22" applyNumberFormat="1" applyFont="1" applyAlignment="1">
      <alignment vertical="top"/>
    </xf>
    <xf numFmtId="0" fontId="72" fillId="36" borderId="0" xfId="22" applyFont="1" applyFill="1" applyAlignment="1">
      <alignment vertical="top"/>
    </xf>
    <xf numFmtId="14" fontId="72" fillId="36" borderId="0" xfId="22" applyNumberFormat="1" applyFont="1" applyFill="1" applyAlignment="1">
      <alignment horizontal="right" vertical="top"/>
    </xf>
    <xf numFmtId="3" fontId="72" fillId="36" borderId="0" xfId="22" applyNumberFormat="1" applyFont="1" applyFill="1" applyAlignment="1">
      <alignment horizontal="right" vertical="top"/>
    </xf>
    <xf numFmtId="0" fontId="72" fillId="36" borderId="13" xfId="22" applyFont="1" applyFill="1" applyBorder="1" applyAlignment="1">
      <alignment horizontal="center" vertical="center"/>
    </xf>
    <xf numFmtId="3" fontId="72" fillId="36" borderId="6" xfId="22" applyNumberFormat="1" applyFont="1" applyFill="1" applyBorder="1" applyAlignment="1">
      <alignment horizontal="center" vertical="top"/>
    </xf>
    <xf numFmtId="15" fontId="80" fillId="36" borderId="6" xfId="22" applyNumberFormat="1" applyFont="1" applyFill="1" applyBorder="1" applyAlignment="1">
      <alignment horizontal="center" vertical="center" wrapText="1"/>
    </xf>
    <xf numFmtId="0" fontId="72" fillId="36" borderId="6" xfId="22" applyFont="1" applyFill="1" applyBorder="1" applyAlignment="1">
      <alignment vertical="top"/>
    </xf>
    <xf numFmtId="3" fontId="72" fillId="36" borderId="6" xfId="22" applyNumberFormat="1" applyFont="1" applyFill="1" applyBorder="1" applyAlignment="1">
      <alignment horizontal="right" vertical="top"/>
    </xf>
    <xf numFmtId="3" fontId="72" fillId="36" borderId="12" xfId="22" applyNumberFormat="1" applyFont="1" applyFill="1" applyBorder="1" applyAlignment="1">
      <alignment horizontal="right" vertical="top"/>
    </xf>
    <xf numFmtId="3" fontId="72" fillId="36" borderId="0" xfId="22" applyNumberFormat="1" applyFont="1" applyFill="1" applyAlignment="1">
      <alignment horizontal="center" vertical="center"/>
    </xf>
    <xf numFmtId="0" fontId="72" fillId="36" borderId="0" xfId="22" applyFont="1" applyFill="1" applyAlignment="1">
      <alignment horizontal="center" vertical="center"/>
    </xf>
    <xf numFmtId="0" fontId="69" fillId="36" borderId="0" xfId="22" applyFont="1" applyFill="1" applyAlignment="1">
      <alignment vertical="top"/>
    </xf>
    <xf numFmtId="3" fontId="72" fillId="36" borderId="0" xfId="22" applyNumberFormat="1" applyFont="1" applyFill="1" applyAlignment="1">
      <alignment vertical="top"/>
    </xf>
    <xf numFmtId="0" fontId="72" fillId="36" borderId="0" xfId="22" applyFont="1" applyFill="1" applyAlignment="1">
      <alignment horizontal="center" vertical="top"/>
    </xf>
    <xf numFmtId="0" fontId="72" fillId="13" borderId="0" xfId="22" applyFont="1" applyFill="1" applyAlignment="1">
      <alignment vertical="top"/>
    </xf>
    <xf numFmtId="0" fontId="72" fillId="0" borderId="0" xfId="22" applyFont="1" applyAlignment="1">
      <alignment vertical="top"/>
    </xf>
    <xf numFmtId="14" fontId="72" fillId="0" borderId="0" xfId="22" applyNumberFormat="1" applyFont="1" applyAlignment="1">
      <alignment horizontal="right" vertical="top"/>
    </xf>
    <xf numFmtId="3" fontId="72" fillId="13" borderId="0" xfId="22" applyNumberFormat="1" applyFont="1" applyFill="1" applyAlignment="1">
      <alignment horizontal="right" vertical="top"/>
    </xf>
    <xf numFmtId="0" fontId="72" fillId="13" borderId="13" xfId="22" applyFont="1" applyFill="1" applyBorder="1" applyAlignment="1">
      <alignment horizontal="center" vertical="center"/>
    </xf>
    <xf numFmtId="3" fontId="72" fillId="13" borderId="6" xfId="22" applyNumberFormat="1" applyFont="1" applyFill="1" applyBorder="1" applyAlignment="1">
      <alignment horizontal="center" vertical="top"/>
    </xf>
    <xf numFmtId="15" fontId="80" fillId="13" borderId="6" xfId="22" applyNumberFormat="1" applyFont="1" applyFill="1" applyBorder="1" applyAlignment="1">
      <alignment horizontal="center" vertical="center" wrapText="1"/>
    </xf>
    <xf numFmtId="0" fontId="72" fillId="13" borderId="6" xfId="22" applyFont="1" applyFill="1" applyBorder="1" applyAlignment="1">
      <alignment vertical="top"/>
    </xf>
    <xf numFmtId="3" fontId="72" fillId="13" borderId="6" xfId="22" applyNumberFormat="1" applyFont="1" applyFill="1" applyBorder="1" applyAlignment="1">
      <alignment horizontal="right" vertical="top"/>
    </xf>
    <xf numFmtId="3" fontId="72" fillId="13" borderId="12" xfId="22" applyNumberFormat="1" applyFont="1" applyFill="1" applyBorder="1" applyAlignment="1">
      <alignment horizontal="right" vertical="top"/>
    </xf>
    <xf numFmtId="0" fontId="72" fillId="13" borderId="0" xfId="22" applyFont="1" applyFill="1" applyAlignment="1">
      <alignment horizontal="center" vertical="center"/>
    </xf>
    <xf numFmtId="3" fontId="72" fillId="13" borderId="0" xfId="22" applyNumberFormat="1" applyFont="1" applyFill="1" applyAlignment="1">
      <alignment horizontal="center" vertical="center"/>
    </xf>
    <xf numFmtId="0" fontId="69" fillId="0" borderId="0" xfId="22" applyFont="1" applyAlignment="1">
      <alignment vertical="top"/>
    </xf>
    <xf numFmtId="0" fontId="72" fillId="0" borderId="0" xfId="22" applyFont="1" applyAlignment="1">
      <alignment horizontal="center" vertical="top"/>
    </xf>
    <xf numFmtId="3" fontId="37" fillId="0" borderId="0" xfId="22" applyNumberFormat="1" applyFont="1" applyAlignment="1">
      <alignment vertical="top"/>
    </xf>
    <xf numFmtId="0" fontId="81" fillId="38" borderId="99" xfId="22" applyFont="1" applyFill="1" applyBorder="1" applyAlignment="1">
      <alignment horizontal="center" vertical="center"/>
    </xf>
    <xf numFmtId="0" fontId="81" fillId="38" borderId="34" xfId="22" applyFont="1" applyFill="1" applyBorder="1" applyAlignment="1">
      <alignment horizontal="center" vertical="center"/>
    </xf>
    <xf numFmtId="0" fontId="81" fillId="38" borderId="57" xfId="22" applyFont="1" applyFill="1" applyBorder="1" applyAlignment="1">
      <alignment horizontal="justify" vertical="center"/>
    </xf>
    <xf numFmtId="0" fontId="81" fillId="38" borderId="48" xfId="22" applyFont="1" applyFill="1" applyBorder="1" applyAlignment="1">
      <alignment horizontal="justify" vertical="center"/>
    </xf>
    <xf numFmtId="0" fontId="81" fillId="0" borderId="57" xfId="22" applyFont="1" applyBorder="1" applyAlignment="1">
      <alignment horizontal="justify" vertical="center"/>
    </xf>
    <xf numFmtId="167" fontId="81" fillId="0" borderId="48" xfId="22" applyNumberFormat="1" applyFont="1" applyBorder="1" applyAlignment="1">
      <alignment horizontal="right" vertical="center"/>
    </xf>
    <xf numFmtId="0" fontId="24" fillId="39" borderId="57" xfId="22" applyFont="1" applyFill="1" applyBorder="1" applyAlignment="1">
      <alignment horizontal="justify" vertical="center"/>
    </xf>
    <xf numFmtId="0" fontId="24" fillId="39" borderId="48" xfId="22" applyFont="1" applyFill="1" applyBorder="1" applyAlignment="1">
      <alignment horizontal="center" vertical="center"/>
    </xf>
    <xf numFmtId="167" fontId="24" fillId="39" borderId="48" xfId="22" applyNumberFormat="1" applyFont="1" applyFill="1" applyBorder="1" applyAlignment="1">
      <alignment horizontal="right" vertical="center"/>
    </xf>
    <xf numFmtId="167" fontId="24" fillId="0" borderId="48" xfId="22" applyNumberFormat="1" applyFont="1" applyBorder="1" applyAlignment="1">
      <alignment horizontal="right" vertical="center"/>
    </xf>
    <xf numFmtId="0" fontId="24" fillId="0" borderId="57" xfId="22" applyFont="1" applyBorder="1" applyAlignment="1">
      <alignment horizontal="justify" vertical="center"/>
    </xf>
    <xf numFmtId="0" fontId="24" fillId="40" borderId="57" xfId="22" applyFont="1" applyFill="1" applyBorder="1" applyAlignment="1">
      <alignment horizontal="justify" vertical="center"/>
    </xf>
    <xf numFmtId="167" fontId="24" fillId="40" borderId="48" xfId="22" applyNumberFormat="1" applyFont="1" applyFill="1" applyBorder="1" applyAlignment="1">
      <alignment horizontal="right" vertical="center"/>
    </xf>
    <xf numFmtId="167" fontId="81" fillId="38" borderId="48" xfId="22" applyNumberFormat="1" applyFont="1" applyFill="1" applyBorder="1" applyAlignment="1">
      <alignment horizontal="right" vertical="center"/>
    </xf>
    <xf numFmtId="0" fontId="81" fillId="39" borderId="57" xfId="22" applyFont="1" applyFill="1" applyBorder="1" applyAlignment="1">
      <alignment horizontal="justify" vertical="center"/>
    </xf>
    <xf numFmtId="0" fontId="82" fillId="0" borderId="57" xfId="22" applyFont="1" applyBorder="1" applyAlignment="1">
      <alignment horizontal="justify" vertical="center"/>
    </xf>
    <xf numFmtId="167" fontId="83" fillId="0" borderId="48" xfId="22" applyNumberFormat="1" applyFont="1" applyBorder="1" applyAlignment="1">
      <alignment horizontal="right" vertical="center"/>
    </xf>
    <xf numFmtId="0" fontId="84" fillId="0" borderId="57" xfId="22" applyFont="1" applyBorder="1" applyAlignment="1">
      <alignment horizontal="justify" vertical="center"/>
    </xf>
    <xf numFmtId="167" fontId="84" fillId="0" borderId="48" xfId="22" applyNumberFormat="1" applyFont="1" applyBorder="1" applyAlignment="1">
      <alignment horizontal="right" vertical="center"/>
    </xf>
    <xf numFmtId="175" fontId="26" fillId="0" borderId="0" xfId="0" applyNumberFormat="1" applyFont="1" applyAlignment="1">
      <alignment vertical="center"/>
    </xf>
    <xf numFmtId="175" fontId="26" fillId="0" borderId="0" xfId="0" applyNumberFormat="1" applyFont="1"/>
    <xf numFmtId="0" fontId="42" fillId="0" borderId="0" xfId="34"/>
    <xf numFmtId="0" fontId="42" fillId="0" borderId="0" xfId="34" applyAlignment="1">
      <alignment wrapText="1"/>
    </xf>
    <xf numFmtId="0" fontId="29" fillId="0" borderId="3" xfId="0" applyFont="1" applyBorder="1" applyAlignment="1">
      <alignment horizontal="center" vertical="center" wrapText="1"/>
    </xf>
    <xf numFmtId="0" fontId="29" fillId="0" borderId="17" xfId="0" applyFont="1" applyBorder="1" applyAlignment="1">
      <alignment horizontal="center" vertical="center" wrapText="1"/>
    </xf>
    <xf numFmtId="0" fontId="29" fillId="0" borderId="4" xfId="0" applyFont="1" applyBorder="1" applyAlignment="1">
      <alignment horizontal="center" vertical="center" wrapText="1"/>
    </xf>
    <xf numFmtId="0" fontId="27" fillId="9" borderId="6" xfId="22" applyFont="1" applyFill="1" applyBorder="1" applyAlignment="1">
      <alignment horizontal="left" vertical="center" wrapText="1"/>
    </xf>
    <xf numFmtId="0" fontId="29" fillId="0" borderId="12" xfId="0" applyFont="1" applyBorder="1" applyAlignment="1">
      <alignment horizontal="left" vertical="center"/>
    </xf>
    <xf numFmtId="0" fontId="29" fillId="0" borderId="38" xfId="0" applyFont="1" applyBorder="1" applyAlignment="1">
      <alignment horizontal="left" vertical="center"/>
    </xf>
    <xf numFmtId="0" fontId="29" fillId="0" borderId="39" xfId="0" applyFont="1" applyBorder="1" applyAlignment="1">
      <alignment horizontal="left" vertical="center"/>
    </xf>
    <xf numFmtId="0" fontId="32" fillId="12" borderId="6" xfId="22" applyFont="1" applyFill="1" applyBorder="1" applyAlignment="1">
      <alignment horizontal="center" vertical="center" wrapText="1"/>
    </xf>
    <xf numFmtId="0" fontId="27" fillId="12" borderId="6" xfId="22" applyFont="1" applyFill="1" applyBorder="1" applyAlignment="1">
      <alignment horizontal="center" vertical="center" wrapText="1"/>
    </xf>
    <xf numFmtId="0" fontId="62" fillId="0" borderId="6" xfId="28" applyNumberFormat="1" applyFont="1" applyBorder="1" applyAlignment="1">
      <alignment horizontal="justify" vertical="center" wrapText="1"/>
    </xf>
    <xf numFmtId="0" fontId="87" fillId="39" borderId="0" xfId="0" applyFont="1" applyFill="1" applyAlignment="1">
      <alignment wrapText="1"/>
    </xf>
    <xf numFmtId="0" fontId="0" fillId="0" borderId="0" xfId="0" applyAlignment="1">
      <alignment wrapText="1"/>
    </xf>
    <xf numFmtId="0" fontId="29" fillId="0" borderId="71" xfId="0" applyFont="1" applyBorder="1" applyAlignment="1">
      <alignment horizontal="center" vertical="center"/>
    </xf>
    <xf numFmtId="9" fontId="29" fillId="0" borderId="71" xfId="28" applyFont="1" applyBorder="1" applyAlignment="1">
      <alignment horizontal="center" vertical="center"/>
    </xf>
    <xf numFmtId="9" fontId="29" fillId="0" borderId="71" xfId="28" applyFont="1" applyBorder="1" applyAlignment="1">
      <alignment horizontal="justify" vertical="center"/>
    </xf>
    <xf numFmtId="0" fontId="87" fillId="39" borderId="71" xfId="0" applyFont="1" applyFill="1" applyBorder="1" applyAlignment="1">
      <alignment wrapText="1"/>
    </xf>
    <xf numFmtId="0" fontId="0" fillId="0" borderId="71" xfId="0" applyBorder="1"/>
    <xf numFmtId="0" fontId="29" fillId="0" borderId="71" xfId="0" applyFont="1" applyBorder="1" applyAlignment="1">
      <alignment horizontal="left" vertical="center"/>
    </xf>
    <xf numFmtId="0" fontId="27" fillId="9" borderId="71" xfId="22" applyFont="1" applyFill="1" applyBorder="1" applyAlignment="1">
      <alignment horizontal="left" vertical="center" wrapText="1"/>
    </xf>
    <xf numFmtId="0" fontId="29" fillId="0" borderId="12" xfId="0" applyFont="1" applyBorder="1" applyAlignment="1">
      <alignment horizontal="center" vertical="center"/>
    </xf>
    <xf numFmtId="0" fontId="27" fillId="12" borderId="12" xfId="22" applyFont="1" applyFill="1" applyBorder="1" applyAlignment="1">
      <alignment horizontal="center" vertical="center" wrapText="1"/>
    </xf>
    <xf numFmtId="0" fontId="29" fillId="0" borderId="39" xfId="0" applyFont="1" applyBorder="1" applyAlignment="1">
      <alignment horizontal="justify" vertical="center"/>
    </xf>
    <xf numFmtId="0" fontId="27" fillId="9" borderId="39" xfId="22" applyFont="1" applyFill="1" applyBorder="1" applyAlignment="1">
      <alignment horizontal="left" vertical="center" wrapText="1"/>
    </xf>
    <xf numFmtId="0" fontId="29" fillId="0" borderId="3" xfId="0" applyFont="1" applyBorder="1" applyAlignment="1">
      <alignment horizontal="center" vertical="center"/>
    </xf>
    <xf numFmtId="9" fontId="29" fillId="0" borderId="3" xfId="28" applyFont="1" applyBorder="1" applyAlignment="1">
      <alignment horizontal="center" vertical="center"/>
    </xf>
    <xf numFmtId="9" fontId="29" fillId="0" borderId="3" xfId="28" applyFont="1" applyBorder="1" applyAlignment="1">
      <alignment horizontal="justify" vertical="center"/>
    </xf>
    <xf numFmtId="14" fontId="29" fillId="0" borderId="13" xfId="0" applyNumberFormat="1" applyFont="1" applyBorder="1" applyAlignment="1">
      <alignment horizontal="center" vertical="center" wrapText="1"/>
    </xf>
    <xf numFmtId="0" fontId="26" fillId="9" borderId="12" xfId="0" applyFont="1" applyFill="1" applyBorder="1" applyAlignment="1">
      <alignment horizontal="left" vertical="center" wrapText="1"/>
    </xf>
    <xf numFmtId="0" fontId="26" fillId="9" borderId="39" xfId="0" applyFont="1" applyFill="1" applyBorder="1" applyAlignment="1">
      <alignment horizontal="left" vertical="center" wrapText="1"/>
    </xf>
    <xf numFmtId="0" fontId="34" fillId="17" borderId="12" xfId="0" applyFont="1" applyFill="1" applyBorder="1" applyAlignment="1">
      <alignment horizontal="center" vertical="center"/>
    </xf>
    <xf numFmtId="0" fontId="34" fillId="17" borderId="39" xfId="0" applyFont="1" applyFill="1" applyBorder="1" applyAlignment="1">
      <alignment horizontal="center" vertical="center"/>
    </xf>
    <xf numFmtId="0" fontId="32" fillId="15" borderId="12" xfId="0" applyFont="1" applyFill="1" applyBorder="1" applyAlignment="1">
      <alignment horizontal="left" vertical="center" wrapText="1"/>
    </xf>
    <xf numFmtId="0" fontId="32" fillId="15" borderId="39" xfId="0" applyFont="1" applyFill="1" applyBorder="1" applyAlignment="1">
      <alignment horizontal="left" vertical="center" wrapText="1"/>
    </xf>
    <xf numFmtId="0" fontId="32" fillId="19" borderId="12" xfId="0" applyFont="1" applyFill="1" applyBorder="1" applyAlignment="1">
      <alignment horizontal="center" vertical="center"/>
    </xf>
    <xf numFmtId="0" fontId="32" fillId="19" borderId="39" xfId="0" applyFont="1" applyFill="1" applyBorder="1" applyAlignment="1">
      <alignment horizontal="center" vertical="center"/>
    </xf>
    <xf numFmtId="9" fontId="26" fillId="0" borderId="29" xfId="30" applyFont="1" applyFill="1" applyBorder="1" applyAlignment="1" applyProtection="1">
      <alignment horizontal="justify" vertical="center" wrapText="1"/>
    </xf>
    <xf numFmtId="9" fontId="26" fillId="0" borderId="7" xfId="30" applyFont="1" applyFill="1" applyBorder="1" applyAlignment="1" applyProtection="1">
      <alignment horizontal="justify" vertical="center" wrapText="1"/>
    </xf>
    <xf numFmtId="9" fontId="26" fillId="0" borderId="8" xfId="30" applyFont="1" applyFill="1" applyBorder="1" applyAlignment="1" applyProtection="1">
      <alignment horizontal="justify" vertical="center" wrapText="1"/>
    </xf>
    <xf numFmtId="9" fontId="26" fillId="0" borderId="44" xfId="30" applyFont="1" applyFill="1" applyBorder="1" applyAlignment="1" applyProtection="1">
      <alignment horizontal="justify" vertical="center" wrapText="1"/>
    </xf>
    <xf numFmtId="9" fontId="26" fillId="0" borderId="45" xfId="30" applyFont="1" applyFill="1" applyBorder="1" applyAlignment="1" applyProtection="1">
      <alignment horizontal="justify" vertical="center" wrapText="1"/>
    </xf>
    <xf numFmtId="9" fontId="26" fillId="0" borderId="46" xfId="30" applyFont="1" applyFill="1" applyBorder="1" applyAlignment="1" applyProtection="1">
      <alignment horizontal="justify" vertical="center" wrapText="1"/>
    </xf>
    <xf numFmtId="9" fontId="60" fillId="0" borderId="0" xfId="0" applyNumberFormat="1" applyFont="1" applyAlignment="1">
      <alignment horizontal="justify" vertical="center" wrapText="1"/>
    </xf>
    <xf numFmtId="0" fontId="60" fillId="0" borderId="0" xfId="0" applyFont="1" applyAlignment="1">
      <alignment horizontal="justify" vertical="center" wrapText="1"/>
    </xf>
    <xf numFmtId="176" fontId="59" fillId="0" borderId="0" xfId="0" applyNumberFormat="1" applyFont="1" applyAlignment="1">
      <alignment horizontal="center" vertical="center" wrapText="1"/>
    </xf>
    <xf numFmtId="176" fontId="43" fillId="0" borderId="0" xfId="0" applyNumberFormat="1" applyFont="1" applyAlignment="1">
      <alignment vertical="center"/>
    </xf>
    <xf numFmtId="9" fontId="60" fillId="0" borderId="84" xfId="0" applyNumberFormat="1" applyFont="1" applyBorder="1" applyAlignment="1">
      <alignment horizontal="justify" vertical="center" wrapText="1"/>
    </xf>
    <xf numFmtId="9" fontId="60" fillId="0" borderId="82" xfId="0" applyNumberFormat="1" applyFont="1" applyBorder="1" applyAlignment="1">
      <alignment horizontal="justify" vertical="center" wrapText="1"/>
    </xf>
    <xf numFmtId="9" fontId="59" fillId="0" borderId="75" xfId="0" applyNumberFormat="1" applyFont="1" applyBorder="1" applyAlignment="1">
      <alignment horizontal="center" vertical="center" wrapText="1"/>
    </xf>
    <xf numFmtId="9" fontId="43" fillId="0" borderId="76" xfId="0" applyNumberFormat="1" applyFont="1" applyBorder="1" applyAlignment="1">
      <alignment vertical="center"/>
    </xf>
    <xf numFmtId="0" fontId="58" fillId="20" borderId="77" xfId="0" applyFont="1" applyFill="1" applyBorder="1" applyAlignment="1">
      <alignment horizontal="justify" vertical="center" wrapText="1"/>
    </xf>
    <xf numFmtId="0" fontId="43" fillId="0" borderId="82" xfId="0" applyFont="1" applyBorder="1" applyAlignment="1">
      <alignment horizontal="justify" vertical="center" wrapText="1"/>
    </xf>
    <xf numFmtId="0" fontId="58" fillId="20" borderId="78" xfId="0" applyFont="1" applyFill="1" applyBorder="1" applyAlignment="1">
      <alignment horizontal="center" vertical="center" wrapText="1"/>
    </xf>
    <xf numFmtId="0" fontId="43" fillId="0" borderId="76" xfId="0" applyFont="1" applyBorder="1" applyAlignment="1">
      <alignment vertical="center"/>
    </xf>
    <xf numFmtId="0" fontId="58" fillId="20" borderId="79" xfId="0" applyFont="1" applyFill="1" applyBorder="1" applyAlignment="1">
      <alignment horizontal="center" vertical="center" wrapText="1"/>
    </xf>
    <xf numFmtId="0" fontId="43" fillId="0" borderId="80" xfId="0" applyFont="1" applyBorder="1" applyAlignment="1">
      <alignment vertical="center"/>
    </xf>
    <xf numFmtId="0" fontId="43" fillId="0" borderId="81" xfId="0" applyFont="1" applyBorder="1" applyAlignment="1">
      <alignment vertical="center"/>
    </xf>
    <xf numFmtId="9" fontId="26" fillId="0" borderId="6" xfId="30" applyFont="1" applyFill="1" applyBorder="1" applyAlignment="1" applyProtection="1">
      <alignment horizontal="justify" vertical="center" wrapText="1"/>
    </xf>
    <xf numFmtId="9" fontId="26" fillId="0" borderId="16" xfId="30" applyFont="1" applyFill="1" applyBorder="1" applyAlignment="1" applyProtection="1">
      <alignment horizontal="justify" vertical="center" wrapText="1"/>
    </xf>
    <xf numFmtId="9" fontId="26" fillId="0" borderId="5" xfId="30" applyFont="1" applyFill="1" applyBorder="1" applyAlignment="1" applyProtection="1">
      <alignment horizontal="justify" vertical="center" wrapText="1"/>
    </xf>
    <xf numFmtId="9" fontId="26" fillId="0" borderId="28" xfId="30" applyFont="1" applyFill="1" applyBorder="1" applyAlignment="1" applyProtection="1">
      <alignment horizontal="justify" vertical="center" wrapText="1"/>
    </xf>
    <xf numFmtId="0" fontId="27" fillId="0" borderId="35" xfId="22" applyFont="1" applyBorder="1" applyAlignment="1">
      <alignment horizontal="center" vertical="center" wrapText="1"/>
    </xf>
    <xf numFmtId="0" fontId="27" fillId="0" borderId="36" xfId="22" applyFont="1" applyBorder="1" applyAlignment="1">
      <alignment horizontal="center" vertical="center" wrapText="1"/>
    </xf>
    <xf numFmtId="0" fontId="27" fillId="0" borderId="37" xfId="22" applyFont="1" applyBorder="1" applyAlignment="1">
      <alignment horizontal="center" vertical="center" wrapText="1"/>
    </xf>
    <xf numFmtId="0" fontId="27" fillId="13" borderId="20" xfId="22" applyFont="1" applyFill="1" applyBorder="1" applyAlignment="1">
      <alignment horizontal="center" vertical="center" wrapText="1"/>
    </xf>
    <xf numFmtId="0" fontId="27" fillId="13" borderId="13" xfId="22" applyFont="1" applyFill="1" applyBorder="1" applyAlignment="1">
      <alignment horizontal="center" vertical="center" wrapText="1"/>
    </xf>
    <xf numFmtId="0" fontId="27" fillId="13" borderId="21" xfId="22" applyFont="1" applyFill="1" applyBorder="1" applyAlignment="1">
      <alignment horizontal="center" vertical="center" wrapText="1"/>
    </xf>
    <xf numFmtId="0" fontId="27" fillId="13" borderId="6" xfId="22" applyFont="1" applyFill="1" applyBorder="1" applyAlignment="1">
      <alignment horizontal="center" vertical="center" wrapText="1"/>
    </xf>
    <xf numFmtId="0" fontId="27" fillId="13" borderId="40" xfId="22" applyFont="1" applyFill="1" applyBorder="1" applyAlignment="1">
      <alignment horizontal="center" vertical="center" wrapText="1"/>
    </xf>
    <xf numFmtId="0" fontId="27" fillId="13" borderId="4" xfId="22" applyFont="1" applyFill="1" applyBorder="1" applyAlignment="1">
      <alignment horizontal="center" vertical="center" wrapText="1"/>
    </xf>
    <xf numFmtId="0" fontId="27" fillId="13" borderId="41" xfId="22" applyFont="1" applyFill="1" applyBorder="1" applyAlignment="1">
      <alignment horizontal="center" vertical="center" wrapText="1"/>
    </xf>
    <xf numFmtId="0" fontId="27" fillId="13" borderId="42" xfId="22" applyFont="1" applyFill="1" applyBorder="1" applyAlignment="1">
      <alignment horizontal="center" vertical="center" wrapText="1"/>
    </xf>
    <xf numFmtId="0" fontId="27" fillId="13" borderId="43" xfId="22" applyFont="1" applyFill="1" applyBorder="1" applyAlignment="1">
      <alignment horizontal="center" vertical="center" wrapText="1"/>
    </xf>
    <xf numFmtId="0" fontId="26" fillId="0" borderId="35" xfId="22" applyFont="1" applyBorder="1" applyAlignment="1">
      <alignment horizontal="center" vertical="center" wrapText="1"/>
    </xf>
    <xf numFmtId="0" fontId="26" fillId="0" borderId="1" xfId="22" applyFont="1" applyBorder="1" applyAlignment="1">
      <alignment horizontal="center" vertical="center" wrapText="1"/>
    </xf>
    <xf numFmtId="0" fontId="26" fillId="0" borderId="47" xfId="22" applyFont="1" applyBorder="1" applyAlignment="1">
      <alignment horizontal="center" vertical="center" wrapText="1"/>
    </xf>
    <xf numFmtId="0" fontId="27" fillId="0" borderId="24" xfId="22" applyFont="1" applyBorder="1" applyAlignment="1">
      <alignment horizontal="center" vertical="center"/>
    </xf>
    <xf numFmtId="0" fontId="27" fillId="0" borderId="25" xfId="22" applyFont="1" applyBorder="1" applyAlignment="1">
      <alignment horizontal="center" vertical="center"/>
    </xf>
    <xf numFmtId="0" fontId="27" fillId="0" borderId="26" xfId="22" applyFont="1" applyBorder="1" applyAlignment="1">
      <alignment horizontal="center" vertical="center"/>
    </xf>
    <xf numFmtId="0" fontId="28" fillId="0" borderId="32" xfId="0" applyFont="1" applyBorder="1" applyAlignment="1">
      <alignment horizontal="left" vertical="center" wrapText="1"/>
    </xf>
    <xf numFmtId="0" fontId="28" fillId="0" borderId="33" xfId="0" applyFont="1" applyBorder="1" applyAlignment="1">
      <alignment horizontal="left" vertical="center" wrapText="1"/>
    </xf>
    <xf numFmtId="0" fontId="28" fillId="0" borderId="34" xfId="0" applyFont="1" applyBorder="1" applyAlignment="1">
      <alignment horizontal="left" vertical="center" wrapText="1"/>
    </xf>
    <xf numFmtId="0" fontId="27" fillId="0" borderId="20" xfId="22" applyFont="1" applyBorder="1" applyAlignment="1">
      <alignment horizontal="center" vertical="center" wrapText="1"/>
    </xf>
    <xf numFmtId="0" fontId="27" fillId="0" borderId="21" xfId="22" applyFont="1" applyBorder="1" applyAlignment="1">
      <alignment horizontal="center" vertical="center" wrapText="1"/>
    </xf>
    <xf numFmtId="0" fontId="27" fillId="0" borderId="22" xfId="22" applyFont="1" applyBorder="1" applyAlignment="1">
      <alignment horizontal="center" vertical="center" wrapText="1"/>
    </xf>
    <xf numFmtId="0" fontId="27" fillId="0" borderId="23" xfId="22" applyFont="1" applyBorder="1" applyAlignment="1">
      <alignment horizontal="center" vertical="center" wrapText="1"/>
    </xf>
    <xf numFmtId="0" fontId="27" fillId="0" borderId="5" xfId="22" applyFont="1" applyBorder="1" applyAlignment="1">
      <alignment horizontal="center" vertical="center" wrapText="1"/>
    </xf>
    <xf numFmtId="0" fontId="27" fillId="0" borderId="28" xfId="22" applyFont="1" applyBorder="1" applyAlignment="1">
      <alignment horizontal="center" vertical="center" wrapText="1"/>
    </xf>
    <xf numFmtId="0" fontId="27" fillId="13" borderId="35" xfId="22" applyFont="1" applyFill="1" applyBorder="1" applyAlignment="1">
      <alignment horizontal="left" vertical="center" wrapText="1"/>
    </xf>
    <xf numFmtId="0" fontId="27" fillId="13" borderId="37" xfId="22" applyFont="1" applyFill="1" applyBorder="1" applyAlignment="1">
      <alignment horizontal="left" vertical="center" wrapText="1"/>
    </xf>
    <xf numFmtId="0" fontId="27" fillId="13" borderId="1" xfId="22" applyFont="1" applyFill="1" applyBorder="1" applyAlignment="1">
      <alignment horizontal="left" vertical="center" wrapText="1"/>
    </xf>
    <xf numFmtId="0" fontId="27" fillId="13" borderId="2" xfId="22" applyFont="1" applyFill="1" applyBorder="1" applyAlignment="1">
      <alignment horizontal="left" vertical="center" wrapText="1"/>
    </xf>
    <xf numFmtId="0" fontId="27" fillId="13" borderId="47" xfId="22" applyFont="1" applyFill="1" applyBorder="1" applyAlignment="1">
      <alignment horizontal="left" vertical="center" wrapText="1"/>
    </xf>
    <xf numFmtId="0" fontId="27" fillId="13" borderId="48" xfId="22" applyFont="1" applyFill="1" applyBorder="1" applyAlignment="1">
      <alignment horizontal="left" vertical="center" wrapText="1"/>
    </xf>
    <xf numFmtId="0" fontId="27" fillId="0" borderId="1" xfId="22" applyFont="1" applyBorder="1" applyAlignment="1">
      <alignment horizontal="center" vertical="center" wrapText="1"/>
    </xf>
    <xf numFmtId="0" fontId="27" fillId="0" borderId="0" xfId="22" applyFont="1" applyAlignment="1">
      <alignment horizontal="center" vertical="center" wrapText="1"/>
    </xf>
    <xf numFmtId="0" fontId="27" fillId="0" borderId="2" xfId="22" applyFont="1" applyBorder="1" applyAlignment="1">
      <alignment horizontal="center" vertical="center" wrapText="1"/>
    </xf>
    <xf numFmtId="0" fontId="27" fillId="0" borderId="47" xfId="22" applyFont="1" applyBorder="1" applyAlignment="1">
      <alignment horizontal="center" vertical="center" wrapText="1"/>
    </xf>
    <xf numFmtId="0" fontId="27" fillId="0" borderId="45" xfId="22" applyFont="1" applyBorder="1" applyAlignment="1">
      <alignment horizontal="center" vertical="center" wrapText="1"/>
    </xf>
    <xf numFmtId="0" fontId="27" fillId="0" borderId="48" xfId="22" applyFont="1" applyBorder="1" applyAlignment="1">
      <alignment horizontal="center" vertical="center" wrapText="1"/>
    </xf>
    <xf numFmtId="0" fontId="56" fillId="0" borderId="55" xfId="0" applyFont="1" applyBorder="1" applyAlignment="1">
      <alignment horizontal="center" vertical="center"/>
    </xf>
    <xf numFmtId="0" fontId="56" fillId="0" borderId="56" xfId="0" applyFont="1" applyBorder="1" applyAlignment="1">
      <alignment horizontal="center" vertical="center"/>
    </xf>
    <xf numFmtId="0" fontId="56" fillId="0" borderId="57" xfId="0" applyFont="1" applyBorder="1" applyAlignment="1">
      <alignment horizontal="center" vertical="center"/>
    </xf>
    <xf numFmtId="0" fontId="27" fillId="13" borderId="35" xfId="22" applyFont="1" applyFill="1" applyBorder="1" applyAlignment="1">
      <alignment horizontal="center" vertical="center" wrapText="1"/>
    </xf>
    <xf numFmtId="0" fontId="27" fillId="13" borderId="36" xfId="22" applyFont="1" applyFill="1" applyBorder="1" applyAlignment="1">
      <alignment horizontal="center" vertical="center" wrapText="1"/>
    </xf>
    <xf numFmtId="0" fontId="27" fillId="13" borderId="37" xfId="22" applyFont="1" applyFill="1" applyBorder="1" applyAlignment="1">
      <alignment horizontal="center" vertical="center" wrapText="1"/>
    </xf>
    <xf numFmtId="0" fontId="27" fillId="13" borderId="1" xfId="22" applyFont="1" applyFill="1" applyBorder="1" applyAlignment="1">
      <alignment horizontal="center" vertical="center" wrapText="1"/>
    </xf>
    <xf numFmtId="0" fontId="27" fillId="13" borderId="0" xfId="22" applyFont="1" applyFill="1" applyAlignment="1">
      <alignment horizontal="center" vertical="center" wrapText="1"/>
    </xf>
    <xf numFmtId="0" fontId="27" fillId="13" borderId="2" xfId="22" applyFont="1" applyFill="1" applyBorder="1" applyAlignment="1">
      <alignment horizontal="center" vertical="center" wrapText="1"/>
    </xf>
    <xf numFmtId="0" fontId="27" fillId="13" borderId="47" xfId="22" applyFont="1" applyFill="1" applyBorder="1" applyAlignment="1">
      <alignment horizontal="center" vertical="center" wrapText="1"/>
    </xf>
    <xf numFmtId="0" fontId="27" fillId="13" borderId="45" xfId="22" applyFont="1" applyFill="1" applyBorder="1" applyAlignment="1">
      <alignment horizontal="center" vertical="center" wrapText="1"/>
    </xf>
    <xf numFmtId="0" fontId="27" fillId="13" borderId="48" xfId="22" applyFont="1" applyFill="1" applyBorder="1" applyAlignment="1">
      <alignment horizontal="center" vertical="center" wrapText="1"/>
    </xf>
    <xf numFmtId="15" fontId="27" fillId="0" borderId="35" xfId="0" applyNumberFormat="1" applyFont="1" applyBorder="1" applyAlignment="1">
      <alignment horizontal="center" vertical="center"/>
    </xf>
    <xf numFmtId="15" fontId="27" fillId="0" borderId="37" xfId="0" applyNumberFormat="1" applyFont="1" applyBorder="1" applyAlignment="1">
      <alignment horizontal="center" vertical="center"/>
    </xf>
    <xf numFmtId="15" fontId="27" fillId="0" borderId="1" xfId="0" applyNumberFormat="1" applyFont="1" applyBorder="1" applyAlignment="1">
      <alignment horizontal="center" vertical="center"/>
    </xf>
    <xf numFmtId="15" fontId="27" fillId="0" borderId="2" xfId="0" applyNumberFormat="1" applyFont="1" applyBorder="1" applyAlignment="1">
      <alignment horizontal="center" vertical="center"/>
    </xf>
    <xf numFmtId="15" fontId="27" fillId="0" borderId="47" xfId="0" applyNumberFormat="1" applyFont="1" applyBorder="1" applyAlignment="1">
      <alignment horizontal="center" vertical="center"/>
    </xf>
    <xf numFmtId="15" fontId="27" fillId="0" borderId="48" xfId="0" applyNumberFormat="1" applyFont="1" applyBorder="1" applyAlignment="1">
      <alignment horizontal="center" vertical="center"/>
    </xf>
    <xf numFmtId="0" fontId="27" fillId="0" borderId="49" xfId="0" applyFont="1" applyBorder="1" applyAlignment="1">
      <alignment horizontal="center" vertical="center" wrapText="1"/>
    </xf>
    <xf numFmtId="0" fontId="27" fillId="0" borderId="50" xfId="0" applyFont="1" applyBorder="1" applyAlignment="1">
      <alignment horizontal="center" vertical="center" wrapText="1"/>
    </xf>
    <xf numFmtId="0" fontId="27" fillId="0" borderId="32" xfId="22" applyFont="1" applyBorder="1" applyAlignment="1">
      <alignment horizontal="center" vertical="center" wrapText="1"/>
    </xf>
    <xf numFmtId="0" fontId="27" fillId="0" borderId="33" xfId="22" applyFont="1" applyBorder="1" applyAlignment="1">
      <alignment horizontal="center" vertical="center" wrapText="1"/>
    </xf>
    <xf numFmtId="0" fontId="27" fillId="0" borderId="34" xfId="22" applyFont="1" applyBorder="1" applyAlignment="1">
      <alignment horizontal="center" vertical="center" wrapText="1"/>
    </xf>
    <xf numFmtId="0" fontId="26" fillId="0" borderId="49" xfId="0" applyFont="1" applyBorder="1" applyAlignment="1">
      <alignment horizontal="center" vertical="center"/>
    </xf>
    <xf numFmtId="0" fontId="26" fillId="0" borderId="50" xfId="0" applyFont="1" applyBorder="1" applyAlignment="1">
      <alignment horizontal="center" vertical="center"/>
    </xf>
    <xf numFmtId="0" fontId="27" fillId="0" borderId="51" xfId="0" applyFont="1" applyBorder="1" applyAlignment="1">
      <alignment horizontal="center" vertical="center" wrapText="1"/>
    </xf>
    <xf numFmtId="0" fontId="27" fillId="0" borderId="52" xfId="0" applyFont="1" applyBorder="1" applyAlignment="1">
      <alignment horizontal="center" vertical="center" wrapText="1"/>
    </xf>
    <xf numFmtId="0" fontId="27" fillId="0" borderId="53" xfId="0" applyFont="1" applyBorder="1" applyAlignment="1">
      <alignment horizontal="center" vertical="center" wrapText="1"/>
    </xf>
    <xf numFmtId="0" fontId="27" fillId="0" borderId="54" xfId="0" applyFont="1" applyBorder="1" applyAlignment="1">
      <alignment horizontal="center" vertical="center" wrapText="1"/>
    </xf>
    <xf numFmtId="0" fontId="26" fillId="0" borderId="53" xfId="0" applyFont="1" applyBorder="1" applyAlignment="1">
      <alignment horizontal="center" vertical="center"/>
    </xf>
    <xf numFmtId="0" fontId="26" fillId="0" borderId="54" xfId="0" applyFont="1" applyBorder="1" applyAlignment="1">
      <alignment horizontal="center" vertical="center"/>
    </xf>
    <xf numFmtId="0" fontId="27" fillId="13" borderId="32" xfId="22" applyFont="1" applyFill="1" applyBorder="1" applyAlignment="1">
      <alignment horizontal="left" vertical="center" wrapText="1"/>
    </xf>
    <xf numFmtId="0" fontId="27" fillId="13" borderId="34" xfId="22" applyFont="1" applyFill="1" applyBorder="1" applyAlignment="1">
      <alignment horizontal="left" vertical="center" wrapText="1"/>
    </xf>
    <xf numFmtId="0" fontId="33" fillId="0" borderId="32" xfId="22" applyFont="1" applyBorder="1" applyAlignment="1">
      <alignment horizontal="center" vertical="center" wrapText="1"/>
    </xf>
    <xf numFmtId="0" fontId="33" fillId="0" borderId="33" xfId="22" applyFont="1" applyBorder="1" applyAlignment="1">
      <alignment horizontal="center" vertical="center" wrapText="1"/>
    </xf>
    <xf numFmtId="0" fontId="33" fillId="0" borderId="34" xfId="22" applyFont="1" applyBorder="1" applyAlignment="1">
      <alignment horizontal="center" vertical="center" wrapText="1"/>
    </xf>
    <xf numFmtId="0" fontId="27" fillId="13" borderId="32" xfId="22" applyFont="1" applyFill="1" applyBorder="1" applyAlignment="1">
      <alignment horizontal="center" vertical="center" wrapText="1"/>
    </xf>
    <xf numFmtId="0" fontId="27" fillId="13" borderId="33" xfId="22" applyFont="1" applyFill="1" applyBorder="1" applyAlignment="1">
      <alignment horizontal="center" vertical="center" wrapText="1"/>
    </xf>
    <xf numFmtId="0" fontId="27" fillId="13" borderId="34" xfId="22" applyFont="1" applyFill="1" applyBorder="1" applyAlignment="1">
      <alignment horizontal="center" vertical="center" wrapText="1"/>
    </xf>
    <xf numFmtId="0" fontId="27" fillId="0" borderId="24" xfId="22" applyFont="1" applyBorder="1" applyAlignment="1">
      <alignment horizontal="center" vertical="center" wrapText="1"/>
    </xf>
    <xf numFmtId="0" fontId="27" fillId="0" borderId="25" xfId="22" applyFont="1" applyBorder="1" applyAlignment="1">
      <alignment horizontal="center" vertical="center" wrapText="1"/>
    </xf>
    <xf numFmtId="0" fontId="27" fillId="0" borderId="26" xfId="22" applyFont="1" applyBorder="1" applyAlignment="1">
      <alignment horizontal="center" vertical="center" wrapText="1"/>
    </xf>
    <xf numFmtId="0" fontId="27" fillId="9" borderId="45" xfId="22" applyFont="1" applyFill="1" applyBorder="1" applyAlignment="1">
      <alignment horizontal="left" vertical="center" wrapText="1"/>
    </xf>
    <xf numFmtId="0" fontId="27" fillId="9" borderId="20" xfId="22" applyFont="1" applyFill="1" applyBorder="1" applyAlignment="1">
      <alignment horizontal="center" vertical="center" wrapText="1"/>
    </xf>
    <xf numFmtId="0" fontId="27" fillId="9" borderId="21" xfId="22" applyFont="1" applyFill="1" applyBorder="1" applyAlignment="1">
      <alignment horizontal="center" vertical="center" wrapText="1"/>
    </xf>
    <xf numFmtId="0" fontId="27" fillId="9" borderId="22" xfId="22" applyFont="1" applyFill="1" applyBorder="1" applyAlignment="1">
      <alignment horizontal="center" vertical="center" wrapText="1"/>
    </xf>
    <xf numFmtId="0" fontId="27" fillId="13" borderId="16" xfId="22" applyFont="1" applyFill="1" applyBorder="1" applyAlignment="1">
      <alignment horizontal="center" vertical="center" wrapText="1"/>
    </xf>
    <xf numFmtId="3" fontId="27" fillId="0" borderId="5" xfId="22" applyNumberFormat="1" applyFont="1" applyBorder="1" applyAlignment="1">
      <alignment horizontal="center" vertical="center" wrapText="1"/>
    </xf>
    <xf numFmtId="0" fontId="26" fillId="0" borderId="5" xfId="22" applyFont="1" applyBorder="1" applyAlignment="1">
      <alignment horizontal="center" vertical="center" wrapText="1"/>
    </xf>
    <xf numFmtId="0" fontId="26" fillId="0" borderId="28" xfId="22" applyFont="1" applyBorder="1" applyAlignment="1">
      <alignment horizontal="center" vertical="center" wrapText="1"/>
    </xf>
    <xf numFmtId="0" fontId="26" fillId="13" borderId="6" xfId="22" applyFont="1" applyFill="1" applyBorder="1" applyAlignment="1">
      <alignment horizontal="center" vertical="center" wrapText="1"/>
    </xf>
    <xf numFmtId="0" fontId="27" fillId="13" borderId="12" xfId="22" applyFont="1" applyFill="1" applyBorder="1" applyAlignment="1">
      <alignment horizontal="center" vertical="center" wrapText="1"/>
    </xf>
    <xf numFmtId="0" fontId="27" fillId="13" borderId="38" xfId="22" applyFont="1" applyFill="1" applyBorder="1" applyAlignment="1">
      <alignment horizontal="center" vertical="center" wrapText="1"/>
    </xf>
    <xf numFmtId="0" fontId="27" fillId="13" borderId="39" xfId="22" applyFont="1" applyFill="1" applyBorder="1" applyAlignment="1">
      <alignment horizontal="center" vertical="center" wrapText="1"/>
    </xf>
    <xf numFmtId="0" fontId="27" fillId="13" borderId="22" xfId="22" applyFont="1" applyFill="1" applyBorder="1" applyAlignment="1">
      <alignment horizontal="center" vertical="center" wrapText="1"/>
    </xf>
    <xf numFmtId="0" fontId="27" fillId="13" borderId="52" xfId="22" applyFont="1" applyFill="1" applyBorder="1" applyAlignment="1">
      <alignment horizontal="center" vertical="center" wrapText="1"/>
    </xf>
    <xf numFmtId="0" fontId="27" fillId="0" borderId="58" xfId="22" applyFont="1" applyBorder="1" applyAlignment="1">
      <alignment horizontal="justify" vertical="center" wrapText="1"/>
    </xf>
    <xf numFmtId="0" fontId="27" fillId="0" borderId="18" xfId="22" applyFont="1" applyBorder="1" applyAlignment="1">
      <alignment horizontal="justify" vertical="center" wrapText="1"/>
    </xf>
    <xf numFmtId="9" fontId="27" fillId="0" borderId="3" xfId="22" applyNumberFormat="1" applyFont="1" applyBorder="1" applyAlignment="1">
      <alignment horizontal="center" vertical="center" wrapText="1"/>
    </xf>
    <xf numFmtId="0" fontId="27" fillId="0" borderId="19" xfId="22" applyFont="1" applyBorder="1" applyAlignment="1">
      <alignment horizontal="center" vertical="center" wrapText="1"/>
    </xf>
    <xf numFmtId="0" fontId="26" fillId="25" borderId="29" xfId="0" applyFont="1" applyFill="1" applyBorder="1" applyAlignment="1">
      <alignment horizontal="justify" vertical="center" wrapText="1"/>
    </xf>
    <xf numFmtId="0" fontId="26" fillId="25" borderId="7" xfId="0" applyFont="1" applyFill="1" applyBorder="1" applyAlignment="1">
      <alignment horizontal="justify" vertical="center" wrapText="1"/>
    </xf>
    <xf numFmtId="0" fontId="26" fillId="25" borderId="8" xfId="0" applyFont="1" applyFill="1" applyBorder="1" applyAlignment="1">
      <alignment horizontal="justify" vertical="center" wrapText="1"/>
    </xf>
    <xf numFmtId="0" fontId="26" fillId="25" borderId="91" xfId="0" applyFont="1" applyFill="1" applyBorder="1" applyAlignment="1">
      <alignment horizontal="justify" vertical="center" wrapText="1"/>
    </xf>
    <xf numFmtId="0" fontId="26" fillId="25" borderId="92" xfId="0" applyFont="1" applyFill="1" applyBorder="1" applyAlignment="1">
      <alignment horizontal="justify" vertical="center" wrapText="1"/>
    </xf>
    <xf numFmtId="0" fontId="26" fillId="25" borderId="94" xfId="0" applyFont="1" applyFill="1" applyBorder="1" applyAlignment="1">
      <alignment horizontal="justify" vertical="center" wrapText="1"/>
    </xf>
    <xf numFmtId="2" fontId="26" fillId="0" borderId="13" xfId="22" applyNumberFormat="1" applyFont="1" applyBorder="1" applyAlignment="1">
      <alignment horizontal="justify" vertical="center" wrapText="1"/>
    </xf>
    <xf numFmtId="10" fontId="26" fillId="0" borderId="6" xfId="22" applyNumberFormat="1" applyFont="1" applyBorder="1" applyAlignment="1">
      <alignment horizontal="center" vertical="center" wrapText="1"/>
    </xf>
    <xf numFmtId="9" fontId="26" fillId="0" borderId="29" xfId="22" applyNumberFormat="1" applyFont="1" applyBorder="1" applyAlignment="1">
      <alignment horizontal="justify" vertical="center" wrapText="1"/>
    </xf>
    <xf numFmtId="9" fontId="26" fillId="0" borderId="7" xfId="22" applyNumberFormat="1" applyFont="1" applyBorder="1" applyAlignment="1">
      <alignment horizontal="justify" vertical="center" wrapText="1"/>
    </xf>
    <xf numFmtId="9" fontId="26" fillId="0" borderId="8" xfId="22" applyNumberFormat="1" applyFont="1" applyBorder="1" applyAlignment="1">
      <alignment horizontal="justify" vertical="center" wrapText="1"/>
    </xf>
    <xf numFmtId="9" fontId="26" fillId="0" borderId="15" xfId="22" applyNumberFormat="1" applyFont="1" applyBorder="1" applyAlignment="1">
      <alignment horizontal="justify" vertical="center" wrapText="1"/>
    </xf>
    <xf numFmtId="9" fontId="26" fillId="0" borderId="10" xfId="22" applyNumberFormat="1" applyFont="1" applyBorder="1" applyAlignment="1">
      <alignment horizontal="justify" vertical="center" wrapText="1"/>
    </xf>
    <xf numFmtId="9" fontId="26" fillId="0" borderId="11" xfId="22" applyNumberFormat="1" applyFont="1" applyBorder="1" applyAlignment="1">
      <alignment horizontal="justify" vertical="center" wrapText="1"/>
    </xf>
    <xf numFmtId="9" fontId="57" fillId="0" borderId="71" xfId="35" applyNumberFormat="1" applyFont="1" applyBorder="1" applyAlignment="1">
      <alignment horizontal="justify" vertical="center" wrapText="1"/>
    </xf>
    <xf numFmtId="9" fontId="26" fillId="0" borderId="71" xfId="22" applyNumberFormat="1" applyFont="1" applyBorder="1" applyAlignment="1">
      <alignment horizontal="justify" vertical="center" wrapText="1"/>
    </xf>
    <xf numFmtId="9" fontId="62" fillId="0" borderId="29" xfId="22" applyNumberFormat="1" applyFont="1" applyBorder="1" applyAlignment="1">
      <alignment horizontal="left" vertical="center" wrapText="1"/>
    </xf>
    <xf numFmtId="9" fontId="26" fillId="0" borderId="7" xfId="22" applyNumberFormat="1" applyFont="1" applyBorder="1" applyAlignment="1">
      <alignment horizontal="left" vertical="center" wrapText="1"/>
    </xf>
    <xf numFmtId="9" fontId="26" fillId="0" borderId="8" xfId="22" applyNumberFormat="1" applyFont="1" applyBorder="1" applyAlignment="1">
      <alignment horizontal="left" vertical="center" wrapText="1"/>
    </xf>
    <xf numFmtId="9" fontId="26" fillId="0" borderId="15" xfId="22" applyNumberFormat="1" applyFont="1" applyBorder="1" applyAlignment="1">
      <alignment horizontal="left" vertical="center" wrapText="1"/>
    </xf>
    <xf numFmtId="9" fontId="26" fillId="0" borderId="10" xfId="22" applyNumberFormat="1" applyFont="1" applyBorder="1" applyAlignment="1">
      <alignment horizontal="left" vertical="center" wrapText="1"/>
    </xf>
    <xf numFmtId="9" fontId="26" fillId="0" borderId="11" xfId="22" applyNumberFormat="1" applyFont="1" applyBorder="1" applyAlignment="1">
      <alignment horizontal="left" vertical="center" wrapText="1"/>
    </xf>
    <xf numFmtId="9" fontId="57" fillId="0" borderId="71" xfId="35" applyNumberFormat="1" applyFont="1" applyFill="1" applyBorder="1" applyAlignment="1">
      <alignment horizontal="justify" vertical="center" wrapText="1"/>
    </xf>
    <xf numFmtId="9" fontId="57" fillId="0" borderId="97" xfId="35" applyNumberFormat="1" applyFont="1" applyFill="1" applyBorder="1" applyAlignment="1">
      <alignment horizontal="justify" vertical="center" wrapText="1"/>
    </xf>
    <xf numFmtId="9" fontId="57" fillId="0" borderId="98" xfId="35" applyNumberFormat="1" applyFont="1" applyFill="1" applyBorder="1" applyAlignment="1">
      <alignment horizontal="justify" vertical="center" wrapText="1"/>
    </xf>
    <xf numFmtId="9" fontId="57" fillId="0" borderId="15" xfId="35" applyNumberFormat="1" applyFont="1" applyFill="1" applyBorder="1" applyAlignment="1">
      <alignment horizontal="justify" vertical="center" wrapText="1"/>
    </xf>
    <xf numFmtId="9" fontId="57" fillId="0" borderId="10" xfId="35" applyNumberFormat="1" applyFont="1" applyFill="1" applyBorder="1" applyAlignment="1">
      <alignment horizontal="justify" vertical="center" wrapText="1"/>
    </xf>
    <xf numFmtId="9" fontId="57" fillId="0" borderId="87" xfId="35" applyNumberFormat="1" applyFont="1" applyFill="1" applyBorder="1" applyAlignment="1">
      <alignment horizontal="justify" vertical="center" wrapText="1"/>
    </xf>
    <xf numFmtId="9" fontId="26" fillId="0" borderId="29" xfId="22" applyNumberFormat="1" applyFont="1" applyBorder="1" applyAlignment="1">
      <alignment horizontal="left" vertical="center" wrapText="1"/>
    </xf>
    <xf numFmtId="9" fontId="42" fillId="0" borderId="29" xfId="34" applyNumberFormat="1" applyBorder="1" applyAlignment="1">
      <alignment horizontal="justify" vertical="center" wrapText="1"/>
    </xf>
    <xf numFmtId="9" fontId="42" fillId="0" borderId="7" xfId="34" applyNumberFormat="1" applyBorder="1" applyAlignment="1">
      <alignment horizontal="justify" vertical="center" wrapText="1"/>
    </xf>
    <xf numFmtId="9" fontId="42" fillId="0" borderId="59" xfId="34" applyNumberFormat="1" applyBorder="1" applyAlignment="1">
      <alignment horizontal="justify" vertical="center" wrapText="1"/>
    </xf>
    <xf numFmtId="9" fontId="42" fillId="0" borderId="15" xfId="34" applyNumberFormat="1" applyBorder="1" applyAlignment="1">
      <alignment horizontal="justify" vertical="center" wrapText="1"/>
    </xf>
    <xf numFmtId="9" fontId="42" fillId="0" borderId="10" xfId="34" applyNumberFormat="1" applyBorder="1" applyAlignment="1">
      <alignment horizontal="justify" vertical="center" wrapText="1"/>
    </xf>
    <xf numFmtId="9" fontId="42" fillId="0" borderId="60" xfId="34" applyNumberFormat="1" applyBorder="1" applyAlignment="1">
      <alignment horizontal="justify" vertical="center" wrapText="1"/>
    </xf>
    <xf numFmtId="0" fontId="26" fillId="0" borderId="23" xfId="0" applyFont="1" applyBorder="1" applyAlignment="1">
      <alignment horizontal="justify" vertical="center" wrapText="1"/>
    </xf>
    <xf numFmtId="10" fontId="26" fillId="0" borderId="5" xfId="22" applyNumberFormat="1" applyFont="1" applyBorder="1" applyAlignment="1">
      <alignment horizontal="center" vertical="center" wrapText="1"/>
    </xf>
    <xf numFmtId="9" fontId="26" fillId="0" borderId="59" xfId="22" applyNumberFormat="1" applyFont="1" applyBorder="1" applyAlignment="1">
      <alignment horizontal="justify" vertical="center" wrapText="1"/>
    </xf>
    <xf numFmtId="9" fontId="26" fillId="0" borderId="60" xfId="22" applyNumberFormat="1" applyFont="1" applyBorder="1" applyAlignment="1">
      <alignment horizontal="justify" vertical="center" wrapText="1"/>
    </xf>
    <xf numFmtId="0" fontId="27" fillId="20" borderId="79" xfId="0" applyFont="1" applyFill="1" applyBorder="1" applyAlignment="1">
      <alignment horizontal="center" vertical="center" wrapText="1"/>
    </xf>
    <xf numFmtId="0" fontId="26" fillId="0" borderId="80" xfId="0" applyFont="1" applyBorder="1" applyAlignment="1">
      <alignment vertical="center"/>
    </xf>
    <xf numFmtId="0" fontId="26" fillId="0" borderId="81" xfId="0" applyFont="1" applyBorder="1" applyAlignment="1">
      <alignment vertical="center"/>
    </xf>
    <xf numFmtId="9" fontId="26" fillId="0" borderId="84" xfId="0" applyNumberFormat="1" applyFont="1" applyBorder="1" applyAlignment="1">
      <alignment horizontal="justify" vertical="center" wrapText="1"/>
    </xf>
    <xf numFmtId="9" fontId="26" fillId="0" borderId="82" xfId="0" applyNumberFormat="1" applyFont="1" applyBorder="1" applyAlignment="1">
      <alignment horizontal="justify" vertical="center" wrapText="1"/>
    </xf>
    <xf numFmtId="9" fontId="26" fillId="0" borderId="84" xfId="0" applyNumberFormat="1" applyFont="1" applyBorder="1" applyAlignment="1">
      <alignment horizontal="center" vertical="center" wrapText="1"/>
    </xf>
    <xf numFmtId="9" fontId="26" fillId="0" borderId="82" xfId="0" applyNumberFormat="1" applyFont="1" applyBorder="1" applyAlignment="1">
      <alignment horizontal="center" vertical="center" wrapText="1"/>
    </xf>
    <xf numFmtId="176" fontId="26" fillId="0" borderId="0" xfId="0" applyNumberFormat="1" applyFont="1" applyAlignment="1">
      <alignment horizontal="center" vertical="center" wrapText="1"/>
    </xf>
    <xf numFmtId="9" fontId="26" fillId="0" borderId="0" xfId="0" applyNumberFormat="1" applyFont="1" applyAlignment="1">
      <alignment horizontal="justify" vertical="center" wrapText="1"/>
    </xf>
    <xf numFmtId="0" fontId="26" fillId="0" borderId="73" xfId="0" applyFont="1" applyBorder="1" applyAlignment="1">
      <alignment horizontal="justify" vertical="center" wrapText="1"/>
    </xf>
    <xf numFmtId="0" fontId="26" fillId="0" borderId="74" xfId="0" applyFont="1" applyBorder="1" applyAlignment="1">
      <alignment horizontal="justify" vertical="center" wrapText="1"/>
    </xf>
    <xf numFmtId="0" fontId="27" fillId="20" borderId="77" xfId="0" applyFont="1" applyFill="1" applyBorder="1" applyAlignment="1">
      <alignment horizontal="justify" vertical="center" wrapText="1"/>
    </xf>
    <xf numFmtId="0" fontId="26" fillId="0" borderId="82" xfId="0" applyFont="1" applyBorder="1" applyAlignment="1">
      <alignment horizontal="justify" vertical="center" wrapText="1"/>
    </xf>
    <xf numFmtId="0" fontId="27" fillId="20" borderId="78" xfId="0" applyFont="1" applyFill="1" applyBorder="1" applyAlignment="1">
      <alignment horizontal="center" vertical="center" wrapText="1"/>
    </xf>
    <xf numFmtId="0" fontId="26" fillId="0" borderId="76" xfId="0" applyFont="1" applyBorder="1" applyAlignment="1">
      <alignment horizontal="center" vertical="center"/>
    </xf>
    <xf numFmtId="2" fontId="26" fillId="0" borderId="72" xfId="22" applyNumberFormat="1" applyFont="1" applyBorder="1" applyAlignment="1">
      <alignment horizontal="justify" vertical="center" wrapText="1"/>
    </xf>
    <xf numFmtId="0" fontId="26" fillId="0" borderId="72" xfId="0" applyFont="1" applyBorder="1" applyAlignment="1">
      <alignment horizontal="justify" vertical="center" wrapText="1"/>
    </xf>
    <xf numFmtId="9" fontId="26" fillId="0" borderId="86" xfId="22" applyNumberFormat="1" applyFont="1" applyBorder="1" applyAlignment="1">
      <alignment horizontal="justify" vertical="center" wrapText="1"/>
    </xf>
    <xf numFmtId="9" fontId="26" fillId="0" borderId="87" xfId="22" applyNumberFormat="1" applyFont="1" applyBorder="1" applyAlignment="1">
      <alignment horizontal="justify" vertical="center" wrapText="1"/>
    </xf>
    <xf numFmtId="9" fontId="85" fillId="0" borderId="29" xfId="35" applyNumberFormat="1" applyFont="1" applyBorder="1" applyAlignment="1">
      <alignment horizontal="justify" vertical="center" wrapText="1"/>
    </xf>
    <xf numFmtId="9" fontId="27" fillId="0" borderId="7" xfId="22" applyNumberFormat="1" applyFont="1" applyBorder="1" applyAlignment="1">
      <alignment horizontal="justify" vertical="center" wrapText="1"/>
    </xf>
    <xf numFmtId="9" fontId="27" fillId="0" borderId="59" xfId="22" applyNumberFormat="1" applyFont="1" applyBorder="1" applyAlignment="1">
      <alignment horizontal="justify" vertical="center" wrapText="1"/>
    </xf>
    <xf numFmtId="9" fontId="27" fillId="0" borderId="15" xfId="22" applyNumberFormat="1" applyFont="1" applyBorder="1" applyAlignment="1">
      <alignment horizontal="justify" vertical="center" wrapText="1"/>
    </xf>
    <xf numFmtId="9" fontId="27" fillId="0" borderId="10" xfId="22" applyNumberFormat="1" applyFont="1" applyBorder="1" applyAlignment="1">
      <alignment horizontal="justify" vertical="center" wrapText="1"/>
    </xf>
    <xf numFmtId="9" fontId="27" fillId="0" borderId="60" xfId="22" applyNumberFormat="1" applyFont="1" applyBorder="1" applyAlignment="1">
      <alignment horizontal="justify" vertical="center" wrapText="1"/>
    </xf>
    <xf numFmtId="9" fontId="26" fillId="0" borderId="86" xfId="22" applyNumberFormat="1" applyFont="1" applyBorder="1" applyAlignment="1">
      <alignment horizontal="left" vertical="center" wrapText="1"/>
    </xf>
    <xf numFmtId="9" fontId="26" fillId="0" borderId="87" xfId="22" applyNumberFormat="1" applyFont="1" applyBorder="1" applyAlignment="1">
      <alignment horizontal="left" vertical="center" wrapText="1"/>
    </xf>
    <xf numFmtId="0" fontId="43" fillId="25" borderId="29" xfId="0" applyFont="1" applyFill="1" applyBorder="1" applyAlignment="1">
      <alignment horizontal="justify" vertical="top" wrapText="1"/>
    </xf>
    <xf numFmtId="0" fontId="43" fillId="25" borderId="7" xfId="0" applyFont="1" applyFill="1" applyBorder="1" applyAlignment="1">
      <alignment horizontal="justify" vertical="top" wrapText="1"/>
    </xf>
    <xf numFmtId="0" fontId="43" fillId="25" borderId="86" xfId="0" applyFont="1" applyFill="1" applyBorder="1" applyAlignment="1">
      <alignment horizontal="justify" vertical="top" wrapText="1"/>
    </xf>
    <xf numFmtId="0" fontId="43" fillId="25" borderId="91" xfId="0" applyFont="1" applyFill="1" applyBorder="1" applyAlignment="1">
      <alignment horizontal="justify" vertical="top" wrapText="1"/>
    </xf>
    <xf numFmtId="0" fontId="43" fillId="25" borderId="92" xfId="0" applyFont="1" applyFill="1" applyBorder="1" applyAlignment="1">
      <alignment horizontal="justify" vertical="top" wrapText="1"/>
    </xf>
    <xf numFmtId="0" fontId="43" fillId="25" borderId="93" xfId="0" applyFont="1" applyFill="1" applyBorder="1" applyAlignment="1">
      <alignment horizontal="justify" vertical="top" wrapText="1"/>
    </xf>
    <xf numFmtId="0" fontId="43" fillId="25" borderId="29" xfId="0" applyFont="1" applyFill="1" applyBorder="1" applyAlignment="1">
      <alignment horizontal="justify" vertical="center" wrapText="1"/>
    </xf>
    <xf numFmtId="0" fontId="43" fillId="25" borderId="7" xfId="0" applyFont="1" applyFill="1" applyBorder="1" applyAlignment="1">
      <alignment horizontal="justify" vertical="center" wrapText="1"/>
    </xf>
    <xf numFmtId="0" fontId="43" fillId="25" borderId="8" xfId="0" applyFont="1" applyFill="1" applyBorder="1" applyAlignment="1">
      <alignment horizontal="justify" vertical="center" wrapText="1"/>
    </xf>
    <xf numFmtId="0" fontId="43" fillId="25" borderId="91" xfId="0" applyFont="1" applyFill="1" applyBorder="1" applyAlignment="1">
      <alignment horizontal="justify" vertical="center" wrapText="1"/>
    </xf>
    <xf numFmtId="0" fontId="43" fillId="25" borderId="92" xfId="0" applyFont="1" applyFill="1" applyBorder="1" applyAlignment="1">
      <alignment horizontal="justify" vertical="center" wrapText="1"/>
    </xf>
    <xf numFmtId="0" fontId="43" fillId="25" borderId="94" xfId="0" applyFont="1" applyFill="1" applyBorder="1" applyAlignment="1">
      <alignment horizontal="justify" vertical="center" wrapText="1"/>
    </xf>
    <xf numFmtId="0" fontId="43" fillId="0" borderId="29" xfId="0" applyFont="1" applyBorder="1" applyAlignment="1">
      <alignment horizontal="left" vertical="center" wrapText="1"/>
    </xf>
    <xf numFmtId="0" fontId="43" fillId="0" borderId="7" xfId="0" applyFont="1" applyBorder="1" applyAlignment="1">
      <alignment horizontal="left" vertical="center" wrapText="1"/>
    </xf>
    <xf numFmtId="0" fontId="43" fillId="0" borderId="8" xfId="0" applyFont="1" applyBorder="1" applyAlignment="1">
      <alignment horizontal="left" vertical="center" wrapText="1"/>
    </xf>
    <xf numFmtId="0" fontId="43" fillId="0" borderId="91" xfId="0" applyFont="1" applyBorder="1" applyAlignment="1">
      <alignment horizontal="left" vertical="center" wrapText="1"/>
    </xf>
    <xf numFmtId="0" fontId="43" fillId="0" borderId="92" xfId="0" applyFont="1" applyBorder="1" applyAlignment="1">
      <alignment horizontal="left" vertical="center" wrapText="1"/>
    </xf>
    <xf numFmtId="0" fontId="43" fillId="0" borderId="94" xfId="0" applyFont="1" applyBorder="1" applyAlignment="1">
      <alignment horizontal="left" vertical="center" wrapText="1"/>
    </xf>
    <xf numFmtId="0" fontId="43" fillId="25" borderId="95" xfId="0" applyFont="1" applyFill="1" applyBorder="1" applyAlignment="1">
      <alignment horizontal="justify" vertical="center" wrapText="1"/>
    </xf>
    <xf numFmtId="0" fontId="43" fillId="25" borderId="96" xfId="0" applyFont="1" applyFill="1" applyBorder="1" applyAlignment="1">
      <alignment horizontal="justify" vertical="center" wrapText="1"/>
    </xf>
    <xf numFmtId="0" fontId="27" fillId="0" borderId="32" xfId="0" applyFont="1" applyBorder="1" applyAlignment="1">
      <alignment horizontal="left" vertical="center" wrapText="1"/>
    </xf>
    <xf numFmtId="0" fontId="27" fillId="0" borderId="33" xfId="0" applyFont="1" applyBorder="1" applyAlignment="1">
      <alignment horizontal="left" vertical="center" wrapText="1"/>
    </xf>
    <xf numFmtId="0" fontId="27" fillId="0" borderId="34" xfId="0" applyFont="1" applyBorder="1" applyAlignment="1">
      <alignment horizontal="left" vertical="center" wrapText="1"/>
    </xf>
    <xf numFmtId="0" fontId="26" fillId="0" borderId="75" xfId="0" applyFont="1" applyBorder="1" applyAlignment="1">
      <alignment horizontal="justify" vertical="center" wrapText="1"/>
    </xf>
    <xf numFmtId="0" fontId="26" fillId="0" borderId="76" xfId="0" applyFont="1" applyBorder="1" applyAlignment="1">
      <alignment horizontal="justify" vertical="center" wrapText="1"/>
    </xf>
    <xf numFmtId="0" fontId="26" fillId="25" borderId="86" xfId="0" applyFont="1" applyFill="1" applyBorder="1" applyAlignment="1">
      <alignment horizontal="justify" vertical="center" wrapText="1"/>
    </xf>
    <xf numFmtId="0" fontId="26" fillId="25" borderId="89" xfId="0" applyFont="1" applyFill="1" applyBorder="1" applyAlignment="1">
      <alignment horizontal="justify" vertical="center" wrapText="1"/>
    </xf>
    <xf numFmtId="0" fontId="26" fillId="25" borderId="90" xfId="0" applyFont="1" applyFill="1" applyBorder="1" applyAlignment="1">
      <alignment horizontal="justify" vertical="center" wrapText="1"/>
    </xf>
    <xf numFmtId="0" fontId="26" fillId="25" borderId="88" xfId="0" applyFont="1" applyFill="1" applyBorder="1" applyAlignment="1">
      <alignment horizontal="justify" vertical="center" wrapText="1"/>
    </xf>
    <xf numFmtId="9" fontId="42" fillId="0" borderId="29" xfId="35" applyNumberFormat="1" applyBorder="1" applyAlignment="1">
      <alignment horizontal="justify" vertical="center" wrapText="1"/>
    </xf>
    <xf numFmtId="0" fontId="26" fillId="0" borderId="51" xfId="0" applyFont="1" applyBorder="1" applyAlignment="1">
      <alignment horizontal="center" vertical="center"/>
    </xf>
    <xf numFmtId="0" fontId="26" fillId="0" borderId="52" xfId="0" applyFont="1" applyBorder="1" applyAlignment="1">
      <alignment horizontal="center" vertical="center"/>
    </xf>
    <xf numFmtId="9" fontId="15" fillId="0" borderId="30" xfId="35" applyNumberFormat="1" applyFont="1" applyFill="1" applyBorder="1" applyAlignment="1">
      <alignment horizontal="justify" vertical="center" wrapText="1"/>
    </xf>
    <xf numFmtId="9" fontId="15" fillId="0" borderId="0" xfId="35" applyNumberFormat="1" applyFont="1" applyFill="1" applyBorder="1" applyAlignment="1">
      <alignment horizontal="justify" vertical="center" wrapText="1"/>
    </xf>
    <xf numFmtId="9" fontId="15" fillId="0" borderId="2" xfId="35" applyNumberFormat="1" applyFont="1" applyFill="1" applyBorder="1" applyAlignment="1">
      <alignment horizontal="justify" vertical="center" wrapText="1"/>
    </xf>
    <xf numFmtId="9" fontId="15" fillId="0" borderId="15" xfId="35" applyNumberFormat="1" applyFont="1" applyFill="1" applyBorder="1" applyAlignment="1">
      <alignment horizontal="justify" vertical="center" wrapText="1"/>
    </xf>
    <xf numFmtId="9" fontId="15" fillId="0" borderId="10" xfId="35" applyNumberFormat="1" applyFont="1" applyFill="1" applyBorder="1" applyAlignment="1">
      <alignment horizontal="justify" vertical="center" wrapText="1"/>
    </xf>
    <xf numFmtId="9" fontId="15" fillId="0" borderId="60" xfId="35" applyNumberFormat="1" applyFont="1" applyFill="1" applyBorder="1" applyAlignment="1">
      <alignment horizontal="justify" vertical="center" wrapText="1"/>
    </xf>
    <xf numFmtId="9" fontId="42" fillId="0" borderId="29" xfId="34" applyNumberFormat="1" applyBorder="1" applyAlignment="1">
      <alignment horizontal="left" vertical="center" wrapText="1"/>
    </xf>
    <xf numFmtId="9" fontId="26" fillId="0" borderId="97" xfId="22" applyNumberFormat="1" applyFont="1" applyBorder="1" applyAlignment="1">
      <alignment horizontal="left" vertical="center" wrapText="1"/>
    </xf>
    <xf numFmtId="0" fontId="43" fillId="0" borderId="86" xfId="0" applyFont="1" applyBorder="1" applyAlignment="1">
      <alignment horizontal="left" vertical="center" wrapText="1"/>
    </xf>
    <xf numFmtId="0" fontId="43" fillId="0" borderId="93" xfId="0" applyFont="1" applyBorder="1" applyAlignment="1">
      <alignment horizontal="left" vertical="center" wrapText="1"/>
    </xf>
    <xf numFmtId="9" fontId="26" fillId="0" borderId="29" xfId="22" applyNumberFormat="1" applyFont="1" applyBorder="1" applyAlignment="1">
      <alignment vertical="center" wrapText="1"/>
    </xf>
    <xf numFmtId="9" fontId="26" fillId="0" borderId="7" xfId="22" applyNumberFormat="1" applyFont="1" applyBorder="1" applyAlignment="1">
      <alignment vertical="center" wrapText="1"/>
    </xf>
    <xf numFmtId="9" fontId="26" fillId="0" borderId="8" xfId="22" applyNumberFormat="1" applyFont="1" applyBorder="1" applyAlignment="1">
      <alignment vertical="center" wrapText="1"/>
    </xf>
    <xf numFmtId="9" fontId="26" fillId="0" borderId="15" xfId="22" applyNumberFormat="1" applyFont="1" applyBorder="1" applyAlignment="1">
      <alignment vertical="center" wrapText="1"/>
    </xf>
    <xf numFmtId="9" fontId="26" fillId="0" borderId="10" xfId="22" applyNumberFormat="1" applyFont="1" applyBorder="1" applyAlignment="1">
      <alignment vertical="center" wrapText="1"/>
    </xf>
    <xf numFmtId="9" fontId="26" fillId="0" borderId="11" xfId="22" applyNumberFormat="1" applyFont="1" applyBorder="1" applyAlignment="1">
      <alignment vertical="center" wrapText="1"/>
    </xf>
    <xf numFmtId="9" fontId="57" fillId="0" borderId="71" xfId="34" applyNumberFormat="1" applyFont="1" applyBorder="1" applyAlignment="1">
      <alignment horizontal="justify" vertical="center" wrapText="1"/>
    </xf>
    <xf numFmtId="9" fontId="57" fillId="0" borderId="75" xfId="34" applyNumberFormat="1" applyFont="1" applyBorder="1" applyAlignment="1">
      <alignment horizontal="justify" vertical="center" wrapText="1"/>
    </xf>
    <xf numFmtId="9" fontId="26" fillId="0" borderId="29" xfId="22" applyNumberFormat="1" applyFont="1" applyBorder="1" applyAlignment="1">
      <alignment horizontal="left" vertical="top" wrapText="1"/>
    </xf>
    <xf numFmtId="9" fontId="26" fillId="0" borderId="7" xfId="22" applyNumberFormat="1" applyFont="1" applyBorder="1" applyAlignment="1">
      <alignment horizontal="left" vertical="top" wrapText="1"/>
    </xf>
    <xf numFmtId="9" fontId="26" fillId="0" borderId="15" xfId="22" applyNumberFormat="1" applyFont="1" applyBorder="1" applyAlignment="1">
      <alignment horizontal="left" vertical="top" wrapText="1"/>
    </xf>
    <xf numFmtId="9" fontId="26" fillId="0" borderId="10" xfId="22" applyNumberFormat="1" applyFont="1" applyBorder="1" applyAlignment="1">
      <alignment horizontal="left" vertical="top" wrapText="1"/>
    </xf>
    <xf numFmtId="9" fontId="42" fillId="0" borderId="76" xfId="35" applyNumberFormat="1" applyFill="1" applyBorder="1" applyAlignment="1">
      <alignment horizontal="justify" vertical="center" wrapText="1"/>
    </xf>
    <xf numFmtId="9" fontId="42" fillId="0" borderId="76" xfId="34" applyNumberFormat="1" applyFill="1" applyBorder="1" applyAlignment="1">
      <alignment horizontal="justify" vertical="center" wrapText="1"/>
    </xf>
    <xf numFmtId="9" fontId="42" fillId="0" borderId="71" xfId="34" applyNumberFormat="1" applyFill="1" applyBorder="1" applyAlignment="1">
      <alignment horizontal="justify" vertical="center" wrapText="1"/>
    </xf>
    <xf numFmtId="0" fontId="32" fillId="10" borderId="3" xfId="0" applyFont="1" applyFill="1" applyBorder="1" applyAlignment="1">
      <alignment horizontal="center" vertical="center" wrapText="1"/>
    </xf>
    <xf numFmtId="0" fontId="32" fillId="10" borderId="17" xfId="0" applyFont="1" applyFill="1" applyBorder="1" applyAlignment="1">
      <alignment horizontal="center" vertical="center" wrapText="1"/>
    </xf>
    <xf numFmtId="0" fontId="32" fillId="10" borderId="4" xfId="0" applyFont="1" applyFill="1" applyBorder="1" applyAlignment="1">
      <alignment horizontal="center" vertical="center" wrapText="1"/>
    </xf>
    <xf numFmtId="0" fontId="32" fillId="10" borderId="12" xfId="0" applyFont="1" applyFill="1" applyBorder="1" applyAlignment="1">
      <alignment horizontal="center" vertical="center"/>
    </xf>
    <xf numFmtId="0" fontId="32" fillId="10" borderId="38" xfId="0" applyFont="1" applyFill="1" applyBorder="1" applyAlignment="1">
      <alignment horizontal="center" vertical="center"/>
    </xf>
    <xf numFmtId="0" fontId="32" fillId="10" borderId="39" xfId="0" applyFont="1" applyFill="1" applyBorder="1" applyAlignment="1">
      <alignment horizontal="center" vertical="center"/>
    </xf>
    <xf numFmtId="0" fontId="32" fillId="10" borderId="29" xfId="0" applyFont="1" applyFill="1" applyBorder="1" applyAlignment="1">
      <alignment horizontal="center" vertical="center"/>
    </xf>
    <xf numFmtId="0" fontId="32" fillId="10" borderId="7" xfId="0" applyFont="1" applyFill="1" applyBorder="1" applyAlignment="1">
      <alignment horizontal="center" vertical="center"/>
    </xf>
    <xf numFmtId="0" fontId="32" fillId="10" borderId="8" xfId="0" applyFont="1" applyFill="1" applyBorder="1" applyAlignment="1">
      <alignment horizontal="center" vertical="center"/>
    </xf>
    <xf numFmtId="0" fontId="32" fillId="10" borderId="30" xfId="0" applyFont="1" applyFill="1" applyBorder="1" applyAlignment="1">
      <alignment horizontal="center" vertical="center"/>
    </xf>
    <xf numFmtId="0" fontId="32" fillId="10" borderId="0" xfId="0" applyFont="1" applyFill="1" applyAlignment="1">
      <alignment horizontal="center" vertical="center"/>
    </xf>
    <xf numFmtId="0" fontId="32" fillId="10" borderId="9" xfId="0" applyFont="1" applyFill="1" applyBorder="1" applyAlignment="1">
      <alignment horizontal="center" vertical="center"/>
    </xf>
    <xf numFmtId="0" fontId="32" fillId="10" borderId="15" xfId="0" applyFont="1" applyFill="1" applyBorder="1" applyAlignment="1">
      <alignment horizontal="center" vertical="center"/>
    </xf>
    <xf numFmtId="0" fontId="32" fillId="10" borderId="10" xfId="0" applyFont="1" applyFill="1" applyBorder="1" applyAlignment="1">
      <alignment horizontal="center" vertical="center"/>
    </xf>
    <xf numFmtId="0" fontId="32" fillId="10" borderId="11" xfId="0" applyFont="1" applyFill="1" applyBorder="1" applyAlignment="1">
      <alignment horizontal="center" vertical="center"/>
    </xf>
    <xf numFmtId="0" fontId="32" fillId="10" borderId="12" xfId="0" applyFont="1" applyFill="1" applyBorder="1" applyAlignment="1">
      <alignment horizontal="center" vertical="center" wrapText="1"/>
    </xf>
    <xf numFmtId="0" fontId="32" fillId="10" borderId="39" xfId="0" applyFont="1" applyFill="1" applyBorder="1" applyAlignment="1">
      <alignment horizontal="center" vertical="center" wrapText="1"/>
    </xf>
    <xf numFmtId="0" fontId="27" fillId="0" borderId="43" xfId="0" applyFont="1" applyBorder="1" applyAlignment="1">
      <alignment horizontal="left" vertical="center" wrapText="1"/>
    </xf>
    <xf numFmtId="0" fontId="27" fillId="0" borderId="21" xfId="0" applyFont="1" applyBorder="1" applyAlignment="1">
      <alignment horizontal="left" vertical="center" wrapText="1"/>
    </xf>
    <xf numFmtId="0" fontId="28" fillId="0" borderId="70" xfId="0" applyFont="1" applyBorder="1" applyAlignment="1">
      <alignment horizontal="left" vertical="center" wrapText="1"/>
    </xf>
    <xf numFmtId="0" fontId="32" fillId="0" borderId="6" xfId="0" applyFont="1" applyBorder="1" applyAlignment="1">
      <alignment horizontal="left" vertical="center" wrapText="1"/>
    </xf>
    <xf numFmtId="0" fontId="32" fillId="0" borderId="15" xfId="0" applyFont="1" applyBorder="1" applyAlignment="1">
      <alignment horizontal="center" vertical="center"/>
    </xf>
    <xf numFmtId="0" fontId="32" fillId="0" borderId="10" xfId="0" applyFont="1" applyBorder="1" applyAlignment="1">
      <alignment horizontal="center" vertical="center"/>
    </xf>
    <xf numFmtId="0" fontId="32" fillId="0" borderId="11" xfId="0" applyFont="1" applyBorder="1" applyAlignment="1">
      <alignment horizontal="center" vertical="center"/>
    </xf>
    <xf numFmtId="0" fontId="32" fillId="0" borderId="12" xfId="0" applyFont="1" applyBorder="1" applyAlignment="1">
      <alignment horizontal="center" vertical="center"/>
    </xf>
    <xf numFmtId="0" fontId="32" fillId="0" borderId="38" xfId="0" applyFont="1" applyBorder="1" applyAlignment="1">
      <alignment horizontal="center" vertical="center"/>
    </xf>
    <xf numFmtId="0" fontId="32" fillId="0" borderId="39" xfId="0" applyFont="1" applyBorder="1" applyAlignment="1">
      <alignment horizontal="center" vertical="center"/>
    </xf>
    <xf numFmtId="0" fontId="32" fillId="0" borderId="29" xfId="0" applyFont="1" applyBorder="1" applyAlignment="1">
      <alignment horizontal="center" vertical="center"/>
    </xf>
    <xf numFmtId="0" fontId="32" fillId="0" borderId="7" xfId="0" applyFont="1" applyBorder="1" applyAlignment="1">
      <alignment horizontal="center" vertical="center"/>
    </xf>
    <xf numFmtId="0" fontId="32" fillId="0" borderId="8" xfId="0" applyFont="1" applyBorder="1" applyAlignment="1">
      <alignment horizontal="center" vertical="center"/>
    </xf>
    <xf numFmtId="0" fontId="32" fillId="10" borderId="6" xfId="0" applyFont="1" applyFill="1" applyBorder="1" applyAlignment="1">
      <alignment horizontal="center" vertical="center" wrapText="1"/>
    </xf>
    <xf numFmtId="14" fontId="31" fillId="0" borderId="6" xfId="0" applyNumberFormat="1" applyFont="1" applyBorder="1" applyAlignment="1">
      <alignment horizontal="center" vertical="center"/>
    </xf>
    <xf numFmtId="0" fontId="31" fillId="0" borderId="6" xfId="0" applyFont="1" applyBorder="1" applyAlignment="1">
      <alignment horizontal="center" vertical="center"/>
    </xf>
    <xf numFmtId="0" fontId="32" fillId="10" borderId="38" xfId="0" applyFont="1" applyFill="1" applyBorder="1" applyAlignment="1">
      <alignment horizontal="center" vertical="center" wrapText="1"/>
    </xf>
    <xf numFmtId="0" fontId="29" fillId="0" borderId="6" xfId="0" applyFont="1" applyBorder="1" applyAlignment="1">
      <alignment horizontal="left" vertical="center"/>
    </xf>
    <xf numFmtId="0" fontId="32" fillId="10" borderId="12" xfId="0" applyFont="1" applyFill="1" applyBorder="1" applyAlignment="1">
      <alignment vertical="center" wrapText="1"/>
    </xf>
    <xf numFmtId="0" fontId="32" fillId="10" borderId="38" xfId="0" applyFont="1" applyFill="1" applyBorder="1" applyAlignment="1">
      <alignment vertical="center" wrapText="1"/>
    </xf>
    <xf numFmtId="0" fontId="32" fillId="0" borderId="29" xfId="0" applyFont="1" applyBorder="1" applyAlignment="1">
      <alignment vertical="center" wrapText="1"/>
    </xf>
    <xf numFmtId="0" fontId="32" fillId="0" borderId="7" xfId="0" applyFont="1" applyBorder="1" applyAlignment="1">
      <alignment vertical="center" wrapText="1"/>
    </xf>
    <xf numFmtId="0" fontId="32" fillId="0" borderId="8" xfId="0" applyFont="1" applyBorder="1" applyAlignment="1">
      <alignment vertical="center" wrapText="1"/>
    </xf>
    <xf numFmtId="0" fontId="32" fillId="0" borderId="6" xfId="0" applyFont="1" applyBorder="1" applyAlignment="1">
      <alignment horizontal="center" vertical="center"/>
    </xf>
    <xf numFmtId="0" fontId="27" fillId="0" borderId="6" xfId="0" applyFont="1" applyBorder="1" applyAlignment="1">
      <alignment vertical="center" wrapText="1"/>
    </xf>
    <xf numFmtId="0" fontId="35" fillId="13" borderId="4" xfId="0" applyFont="1" applyFill="1" applyBorder="1" applyAlignment="1">
      <alignment horizontal="center" vertical="center"/>
    </xf>
    <xf numFmtId="0" fontId="35" fillId="13" borderId="6" xfId="0" applyFont="1" applyFill="1" applyBorder="1" applyAlignment="1">
      <alignment horizontal="center" vertical="center"/>
    </xf>
    <xf numFmtId="0" fontId="27" fillId="10" borderId="3" xfId="0" applyFont="1" applyFill="1" applyBorder="1" applyAlignment="1">
      <alignment horizontal="center" vertical="center" wrapText="1"/>
    </xf>
    <xf numFmtId="0" fontId="27" fillId="10" borderId="4" xfId="0" applyFont="1" applyFill="1" applyBorder="1" applyAlignment="1">
      <alignment horizontal="center" vertical="center" wrapText="1"/>
    </xf>
    <xf numFmtId="0" fontId="27" fillId="10" borderId="12" xfId="0" applyFont="1" applyFill="1" applyBorder="1" applyAlignment="1">
      <alignment horizontal="center" vertical="center" wrapText="1"/>
    </xf>
    <xf numFmtId="0" fontId="27" fillId="10" borderId="39" xfId="0" applyFont="1" applyFill="1" applyBorder="1" applyAlignment="1">
      <alignment horizontal="center" vertical="center" wrapText="1"/>
    </xf>
    <xf numFmtId="15" fontId="27" fillId="0" borderId="6" xfId="0" applyNumberFormat="1" applyFont="1" applyBorder="1" applyAlignment="1">
      <alignment horizontal="left" vertical="center"/>
    </xf>
    <xf numFmtId="0" fontId="27" fillId="0" borderId="6" xfId="0" applyFont="1" applyBorder="1" applyAlignment="1">
      <alignment horizontal="left" vertical="center"/>
    </xf>
    <xf numFmtId="0" fontId="27" fillId="10" borderId="38" xfId="0" applyFont="1" applyFill="1" applyBorder="1" applyAlignment="1">
      <alignment horizontal="center" vertical="center" wrapText="1"/>
    </xf>
    <xf numFmtId="0" fontId="27" fillId="0" borderId="12"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27" fillId="32" borderId="15" xfId="0" applyFont="1" applyFill="1" applyBorder="1" applyAlignment="1">
      <alignment horizontal="center" vertical="center" wrapText="1"/>
    </xf>
    <xf numFmtId="0" fontId="27" fillId="32" borderId="11" xfId="0" applyFont="1" applyFill="1" applyBorder="1" applyAlignment="1">
      <alignment horizontal="center" vertical="center" wrapText="1"/>
    </xf>
    <xf numFmtId="0" fontId="27" fillId="32" borderId="10" xfId="0" applyFont="1" applyFill="1" applyBorder="1" applyAlignment="1">
      <alignment horizontal="center" vertical="center" wrapText="1"/>
    </xf>
    <xf numFmtId="0" fontId="27" fillId="32" borderId="60" xfId="0" applyFont="1" applyFill="1" applyBorder="1" applyAlignment="1">
      <alignment horizontal="center" vertical="center" wrapText="1"/>
    </xf>
    <xf numFmtId="0" fontId="30" fillId="32" borderId="32" xfId="0" applyFont="1" applyFill="1" applyBorder="1" applyAlignment="1">
      <alignment horizontal="center" vertical="center"/>
    </xf>
    <xf numFmtId="0" fontId="30" fillId="32" borderId="33" xfId="0" applyFont="1" applyFill="1" applyBorder="1" applyAlignment="1">
      <alignment horizontal="center" vertical="center"/>
    </xf>
    <xf numFmtId="0" fontId="30" fillId="32" borderId="34" xfId="0" applyFont="1" applyFill="1" applyBorder="1" applyAlignment="1">
      <alignment horizontal="center" vertical="center"/>
    </xf>
    <xf numFmtId="0" fontId="27" fillId="32" borderId="17" xfId="0" applyFont="1" applyFill="1" applyBorder="1" applyAlignment="1">
      <alignment horizontal="center" vertical="center" wrapText="1"/>
    </xf>
    <xf numFmtId="0" fontId="27" fillId="32" borderId="19" xfId="0" applyFont="1" applyFill="1" applyBorder="1" applyAlignment="1">
      <alignment horizontal="center" vertical="center" wrapText="1"/>
    </xf>
    <xf numFmtId="0" fontId="27" fillId="32" borderId="101" xfId="0" applyFont="1" applyFill="1" applyBorder="1" applyAlignment="1">
      <alignment horizontal="center" vertical="center" wrapText="1"/>
    </xf>
    <xf numFmtId="0" fontId="27" fillId="32" borderId="18" xfId="0" applyFont="1" applyFill="1" applyBorder="1" applyAlignment="1">
      <alignment horizontal="center" vertical="center" wrapText="1"/>
    </xf>
    <xf numFmtId="0" fontId="29" fillId="0" borderId="27" xfId="0" applyFont="1" applyBorder="1" applyAlignment="1">
      <alignment horizontal="center"/>
    </xf>
    <xf numFmtId="0" fontId="29" fillId="0" borderId="61" xfId="0" applyFont="1" applyBorder="1" applyAlignment="1">
      <alignment horizontal="center"/>
    </xf>
    <xf numFmtId="0" fontId="29" fillId="0" borderId="54" xfId="0" applyFont="1" applyBorder="1" applyAlignment="1">
      <alignment horizontal="center"/>
    </xf>
    <xf numFmtId="0" fontId="27" fillId="13" borderId="49" xfId="22" applyFont="1" applyFill="1" applyBorder="1" applyAlignment="1">
      <alignment horizontal="center" vertical="center" wrapText="1"/>
    </xf>
    <xf numFmtId="0" fontId="27" fillId="13" borderId="50" xfId="22" applyFont="1" applyFill="1" applyBorder="1" applyAlignment="1">
      <alignment horizontal="center" vertical="center" wrapText="1"/>
    </xf>
    <xf numFmtId="0" fontId="29" fillId="0" borderId="12" xfId="0" applyFont="1" applyBorder="1" applyAlignment="1">
      <alignment horizontal="center"/>
    </xf>
    <xf numFmtId="0" fontId="29" fillId="0" borderId="38" xfId="0" applyFont="1" applyBorder="1" applyAlignment="1">
      <alignment horizontal="center"/>
    </xf>
    <xf numFmtId="0" fontId="29" fillId="0" borderId="52" xfId="0" applyFont="1" applyBorder="1" applyAlignment="1">
      <alignment horizontal="center"/>
    </xf>
    <xf numFmtId="0" fontId="29" fillId="0" borderId="12" xfId="0" applyFont="1" applyBorder="1" applyAlignment="1">
      <alignment horizontal="justify" vertical="center" wrapText="1"/>
    </xf>
    <xf numFmtId="0" fontId="29" fillId="0" borderId="38" xfId="0" applyFont="1" applyBorder="1" applyAlignment="1">
      <alignment horizontal="justify" vertical="center" wrapText="1"/>
    </xf>
    <xf numFmtId="0" fontId="29" fillId="0" borderId="52" xfId="0" applyFont="1" applyBorder="1" applyAlignment="1">
      <alignment horizontal="justify" vertical="center" wrapText="1"/>
    </xf>
    <xf numFmtId="0" fontId="29" fillId="0" borderId="12" xfId="0" applyFont="1" applyBorder="1" applyAlignment="1">
      <alignment horizontal="justify" vertical="center"/>
    </xf>
    <xf numFmtId="0" fontId="29" fillId="0" borderId="38" xfId="0" applyFont="1" applyBorder="1" applyAlignment="1">
      <alignment horizontal="justify" vertical="center"/>
    </xf>
    <xf numFmtId="0" fontId="29" fillId="0" borderId="52" xfId="0" applyFont="1" applyBorder="1" applyAlignment="1">
      <alignment horizontal="justify" vertical="center"/>
    </xf>
    <xf numFmtId="0" fontId="29" fillId="0" borderId="15" xfId="0" applyFont="1" applyBorder="1" applyAlignment="1">
      <alignment horizontal="justify" vertical="center" wrapText="1"/>
    </xf>
    <xf numFmtId="0" fontId="29" fillId="0" borderId="10" xfId="0" applyFont="1" applyBorder="1" applyAlignment="1">
      <alignment horizontal="justify" vertical="center" wrapText="1"/>
    </xf>
    <xf numFmtId="0" fontId="29" fillId="0" borderId="60" xfId="0" applyFont="1" applyBorder="1" applyAlignment="1">
      <alignment horizontal="justify" vertical="center" wrapText="1"/>
    </xf>
    <xf numFmtId="0" fontId="26" fillId="0" borderId="20" xfId="22" applyFont="1" applyBorder="1" applyAlignment="1">
      <alignment horizontal="center" vertical="center" wrapText="1"/>
    </xf>
    <xf numFmtId="0" fontId="26" fillId="0" borderId="13" xfId="22" applyFont="1" applyBorder="1" applyAlignment="1">
      <alignment horizontal="center" vertical="center" wrapText="1"/>
    </xf>
    <xf numFmtId="0" fontId="26" fillId="0" borderId="23" xfId="22" applyFont="1" applyBorder="1" applyAlignment="1">
      <alignment horizontal="center" vertical="center" wrapText="1"/>
    </xf>
    <xf numFmtId="0" fontId="27" fillId="0" borderId="21" xfId="22" applyFont="1" applyBorder="1" applyAlignment="1">
      <alignment horizontal="center" vertical="center"/>
    </xf>
    <xf numFmtId="0" fontId="27" fillId="0" borderId="6" xfId="22" applyFont="1" applyBorder="1" applyAlignment="1">
      <alignment horizontal="center" vertical="center"/>
    </xf>
    <xf numFmtId="0" fontId="27" fillId="0" borderId="6" xfId="22" applyFont="1" applyBorder="1" applyAlignment="1">
      <alignment horizontal="center" vertical="center" wrapText="1"/>
    </xf>
    <xf numFmtId="0" fontId="27" fillId="13" borderId="5" xfId="22" applyFont="1" applyFill="1" applyBorder="1" applyAlignment="1">
      <alignment horizontal="center" vertical="center" wrapText="1"/>
    </xf>
    <xf numFmtId="0" fontId="27" fillId="13" borderId="28" xfId="22" applyFont="1" applyFill="1" applyBorder="1" applyAlignment="1">
      <alignment horizontal="center" vertical="center" wrapText="1"/>
    </xf>
    <xf numFmtId="0" fontId="39" fillId="19" borderId="0" xfId="0" applyFont="1" applyFill="1" applyAlignment="1">
      <alignment vertical="center" wrapText="1"/>
    </xf>
    <xf numFmtId="0" fontId="39" fillId="19" borderId="0" xfId="0" applyFont="1" applyFill="1" applyAlignment="1">
      <alignment horizontal="center" vertical="center" wrapText="1"/>
    </xf>
    <xf numFmtId="0" fontId="38" fillId="0" borderId="0" xfId="0" applyFont="1" applyAlignment="1">
      <alignment horizontal="center" vertical="center" wrapText="1"/>
    </xf>
    <xf numFmtId="0" fontId="39" fillId="29" borderId="0" xfId="0" applyFont="1" applyFill="1" applyAlignment="1">
      <alignment horizontal="center" vertical="center" wrapText="1"/>
    </xf>
    <xf numFmtId="0" fontId="81" fillId="38" borderId="32" xfId="22" applyFont="1" applyFill="1" applyBorder="1" applyAlignment="1">
      <alignment horizontal="right" vertical="center"/>
    </xf>
    <xf numFmtId="0" fontId="81" fillId="38" borderId="34" xfId="22" applyFont="1" applyFill="1" applyBorder="1" applyAlignment="1">
      <alignment horizontal="right" vertical="center"/>
    </xf>
    <xf numFmtId="0" fontId="26" fillId="0" borderId="49" xfId="0" applyFont="1" applyFill="1" applyBorder="1" applyAlignment="1">
      <alignment horizontal="center" vertical="center"/>
    </xf>
    <xf numFmtId="0" fontId="26" fillId="0" borderId="50" xfId="0" applyFont="1" applyFill="1" applyBorder="1" applyAlignment="1">
      <alignment horizontal="center" vertical="center"/>
    </xf>
    <xf numFmtId="0" fontId="26" fillId="0" borderId="51" xfId="0" applyFont="1" applyFill="1" applyBorder="1" applyAlignment="1">
      <alignment horizontal="center" vertical="center"/>
    </xf>
    <xf numFmtId="0" fontId="26" fillId="0" borderId="52" xfId="0" applyFont="1" applyFill="1" applyBorder="1" applyAlignment="1">
      <alignment horizontal="center" vertical="center"/>
    </xf>
  </cellXfs>
  <cellStyles count="40">
    <cellStyle name="20% - Énfasis6 2" xfId="1" xr:uid="{00000000-0005-0000-0000-000000000000}"/>
    <cellStyle name="BodyStyle" xfId="2" xr:uid="{00000000-0005-0000-0000-000001000000}"/>
    <cellStyle name="Borde de la tabla derecha" xfId="3" xr:uid="{00000000-0005-0000-0000-000002000000}"/>
    <cellStyle name="Borde de la tabla izquierda" xfId="4" xr:uid="{00000000-0005-0000-0000-000003000000}"/>
    <cellStyle name="Encabezado 1 2" xfId="5" xr:uid="{00000000-0005-0000-0000-000004000000}"/>
    <cellStyle name="Encabezado 2" xfId="6" xr:uid="{00000000-0005-0000-0000-000005000000}"/>
    <cellStyle name="Énfasis6 2" xfId="7" xr:uid="{00000000-0005-0000-0000-000006000000}"/>
    <cellStyle name="Fecha" xfId="8" xr:uid="{00000000-0005-0000-0000-000007000000}"/>
    <cellStyle name="HeaderStyle" xfId="9" xr:uid="{00000000-0005-0000-0000-000008000000}"/>
    <cellStyle name="Hipervínculo" xfId="35" builtinId="8"/>
    <cellStyle name="Hyperlink" xfId="34" xr:uid="{00000000-000B-0000-0000-000008000000}"/>
    <cellStyle name="Millares" xfId="10" builtinId="3"/>
    <cellStyle name="Millares [0]" xfId="11" builtinId="6"/>
    <cellStyle name="Millares [0] 2" xfId="12" xr:uid="{00000000-0005-0000-0000-00000B000000}"/>
    <cellStyle name="Millares 2" xfId="13" xr:uid="{00000000-0005-0000-0000-00000C000000}"/>
    <cellStyle name="Moneda" xfId="14" builtinId="4"/>
    <cellStyle name="Moneda [0]" xfId="15" builtinId="7"/>
    <cellStyle name="Moneda 130" xfId="16" xr:uid="{00000000-0005-0000-0000-00000F000000}"/>
    <cellStyle name="Moneda 2" xfId="17" xr:uid="{00000000-0005-0000-0000-000010000000}"/>
    <cellStyle name="Moneda 2 2" xfId="18" xr:uid="{00000000-0005-0000-0000-000011000000}"/>
    <cellStyle name="Moneda 23" xfId="19" xr:uid="{00000000-0005-0000-0000-000012000000}"/>
    <cellStyle name="Moneda 3" xfId="20" xr:uid="{00000000-0005-0000-0000-000013000000}"/>
    <cellStyle name="Moneda 4" xfId="39" xr:uid="{504D4692-E933-4A64-902B-EF0128376EF5}"/>
    <cellStyle name="Neutral 2" xfId="21" xr:uid="{00000000-0005-0000-0000-000014000000}"/>
    <cellStyle name="Normal" xfId="0" builtinId="0"/>
    <cellStyle name="Normal 2" xfId="22" xr:uid="{00000000-0005-0000-0000-000016000000}"/>
    <cellStyle name="Normal 2 2" xfId="23" xr:uid="{00000000-0005-0000-0000-000017000000}"/>
    <cellStyle name="Normal 2 3" xfId="24" xr:uid="{00000000-0005-0000-0000-000018000000}"/>
    <cellStyle name="Normal 3" xfId="25" xr:uid="{00000000-0005-0000-0000-000019000000}"/>
    <cellStyle name="Normal 3 2" xfId="26" xr:uid="{00000000-0005-0000-0000-00001A000000}"/>
    <cellStyle name="Normal 4" xfId="36" xr:uid="{05953018-922C-456B-A3B9-91D93D463FD2}"/>
    <cellStyle name="Normal 5" xfId="37" xr:uid="{BDA941F7-D104-4C40-A989-F6F133755AF7}"/>
    <cellStyle name="Normal 6 2" xfId="27" xr:uid="{00000000-0005-0000-0000-00001B000000}"/>
    <cellStyle name="Porcentaje" xfId="28" builtinId="5"/>
    <cellStyle name="Porcentaje 2" xfId="29" xr:uid="{00000000-0005-0000-0000-00001D000000}"/>
    <cellStyle name="Porcentaje 3" xfId="38" xr:uid="{1CF178C2-6E0B-4A2B-9A02-3AB8CF0DF71F}"/>
    <cellStyle name="Porcentual 2" xfId="30" xr:uid="{00000000-0005-0000-0000-00001E000000}"/>
    <cellStyle name="Texto de inicio" xfId="31" xr:uid="{00000000-0005-0000-0000-00001F000000}"/>
    <cellStyle name="Texto de la columna A" xfId="32" xr:uid="{00000000-0005-0000-0000-000020000000}"/>
    <cellStyle name="Título 4" xfId="33" xr:uid="{00000000-0005-0000-0000-000021000000}"/>
  </cellStyles>
  <dxfs count="0"/>
  <tableStyles count="0" defaultTableStyle="TableStyleMedium9" defaultPivotStyle="PivotStyleLight16"/>
  <colors>
    <mruColors>
      <color rgb="FF66FF66"/>
      <color rgb="FFE67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Drop" dropStyle="simple" dx="17" sel="0" val="0" widthMin="70"/>
</file>

<file path=xl/ctrlProps/ctrlProp2.xml><?xml version="1.0" encoding="utf-8"?>
<formControlPr xmlns="http://schemas.microsoft.com/office/spreadsheetml/2009/9/main" objectType="Drop" dropStyle="simple" dx="17" sel="0" val="0" widthMin="44"/>
</file>

<file path=xl/documenttasks/documenttask1.xml><?xml version="1.0" encoding="utf-8"?>
<Tasks xmlns="http://schemas.microsoft.com/office/tasks/2019/documenttasks">
  <Task id="{BE8BA75F-4F87-4424-BAD7-F7B3D5C89EA7}">
    <Anchor>
      <Comment id="{52512995-20B8-431B-8B61-457F61350873}"/>
    </Anchor>
    <History>
      <Event time="2024-08-27T16:04:05.12" id="{56E0A6A8-32CA-4D23-93AF-001537BB2BFA}">
        <Attribution userId="S::jdcortes@sdmujer.gov.co::19286d0c-2b39-4349-b92d-6ea2665a8b77" userName="Juan David Cortes Gonzalez" userProvider="AD"/>
        <Anchor>
          <Comment id="{52512995-20B8-431B-8B61-457F61350873}"/>
        </Anchor>
        <Create/>
      </Event>
      <Event time="2024-08-27T16:04:05.12" id="{5032DEE6-37C9-44F9-BE2D-C68C0E17978A}">
        <Attribution userId="S::jdcortes@sdmujer.gov.co::19286d0c-2b39-4349-b92d-6ea2665a8b77" userName="Juan David Cortes Gonzalez" userProvider="AD"/>
        <Anchor>
          <Comment id="{52512995-20B8-431B-8B61-457F61350873}"/>
        </Anchor>
        <Assign userId="S::mggomez@sdmujer.gov.co::3a029fb8-7425-4182-81da-a9b2db3a160c" userName="Miguel Giovanny Gómez López" userProvider="AD"/>
      </Event>
      <Event time="2024-08-27T16:04:05.12" id="{C31E9A50-9CB9-47EA-987F-A7C5533D76BA}">
        <Attribution userId="S::jdcortes@sdmujer.gov.co::19286d0c-2b39-4349-b92d-6ea2665a8b77" userName="Juan David Cortes Gonzalez" userProvider="AD"/>
        <Anchor>
          <Comment id="{52512995-20B8-431B-8B61-457F61350873}"/>
        </Anchor>
        <SetTitle title="@Miguel Giovanny Gómez López por favor podrías ayudarme a diligenciar de manera urgente este indicador, con la descripción cualitativa del avance, evidencia del avance del periodo. la descripción cualitativa del avance acumulado, si hay retrasos y …"/>
      </Event>
    </History>
  </Task>
</Task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A39DDBC8-6507-49D1-AE96-8E3241AF3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 y="88265"/>
          <a:ext cx="1170305"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82178" name="Picture 47">
          <a:extLst>
            <a:ext uri="{FF2B5EF4-FFF2-40B4-BE49-F238E27FC236}">
              <a16:creationId xmlns:a16="http://schemas.microsoft.com/office/drawing/2014/main" id="{16BC92F2-7AC6-1845-6836-1F6C9AB34D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0" y="85725"/>
          <a:ext cx="11715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89FF9008-55F3-4B00-B393-018E32B044E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 y="88265"/>
          <a:ext cx="1170305"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666750</xdr:colOff>
      <xdr:row>0</xdr:row>
      <xdr:rowOff>85725</xdr:rowOff>
    </xdr:from>
    <xdr:to>
      <xdr:col>0</xdr:col>
      <xdr:colOff>1838325</xdr:colOff>
      <xdr:row>3</xdr:row>
      <xdr:rowOff>142875</xdr:rowOff>
    </xdr:to>
    <xdr:pic>
      <xdr:nvPicPr>
        <xdr:cNvPr id="2" name="Picture 47">
          <a:extLst>
            <a:ext uri="{FF2B5EF4-FFF2-40B4-BE49-F238E27FC236}">
              <a16:creationId xmlns:a16="http://schemas.microsoft.com/office/drawing/2014/main" id="{ED6B6EC3-8536-433E-B680-334D9C72F59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70560" y="88265"/>
          <a:ext cx="1170305" cy="11506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47</xdr:col>
          <xdr:colOff>0</xdr:colOff>
          <xdr:row>13</xdr:row>
          <xdr:rowOff>0</xdr:rowOff>
        </xdr:from>
        <xdr:to>
          <xdr:col>48</xdr:col>
          <xdr:colOff>0</xdr:colOff>
          <xdr:row>14</xdr:row>
          <xdr:rowOff>0</xdr:rowOff>
        </xdr:to>
        <xdr:sp macro="" textlink="">
          <xdr:nvSpPr>
            <xdr:cNvPr id="75811" name="Control 35" hidden="1">
              <a:extLst>
                <a:ext uri="{63B3BB69-23CF-44E3-9099-C40C66FF867C}">
                  <a14:compatExt spid="_x0000_s75811"/>
                </a:ext>
                <a:ext uri="{FF2B5EF4-FFF2-40B4-BE49-F238E27FC236}">
                  <a16:creationId xmlns:a16="http://schemas.microsoft.com/office/drawing/2014/main" id="{00000000-0008-0000-0500-0000232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41</xdr:col>
          <xdr:colOff>0</xdr:colOff>
          <xdr:row>2</xdr:row>
          <xdr:rowOff>0</xdr:rowOff>
        </xdr:from>
        <xdr:to>
          <xdr:col>48</xdr:col>
          <xdr:colOff>0</xdr:colOff>
          <xdr:row>3</xdr:row>
          <xdr:rowOff>0</xdr:rowOff>
        </xdr:to>
        <xdr:sp macro="" textlink="">
          <xdr:nvSpPr>
            <xdr:cNvPr id="75812" name="Control 36" hidden="1">
              <a:extLst>
                <a:ext uri="{63B3BB69-23CF-44E3-9099-C40C66FF867C}">
                  <a14:compatExt spid="_x0000_s75812"/>
                </a:ext>
                <a:ext uri="{FF2B5EF4-FFF2-40B4-BE49-F238E27FC236}">
                  <a16:creationId xmlns:a16="http://schemas.microsoft.com/office/drawing/2014/main" id="{00000000-0008-0000-0500-00002428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0</xdr:col>
      <xdr:colOff>180975</xdr:colOff>
      <xdr:row>0</xdr:row>
      <xdr:rowOff>76200</xdr:rowOff>
    </xdr:from>
    <xdr:to>
      <xdr:col>0</xdr:col>
      <xdr:colOff>1171575</xdr:colOff>
      <xdr:row>3</xdr:row>
      <xdr:rowOff>9525</xdr:rowOff>
    </xdr:to>
    <xdr:pic>
      <xdr:nvPicPr>
        <xdr:cNvPr id="82975" name="Picture 47">
          <a:extLst>
            <a:ext uri="{FF2B5EF4-FFF2-40B4-BE49-F238E27FC236}">
              <a16:creationId xmlns:a16="http://schemas.microsoft.com/office/drawing/2014/main" id="{62735B58-1724-3686-B4E6-7472C0689C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0975" y="76200"/>
          <a:ext cx="9906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iguel Giovanny Gómez López" id="{28D16543-58F3-4F89-A37A-97153D022074}" userId="mggomez@sdmujer.gov.co" providerId="PeoplePicker"/>
  <person displayName="Juan David Cortes Gonzalez" id="{444BA226-9424-45F4-A519-0FC5BB1E4ACB}" userId="S::jdcortes@sdmujer.gov.co::19286d0c-2b39-4349-b92d-6ea2665a8b77" providerId="AD"/>
  <person displayName="Yuly Emperatriz Sanchez Cancelado" id="{4AF11041-D03D-454A-8447-05DA32060782}" userId="S::yesanchez@sdmujer.gov.co::1523c0ed-8dfa-4277-a4a7-c3af0a9fa9d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C23" dT="2024-12-23T19:44:04.69" personId="{4AF11041-D03D-454A-8447-05DA32060782}" id="{3D528CC3-7BDB-4A53-89AF-8787D7266819}">
    <text>En el mes de octubre se hizo una liberación por valor de $1.485.260 del proceso 643</text>
  </threadedComment>
  <threadedComment ref="Y43" dT="2024-09-05T22:06:01.12" personId="{444BA226-9424-45F4-A519-0FC5BB1E4ACB}" id="{4016C85B-A447-494D-8446-F2DD50601C79}">
    <text>Se ajusta la evidencias</text>
  </threadedComment>
</ThreadedComments>
</file>

<file path=xl/threadedComments/threadedComment2.xml><?xml version="1.0" encoding="utf-8"?>
<ThreadedComments xmlns="http://schemas.microsoft.com/office/spreadsheetml/2018/threadedcomments" xmlns:x="http://schemas.openxmlformats.org/spreadsheetml/2006/main">
  <threadedComment ref="AQ13" dT="2024-08-27T16:04:05.43" personId="{444BA226-9424-45F4-A519-0FC5BB1E4ACB}" id="{52512995-20B8-431B-8B61-457F61350873}">
    <text xml:space="preserve">@Miguel Giovanny Gómez López  por favor podrías ayudarme a diligenciar de manera urgente este indicador, con la descripción cualitativa del avance, evidencia del avance del periodo. la descripción cualitativa del avance acumulado, si hay retrasos y soluciones para ello si no, se indica no aplica. </text>
    <mentions>
      <mention mentionpersonId="{28D16543-58F3-4F89-A37A-97153D022074}" mentionId="{677EC123-89D1-484B-B4CB-2BFE4929633A}" startIndex="0" length="28"/>
    </mentions>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secretariadistritald.sharepoint.com/:f:/s/BogotCaminaSegura/EkNFfya2bqFKj33zGhyxr3UBacNcJiS1suNLxH2TZOJqMQ?e=HcrxPQ" TargetMode="External"/><Relationship Id="rId7" Type="http://schemas.openxmlformats.org/officeDocument/2006/relationships/comments" Target="../comments1.xml"/><Relationship Id="rId2" Type="http://schemas.openxmlformats.org/officeDocument/2006/relationships/hyperlink" Target="file:///C:/:f:/s/BogotCaminaSegura/EjqAGpGrq4FOjG9Opvdc9yoBUeNBDQZiQUOhsXHdCXtTeQ" TargetMode="External"/><Relationship Id="rId1" Type="http://schemas.openxmlformats.org/officeDocument/2006/relationships/hyperlink" Target="file:///C:/:f:/s/BogotCaminaSegura/ErEYkwm3ZTJHgHmDcbYV18ABhV2_Xm_hLA5SR1cNmQ7m6g"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hyperlink" Target="https://secretariadistritald.sharepoint.com/:f:/s/BogotCaminaSegura/ErejKm-PqpZIgfvqQQgMPY0Bm_-j7mlIOluT7QEE1vmcww?e=clAJYP" TargetMode="External"/><Relationship Id="rId7" Type="http://schemas.openxmlformats.org/officeDocument/2006/relationships/vmlDrawing" Target="../drawings/vmlDrawing2.vml"/><Relationship Id="rId2" Type="http://schemas.openxmlformats.org/officeDocument/2006/relationships/hyperlink" Target="https://secretariadistritald.sharepoint.com/:f:/s/BogotCaminaSegura/EurZa_flzwFOnnVzpBvZD4IBZfHB1kQykkK4X-2h4oUAdg?e=bZKoRx" TargetMode="External"/><Relationship Id="rId1" Type="http://schemas.openxmlformats.org/officeDocument/2006/relationships/hyperlink" Target="file:///C:/:w:/s/BogotCaminaSegura/EQigQQA7-5BArSTr3R6K9ZsBghwEozjCVdizdPgRIei2EA" TargetMode="External"/><Relationship Id="rId6" Type="http://schemas.openxmlformats.org/officeDocument/2006/relationships/drawing" Target="../drawings/drawing2.xml"/><Relationship Id="rId5" Type="http://schemas.openxmlformats.org/officeDocument/2006/relationships/printerSettings" Target="../printerSettings/printerSettings3.bin"/><Relationship Id="rId4" Type="http://schemas.openxmlformats.org/officeDocument/2006/relationships/hyperlink" Target="https://secretariadistritald.sharepoint.com/:f:/s/BogotCaminaSegura/ErejKm-PqpZIgfvqQQgMPY0Bm_-j7mlIOluT7QEE1vmcww?e=clAJYP"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ecretariadistritald.sharepoint.com/:f:/s/BogotCaminaSegura/EjVCHd5gmINGrMZV-xZSTjAB4mPMXpycujQaky88IMYErg?e=2PgdfQ" TargetMode="External"/><Relationship Id="rId1" Type="http://schemas.openxmlformats.org/officeDocument/2006/relationships/hyperlink" Target="file:///C:/:w:/s/BogotCaminaSegura/EcFVCbU2lzBFoxGrIvBFfJ8BjE6wtqYX7lrZciB5HzjAWw"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8" Type="http://schemas.openxmlformats.org/officeDocument/2006/relationships/vmlDrawing" Target="../drawings/vmlDrawing4.vml"/><Relationship Id="rId3" Type="http://schemas.openxmlformats.org/officeDocument/2006/relationships/hyperlink" Target="https://secretariadistritald.sharepoint.com/:f:/s/BogotCaminaSegura/ElIUgF4id7ZDj_d2HUfbBzgBR74Kdvd45dN_NgBXoWqGPg?e=TnvvuD" TargetMode="External"/><Relationship Id="rId7" Type="http://schemas.openxmlformats.org/officeDocument/2006/relationships/drawing" Target="../drawings/drawing4.xml"/><Relationship Id="rId2" Type="http://schemas.openxmlformats.org/officeDocument/2006/relationships/hyperlink" Target="https://secretariadistritald.sharepoint.com/:f:/s/BogotCaminaSegura/ElIUgF4id7ZDj_d2HUfbBzgBR74Kdvd45dN_NgBXoWqGPg?e=TnvvuD" TargetMode="External"/><Relationship Id="rId1" Type="http://schemas.openxmlformats.org/officeDocument/2006/relationships/hyperlink" Target="file:///C:/:f:/s/BogotCaminaSegura/Eu4N-xyBKChHnAQz69FsUWEBCRswyizXUXS7hOc1BJ4Y4Q" TargetMode="External"/><Relationship Id="rId6" Type="http://schemas.openxmlformats.org/officeDocument/2006/relationships/printerSettings" Target="../printerSettings/printerSettings5.bin"/><Relationship Id="rId5" Type="http://schemas.openxmlformats.org/officeDocument/2006/relationships/hyperlink" Target="https://secretariadistritald.sharepoint.com/:f:/s/BogotCaminaSegura/EovHildBzolOhASSH6IefPcBGIT93dO16_LwgtC0MgBzFQ?e=zZ5Qkk" TargetMode="External"/><Relationship Id="rId4" Type="http://schemas.openxmlformats.org/officeDocument/2006/relationships/hyperlink" Target="https://secretariadistritald.sharepoint.com/:f:/s/BogotCaminaSegura/EovHildBzolOhASSH6IefPcBGIT93dO16_LwgtC0MgBzFQ?e=zZ5Qkk" TargetMode="External"/><Relationship Id="rId9" Type="http://schemas.openxmlformats.org/officeDocument/2006/relationships/comments" Target="../comments4.xml"/></Relationships>
</file>

<file path=xl/worksheets/_rels/sheet6.xml.rels><?xml version="1.0" encoding="UTF-8" standalone="yes"?>
<Relationships xmlns="http://schemas.openxmlformats.org/package/2006/relationships"><Relationship Id="rId8" Type="http://schemas.openxmlformats.org/officeDocument/2006/relationships/vmlDrawing" Target="../drawings/vmlDrawing5.vml"/><Relationship Id="rId13" Type="http://schemas.microsoft.com/office/2019/04/relationships/documenttask" Target="../documenttasks/documenttask1.xml"/><Relationship Id="rId3" Type="http://schemas.openxmlformats.org/officeDocument/2006/relationships/hyperlink" Target="https://secretariadistritald.sharepoint.com/:f:/s/BogotCaminaSegura/Esm8KGKPArREgbnhEcgHYdIBDl1spA09iHHsDuxTfjkePQ?e=RgNXcv" TargetMode="External"/><Relationship Id="rId7" Type="http://schemas.openxmlformats.org/officeDocument/2006/relationships/drawing" Target="../drawings/drawing5.xml"/><Relationship Id="rId12" Type="http://schemas.microsoft.com/office/2017/10/relationships/threadedComment" Target="../threadedComments/threadedComment2.xml"/><Relationship Id="rId2" Type="http://schemas.openxmlformats.org/officeDocument/2006/relationships/hyperlink" Target="https://secretariadistritald.sharepoint.com/:f:/s/BogotCaminaSegura/Ek2HLF2VICpNhDd4DgPu-TgB3mvvMp_EPVm2anZPIG4DvQ?e=BEp0cC" TargetMode="External"/><Relationship Id="rId1" Type="http://schemas.openxmlformats.org/officeDocument/2006/relationships/hyperlink" Target="https://secretariadistritald.sharepoint.com/:x:/s/BogotCaminaSegura/EdKiQDKHQFVFoRVd7HjwbK0BeGiDwz-LCAFJc5DeYodg-A?e=2RLIb8" TargetMode="External"/><Relationship Id="rId6" Type="http://schemas.openxmlformats.org/officeDocument/2006/relationships/printerSettings" Target="../printerSettings/printerSettings6.bin"/><Relationship Id="rId11" Type="http://schemas.openxmlformats.org/officeDocument/2006/relationships/comments" Target="../comments5.xml"/><Relationship Id="rId5" Type="http://schemas.openxmlformats.org/officeDocument/2006/relationships/hyperlink" Target="https://secretariadistritald.sharepoint.com/:f:/s/BogotCaminaSegura/EmxyldMKwu9EqMDWTdQwyLQBZaVT2pXZ2vSbHzzj9RKXDw?e=3ZwQzG" TargetMode="External"/><Relationship Id="rId10" Type="http://schemas.openxmlformats.org/officeDocument/2006/relationships/ctrlProp" Target="../ctrlProps/ctrlProp2.xml"/><Relationship Id="rId4" Type="http://schemas.openxmlformats.org/officeDocument/2006/relationships/hyperlink" Target="https://secretariadistritald.sharepoint.com/:f:/s/BogotCaminaSegura/EkQRutC-Q3JBsKbqcVXb2tABvEkybrxosCQLggSKco9oIA?e=IXE4Kq" TargetMode="External"/><Relationship Id="rId9"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2ECCC-0ACC-4588-AF1B-99A6C3684DA3}">
  <sheetPr codeName="Hoja10">
    <tabColor theme="6" tint="0.39997558519241921"/>
    <pageSetUpPr fitToPage="1"/>
  </sheetPr>
  <dimension ref="A1:B74"/>
  <sheetViews>
    <sheetView topLeftCell="A38" zoomScale="90" zoomScaleNormal="90" workbookViewId="0">
      <selection activeCell="D27" sqref="D27"/>
    </sheetView>
  </sheetViews>
  <sheetFormatPr baseColWidth="10" defaultColWidth="10.85546875" defaultRowHeight="14.25" x14ac:dyDescent="0.25"/>
  <cols>
    <col min="1" max="1" width="72" style="63" bestFit="1" customWidth="1"/>
    <col min="2" max="2" width="78.5703125" style="63" customWidth="1"/>
    <col min="3" max="3" width="10.85546875" style="63"/>
    <col min="4" max="4" width="31.140625" style="63" customWidth="1"/>
    <col min="5" max="5" width="70.140625" style="63" customWidth="1"/>
    <col min="6" max="6" width="17.42578125" style="63" customWidth="1"/>
    <col min="7" max="8" width="21.85546875" style="63" customWidth="1"/>
    <col min="9" max="9" width="19.42578125" style="63" customWidth="1"/>
    <col min="10" max="10" width="42" style="63" customWidth="1"/>
    <col min="11" max="256" width="10.85546875" style="63"/>
    <col min="257" max="257" width="72" style="63" bestFit="1" customWidth="1"/>
    <col min="258" max="258" width="78.5703125" style="63" customWidth="1"/>
    <col min="259" max="259" width="10.85546875" style="63"/>
    <col min="260" max="260" width="31.140625" style="63" customWidth="1"/>
    <col min="261" max="261" width="70.140625" style="63" customWidth="1"/>
    <col min="262" max="262" width="17.42578125" style="63" customWidth="1"/>
    <col min="263" max="264" width="21.85546875" style="63" customWidth="1"/>
    <col min="265" max="265" width="19.42578125" style="63" customWidth="1"/>
    <col min="266" max="266" width="42" style="63" customWidth="1"/>
    <col min="267" max="512" width="10.85546875" style="63"/>
    <col min="513" max="513" width="72" style="63" bestFit="1" customWidth="1"/>
    <col min="514" max="514" width="78.5703125" style="63" customWidth="1"/>
    <col min="515" max="515" width="10.85546875" style="63"/>
    <col min="516" max="516" width="31.140625" style="63" customWidth="1"/>
    <col min="517" max="517" width="70.140625" style="63" customWidth="1"/>
    <col min="518" max="518" width="17.42578125" style="63" customWidth="1"/>
    <col min="519" max="520" width="21.85546875" style="63" customWidth="1"/>
    <col min="521" max="521" width="19.42578125" style="63" customWidth="1"/>
    <col min="522" max="522" width="42" style="63" customWidth="1"/>
    <col min="523" max="768" width="10.85546875" style="63"/>
    <col min="769" max="769" width="72" style="63" bestFit="1" customWidth="1"/>
    <col min="770" max="770" width="78.5703125" style="63" customWidth="1"/>
    <col min="771" max="771" width="10.85546875" style="63"/>
    <col min="772" max="772" width="31.140625" style="63" customWidth="1"/>
    <col min="773" max="773" width="70.140625" style="63" customWidth="1"/>
    <col min="774" max="774" width="17.42578125" style="63" customWidth="1"/>
    <col min="775" max="776" width="21.85546875" style="63" customWidth="1"/>
    <col min="777" max="777" width="19.42578125" style="63" customWidth="1"/>
    <col min="778" max="778" width="42" style="63" customWidth="1"/>
    <col min="779" max="1024" width="10.85546875" style="63"/>
    <col min="1025" max="1025" width="72" style="63" bestFit="1" customWidth="1"/>
    <col min="1026" max="1026" width="78.5703125" style="63" customWidth="1"/>
    <col min="1027" max="1027" width="10.85546875" style="63"/>
    <col min="1028" max="1028" width="31.140625" style="63" customWidth="1"/>
    <col min="1029" max="1029" width="70.140625" style="63" customWidth="1"/>
    <col min="1030" max="1030" width="17.42578125" style="63" customWidth="1"/>
    <col min="1031" max="1032" width="21.85546875" style="63" customWidth="1"/>
    <col min="1033" max="1033" width="19.42578125" style="63" customWidth="1"/>
    <col min="1034" max="1034" width="42" style="63" customWidth="1"/>
    <col min="1035" max="1280" width="10.85546875" style="63"/>
    <col min="1281" max="1281" width="72" style="63" bestFit="1" customWidth="1"/>
    <col min="1282" max="1282" width="78.5703125" style="63" customWidth="1"/>
    <col min="1283" max="1283" width="10.85546875" style="63"/>
    <col min="1284" max="1284" width="31.140625" style="63" customWidth="1"/>
    <col min="1285" max="1285" width="70.140625" style="63" customWidth="1"/>
    <col min="1286" max="1286" width="17.42578125" style="63" customWidth="1"/>
    <col min="1287" max="1288" width="21.85546875" style="63" customWidth="1"/>
    <col min="1289" max="1289" width="19.42578125" style="63" customWidth="1"/>
    <col min="1290" max="1290" width="42" style="63" customWidth="1"/>
    <col min="1291" max="1536" width="10.85546875" style="63"/>
    <col min="1537" max="1537" width="72" style="63" bestFit="1" customWidth="1"/>
    <col min="1538" max="1538" width="78.5703125" style="63" customWidth="1"/>
    <col min="1539" max="1539" width="10.85546875" style="63"/>
    <col min="1540" max="1540" width="31.140625" style="63" customWidth="1"/>
    <col min="1541" max="1541" width="70.140625" style="63" customWidth="1"/>
    <col min="1542" max="1542" width="17.42578125" style="63" customWidth="1"/>
    <col min="1543" max="1544" width="21.85546875" style="63" customWidth="1"/>
    <col min="1545" max="1545" width="19.42578125" style="63" customWidth="1"/>
    <col min="1546" max="1546" width="42" style="63" customWidth="1"/>
    <col min="1547" max="1792" width="10.85546875" style="63"/>
    <col min="1793" max="1793" width="72" style="63" bestFit="1" customWidth="1"/>
    <col min="1794" max="1794" width="78.5703125" style="63" customWidth="1"/>
    <col min="1795" max="1795" width="10.85546875" style="63"/>
    <col min="1796" max="1796" width="31.140625" style="63" customWidth="1"/>
    <col min="1797" max="1797" width="70.140625" style="63" customWidth="1"/>
    <col min="1798" max="1798" width="17.42578125" style="63" customWidth="1"/>
    <col min="1799" max="1800" width="21.85546875" style="63" customWidth="1"/>
    <col min="1801" max="1801" width="19.42578125" style="63" customWidth="1"/>
    <col min="1802" max="1802" width="42" style="63" customWidth="1"/>
    <col min="1803" max="2048" width="10.85546875" style="63"/>
    <col min="2049" max="2049" width="72" style="63" bestFit="1" customWidth="1"/>
    <col min="2050" max="2050" width="78.5703125" style="63" customWidth="1"/>
    <col min="2051" max="2051" width="10.85546875" style="63"/>
    <col min="2052" max="2052" width="31.140625" style="63" customWidth="1"/>
    <col min="2053" max="2053" width="70.140625" style="63" customWidth="1"/>
    <col min="2054" max="2054" width="17.42578125" style="63" customWidth="1"/>
    <col min="2055" max="2056" width="21.85546875" style="63" customWidth="1"/>
    <col min="2057" max="2057" width="19.42578125" style="63" customWidth="1"/>
    <col min="2058" max="2058" width="42" style="63" customWidth="1"/>
    <col min="2059" max="2304" width="10.85546875" style="63"/>
    <col min="2305" max="2305" width="72" style="63" bestFit="1" customWidth="1"/>
    <col min="2306" max="2306" width="78.5703125" style="63" customWidth="1"/>
    <col min="2307" max="2307" width="10.85546875" style="63"/>
    <col min="2308" max="2308" width="31.140625" style="63" customWidth="1"/>
    <col min="2309" max="2309" width="70.140625" style="63" customWidth="1"/>
    <col min="2310" max="2310" width="17.42578125" style="63" customWidth="1"/>
    <col min="2311" max="2312" width="21.85546875" style="63" customWidth="1"/>
    <col min="2313" max="2313" width="19.42578125" style="63" customWidth="1"/>
    <col min="2314" max="2314" width="42" style="63" customWidth="1"/>
    <col min="2315" max="2560" width="10.85546875" style="63"/>
    <col min="2561" max="2561" width="72" style="63" bestFit="1" customWidth="1"/>
    <col min="2562" max="2562" width="78.5703125" style="63" customWidth="1"/>
    <col min="2563" max="2563" width="10.85546875" style="63"/>
    <col min="2564" max="2564" width="31.140625" style="63" customWidth="1"/>
    <col min="2565" max="2565" width="70.140625" style="63" customWidth="1"/>
    <col min="2566" max="2566" width="17.42578125" style="63" customWidth="1"/>
    <col min="2567" max="2568" width="21.85546875" style="63" customWidth="1"/>
    <col min="2569" max="2569" width="19.42578125" style="63" customWidth="1"/>
    <col min="2570" max="2570" width="42" style="63" customWidth="1"/>
    <col min="2571" max="2816" width="10.85546875" style="63"/>
    <col min="2817" max="2817" width="72" style="63" bestFit="1" customWidth="1"/>
    <col min="2818" max="2818" width="78.5703125" style="63" customWidth="1"/>
    <col min="2819" max="2819" width="10.85546875" style="63"/>
    <col min="2820" max="2820" width="31.140625" style="63" customWidth="1"/>
    <col min="2821" max="2821" width="70.140625" style="63" customWidth="1"/>
    <col min="2822" max="2822" width="17.42578125" style="63" customWidth="1"/>
    <col min="2823" max="2824" width="21.85546875" style="63" customWidth="1"/>
    <col min="2825" max="2825" width="19.42578125" style="63" customWidth="1"/>
    <col min="2826" max="2826" width="42" style="63" customWidth="1"/>
    <col min="2827" max="3072" width="10.85546875" style="63"/>
    <col min="3073" max="3073" width="72" style="63" bestFit="1" customWidth="1"/>
    <col min="3074" max="3074" width="78.5703125" style="63" customWidth="1"/>
    <col min="3075" max="3075" width="10.85546875" style="63"/>
    <col min="3076" max="3076" width="31.140625" style="63" customWidth="1"/>
    <col min="3077" max="3077" width="70.140625" style="63" customWidth="1"/>
    <col min="3078" max="3078" width="17.42578125" style="63" customWidth="1"/>
    <col min="3079" max="3080" width="21.85546875" style="63" customWidth="1"/>
    <col min="3081" max="3081" width="19.42578125" style="63" customWidth="1"/>
    <col min="3082" max="3082" width="42" style="63" customWidth="1"/>
    <col min="3083" max="3328" width="10.85546875" style="63"/>
    <col min="3329" max="3329" width="72" style="63" bestFit="1" customWidth="1"/>
    <col min="3330" max="3330" width="78.5703125" style="63" customWidth="1"/>
    <col min="3331" max="3331" width="10.85546875" style="63"/>
    <col min="3332" max="3332" width="31.140625" style="63" customWidth="1"/>
    <col min="3333" max="3333" width="70.140625" style="63" customWidth="1"/>
    <col min="3334" max="3334" width="17.42578125" style="63" customWidth="1"/>
    <col min="3335" max="3336" width="21.85546875" style="63" customWidth="1"/>
    <col min="3337" max="3337" width="19.42578125" style="63" customWidth="1"/>
    <col min="3338" max="3338" width="42" style="63" customWidth="1"/>
    <col min="3339" max="3584" width="10.85546875" style="63"/>
    <col min="3585" max="3585" width="72" style="63" bestFit="1" customWidth="1"/>
    <col min="3586" max="3586" width="78.5703125" style="63" customWidth="1"/>
    <col min="3587" max="3587" width="10.85546875" style="63"/>
    <col min="3588" max="3588" width="31.140625" style="63" customWidth="1"/>
    <col min="3589" max="3589" width="70.140625" style="63" customWidth="1"/>
    <col min="3590" max="3590" width="17.42578125" style="63" customWidth="1"/>
    <col min="3591" max="3592" width="21.85546875" style="63" customWidth="1"/>
    <col min="3593" max="3593" width="19.42578125" style="63" customWidth="1"/>
    <col min="3594" max="3594" width="42" style="63" customWidth="1"/>
    <col min="3595" max="3840" width="10.85546875" style="63"/>
    <col min="3841" max="3841" width="72" style="63" bestFit="1" customWidth="1"/>
    <col min="3842" max="3842" width="78.5703125" style="63" customWidth="1"/>
    <col min="3843" max="3843" width="10.85546875" style="63"/>
    <col min="3844" max="3844" width="31.140625" style="63" customWidth="1"/>
    <col min="3845" max="3845" width="70.140625" style="63" customWidth="1"/>
    <col min="3846" max="3846" width="17.42578125" style="63" customWidth="1"/>
    <col min="3847" max="3848" width="21.85546875" style="63" customWidth="1"/>
    <col min="3849" max="3849" width="19.42578125" style="63" customWidth="1"/>
    <col min="3850" max="3850" width="42" style="63" customWidth="1"/>
    <col min="3851" max="4096" width="10.85546875" style="63"/>
    <col min="4097" max="4097" width="72" style="63" bestFit="1" customWidth="1"/>
    <col min="4098" max="4098" width="78.5703125" style="63" customWidth="1"/>
    <col min="4099" max="4099" width="10.85546875" style="63"/>
    <col min="4100" max="4100" width="31.140625" style="63" customWidth="1"/>
    <col min="4101" max="4101" width="70.140625" style="63" customWidth="1"/>
    <col min="4102" max="4102" width="17.42578125" style="63" customWidth="1"/>
    <col min="4103" max="4104" width="21.85546875" style="63" customWidth="1"/>
    <col min="4105" max="4105" width="19.42578125" style="63" customWidth="1"/>
    <col min="4106" max="4106" width="42" style="63" customWidth="1"/>
    <col min="4107" max="4352" width="10.85546875" style="63"/>
    <col min="4353" max="4353" width="72" style="63" bestFit="1" customWidth="1"/>
    <col min="4354" max="4354" width="78.5703125" style="63" customWidth="1"/>
    <col min="4355" max="4355" width="10.85546875" style="63"/>
    <col min="4356" max="4356" width="31.140625" style="63" customWidth="1"/>
    <col min="4357" max="4357" width="70.140625" style="63" customWidth="1"/>
    <col min="4358" max="4358" width="17.42578125" style="63" customWidth="1"/>
    <col min="4359" max="4360" width="21.85546875" style="63" customWidth="1"/>
    <col min="4361" max="4361" width="19.42578125" style="63" customWidth="1"/>
    <col min="4362" max="4362" width="42" style="63" customWidth="1"/>
    <col min="4363" max="4608" width="10.85546875" style="63"/>
    <col min="4609" max="4609" width="72" style="63" bestFit="1" customWidth="1"/>
    <col min="4610" max="4610" width="78.5703125" style="63" customWidth="1"/>
    <col min="4611" max="4611" width="10.85546875" style="63"/>
    <col min="4612" max="4612" width="31.140625" style="63" customWidth="1"/>
    <col min="4613" max="4613" width="70.140625" style="63" customWidth="1"/>
    <col min="4614" max="4614" width="17.42578125" style="63" customWidth="1"/>
    <col min="4615" max="4616" width="21.85546875" style="63" customWidth="1"/>
    <col min="4617" max="4617" width="19.42578125" style="63" customWidth="1"/>
    <col min="4618" max="4618" width="42" style="63" customWidth="1"/>
    <col min="4619" max="4864" width="10.85546875" style="63"/>
    <col min="4865" max="4865" width="72" style="63" bestFit="1" customWidth="1"/>
    <col min="4866" max="4866" width="78.5703125" style="63" customWidth="1"/>
    <col min="4867" max="4867" width="10.85546875" style="63"/>
    <col min="4868" max="4868" width="31.140625" style="63" customWidth="1"/>
    <col min="4869" max="4869" width="70.140625" style="63" customWidth="1"/>
    <col min="4870" max="4870" width="17.42578125" style="63" customWidth="1"/>
    <col min="4871" max="4872" width="21.85546875" style="63" customWidth="1"/>
    <col min="4873" max="4873" width="19.42578125" style="63" customWidth="1"/>
    <col min="4874" max="4874" width="42" style="63" customWidth="1"/>
    <col min="4875" max="5120" width="10.85546875" style="63"/>
    <col min="5121" max="5121" width="72" style="63" bestFit="1" customWidth="1"/>
    <col min="5122" max="5122" width="78.5703125" style="63" customWidth="1"/>
    <col min="5123" max="5123" width="10.85546875" style="63"/>
    <col min="5124" max="5124" width="31.140625" style="63" customWidth="1"/>
    <col min="5125" max="5125" width="70.140625" style="63" customWidth="1"/>
    <col min="5126" max="5126" width="17.42578125" style="63" customWidth="1"/>
    <col min="5127" max="5128" width="21.85546875" style="63" customWidth="1"/>
    <col min="5129" max="5129" width="19.42578125" style="63" customWidth="1"/>
    <col min="5130" max="5130" width="42" style="63" customWidth="1"/>
    <col min="5131" max="5376" width="10.85546875" style="63"/>
    <col min="5377" max="5377" width="72" style="63" bestFit="1" customWidth="1"/>
    <col min="5378" max="5378" width="78.5703125" style="63" customWidth="1"/>
    <col min="5379" max="5379" width="10.85546875" style="63"/>
    <col min="5380" max="5380" width="31.140625" style="63" customWidth="1"/>
    <col min="5381" max="5381" width="70.140625" style="63" customWidth="1"/>
    <col min="5382" max="5382" width="17.42578125" style="63" customWidth="1"/>
    <col min="5383" max="5384" width="21.85546875" style="63" customWidth="1"/>
    <col min="5385" max="5385" width="19.42578125" style="63" customWidth="1"/>
    <col min="5386" max="5386" width="42" style="63" customWidth="1"/>
    <col min="5387" max="5632" width="10.85546875" style="63"/>
    <col min="5633" max="5633" width="72" style="63" bestFit="1" customWidth="1"/>
    <col min="5634" max="5634" width="78.5703125" style="63" customWidth="1"/>
    <col min="5635" max="5635" width="10.85546875" style="63"/>
    <col min="5636" max="5636" width="31.140625" style="63" customWidth="1"/>
    <col min="5637" max="5637" width="70.140625" style="63" customWidth="1"/>
    <col min="5638" max="5638" width="17.42578125" style="63" customWidth="1"/>
    <col min="5639" max="5640" width="21.85546875" style="63" customWidth="1"/>
    <col min="5641" max="5641" width="19.42578125" style="63" customWidth="1"/>
    <col min="5642" max="5642" width="42" style="63" customWidth="1"/>
    <col min="5643" max="5888" width="10.85546875" style="63"/>
    <col min="5889" max="5889" width="72" style="63" bestFit="1" customWidth="1"/>
    <col min="5890" max="5890" width="78.5703125" style="63" customWidth="1"/>
    <col min="5891" max="5891" width="10.85546875" style="63"/>
    <col min="5892" max="5892" width="31.140625" style="63" customWidth="1"/>
    <col min="5893" max="5893" width="70.140625" style="63" customWidth="1"/>
    <col min="5894" max="5894" width="17.42578125" style="63" customWidth="1"/>
    <col min="5895" max="5896" width="21.85546875" style="63" customWidth="1"/>
    <col min="5897" max="5897" width="19.42578125" style="63" customWidth="1"/>
    <col min="5898" max="5898" width="42" style="63" customWidth="1"/>
    <col min="5899" max="6144" width="10.85546875" style="63"/>
    <col min="6145" max="6145" width="72" style="63" bestFit="1" customWidth="1"/>
    <col min="6146" max="6146" width="78.5703125" style="63" customWidth="1"/>
    <col min="6147" max="6147" width="10.85546875" style="63"/>
    <col min="6148" max="6148" width="31.140625" style="63" customWidth="1"/>
    <col min="6149" max="6149" width="70.140625" style="63" customWidth="1"/>
    <col min="6150" max="6150" width="17.42578125" style="63" customWidth="1"/>
    <col min="6151" max="6152" width="21.85546875" style="63" customWidth="1"/>
    <col min="6153" max="6153" width="19.42578125" style="63" customWidth="1"/>
    <col min="6154" max="6154" width="42" style="63" customWidth="1"/>
    <col min="6155" max="6400" width="10.85546875" style="63"/>
    <col min="6401" max="6401" width="72" style="63" bestFit="1" customWidth="1"/>
    <col min="6402" max="6402" width="78.5703125" style="63" customWidth="1"/>
    <col min="6403" max="6403" width="10.85546875" style="63"/>
    <col min="6404" max="6404" width="31.140625" style="63" customWidth="1"/>
    <col min="6405" max="6405" width="70.140625" style="63" customWidth="1"/>
    <col min="6406" max="6406" width="17.42578125" style="63" customWidth="1"/>
    <col min="6407" max="6408" width="21.85546875" style="63" customWidth="1"/>
    <col min="6409" max="6409" width="19.42578125" style="63" customWidth="1"/>
    <col min="6410" max="6410" width="42" style="63" customWidth="1"/>
    <col min="6411" max="6656" width="10.85546875" style="63"/>
    <col min="6657" max="6657" width="72" style="63" bestFit="1" customWidth="1"/>
    <col min="6658" max="6658" width="78.5703125" style="63" customWidth="1"/>
    <col min="6659" max="6659" width="10.85546875" style="63"/>
    <col min="6660" max="6660" width="31.140625" style="63" customWidth="1"/>
    <col min="6661" max="6661" width="70.140625" style="63" customWidth="1"/>
    <col min="6662" max="6662" width="17.42578125" style="63" customWidth="1"/>
    <col min="6663" max="6664" width="21.85546875" style="63" customWidth="1"/>
    <col min="6665" max="6665" width="19.42578125" style="63" customWidth="1"/>
    <col min="6666" max="6666" width="42" style="63" customWidth="1"/>
    <col min="6667" max="6912" width="10.85546875" style="63"/>
    <col min="6913" max="6913" width="72" style="63" bestFit="1" customWidth="1"/>
    <col min="6914" max="6914" width="78.5703125" style="63" customWidth="1"/>
    <col min="6915" max="6915" width="10.85546875" style="63"/>
    <col min="6916" max="6916" width="31.140625" style="63" customWidth="1"/>
    <col min="6917" max="6917" width="70.140625" style="63" customWidth="1"/>
    <col min="6918" max="6918" width="17.42578125" style="63" customWidth="1"/>
    <col min="6919" max="6920" width="21.85546875" style="63" customWidth="1"/>
    <col min="6921" max="6921" width="19.42578125" style="63" customWidth="1"/>
    <col min="6922" max="6922" width="42" style="63" customWidth="1"/>
    <col min="6923" max="7168" width="10.85546875" style="63"/>
    <col min="7169" max="7169" width="72" style="63" bestFit="1" customWidth="1"/>
    <col min="7170" max="7170" width="78.5703125" style="63" customWidth="1"/>
    <col min="7171" max="7171" width="10.85546875" style="63"/>
    <col min="7172" max="7172" width="31.140625" style="63" customWidth="1"/>
    <col min="7173" max="7173" width="70.140625" style="63" customWidth="1"/>
    <col min="7174" max="7174" width="17.42578125" style="63" customWidth="1"/>
    <col min="7175" max="7176" width="21.85546875" style="63" customWidth="1"/>
    <col min="7177" max="7177" width="19.42578125" style="63" customWidth="1"/>
    <col min="7178" max="7178" width="42" style="63" customWidth="1"/>
    <col min="7179" max="7424" width="10.85546875" style="63"/>
    <col min="7425" max="7425" width="72" style="63" bestFit="1" customWidth="1"/>
    <col min="7426" max="7426" width="78.5703125" style="63" customWidth="1"/>
    <col min="7427" max="7427" width="10.85546875" style="63"/>
    <col min="7428" max="7428" width="31.140625" style="63" customWidth="1"/>
    <col min="7429" max="7429" width="70.140625" style="63" customWidth="1"/>
    <col min="7430" max="7430" width="17.42578125" style="63" customWidth="1"/>
    <col min="7431" max="7432" width="21.85546875" style="63" customWidth="1"/>
    <col min="7433" max="7433" width="19.42578125" style="63" customWidth="1"/>
    <col min="7434" max="7434" width="42" style="63" customWidth="1"/>
    <col min="7435" max="7680" width="10.85546875" style="63"/>
    <col min="7681" max="7681" width="72" style="63" bestFit="1" customWidth="1"/>
    <col min="7682" max="7682" width="78.5703125" style="63" customWidth="1"/>
    <col min="7683" max="7683" width="10.85546875" style="63"/>
    <col min="7684" max="7684" width="31.140625" style="63" customWidth="1"/>
    <col min="7685" max="7685" width="70.140625" style="63" customWidth="1"/>
    <col min="7686" max="7686" width="17.42578125" style="63" customWidth="1"/>
    <col min="7687" max="7688" width="21.85546875" style="63" customWidth="1"/>
    <col min="7689" max="7689" width="19.42578125" style="63" customWidth="1"/>
    <col min="7690" max="7690" width="42" style="63" customWidth="1"/>
    <col min="7691" max="7936" width="10.85546875" style="63"/>
    <col min="7937" max="7937" width="72" style="63" bestFit="1" customWidth="1"/>
    <col min="7938" max="7938" width="78.5703125" style="63" customWidth="1"/>
    <col min="7939" max="7939" width="10.85546875" style="63"/>
    <col min="7940" max="7940" width="31.140625" style="63" customWidth="1"/>
    <col min="7941" max="7941" width="70.140625" style="63" customWidth="1"/>
    <col min="7942" max="7942" width="17.42578125" style="63" customWidth="1"/>
    <col min="7943" max="7944" width="21.85546875" style="63" customWidth="1"/>
    <col min="7945" max="7945" width="19.42578125" style="63" customWidth="1"/>
    <col min="7946" max="7946" width="42" style="63" customWidth="1"/>
    <col min="7947" max="8192" width="10.85546875" style="63"/>
    <col min="8193" max="8193" width="72" style="63" bestFit="1" customWidth="1"/>
    <col min="8194" max="8194" width="78.5703125" style="63" customWidth="1"/>
    <col min="8195" max="8195" width="10.85546875" style="63"/>
    <col min="8196" max="8196" width="31.140625" style="63" customWidth="1"/>
    <col min="8197" max="8197" width="70.140625" style="63" customWidth="1"/>
    <col min="8198" max="8198" width="17.42578125" style="63" customWidth="1"/>
    <col min="8199" max="8200" width="21.85546875" style="63" customWidth="1"/>
    <col min="8201" max="8201" width="19.42578125" style="63" customWidth="1"/>
    <col min="8202" max="8202" width="42" style="63" customWidth="1"/>
    <col min="8203" max="8448" width="10.85546875" style="63"/>
    <col min="8449" max="8449" width="72" style="63" bestFit="1" customWidth="1"/>
    <col min="8450" max="8450" width="78.5703125" style="63" customWidth="1"/>
    <col min="8451" max="8451" width="10.85546875" style="63"/>
    <col min="8452" max="8452" width="31.140625" style="63" customWidth="1"/>
    <col min="8453" max="8453" width="70.140625" style="63" customWidth="1"/>
    <col min="8454" max="8454" width="17.42578125" style="63" customWidth="1"/>
    <col min="8455" max="8456" width="21.85546875" style="63" customWidth="1"/>
    <col min="8457" max="8457" width="19.42578125" style="63" customWidth="1"/>
    <col min="8458" max="8458" width="42" style="63" customWidth="1"/>
    <col min="8459" max="8704" width="10.85546875" style="63"/>
    <col min="8705" max="8705" width="72" style="63" bestFit="1" customWidth="1"/>
    <col min="8706" max="8706" width="78.5703125" style="63" customWidth="1"/>
    <col min="8707" max="8707" width="10.85546875" style="63"/>
    <col min="8708" max="8708" width="31.140625" style="63" customWidth="1"/>
    <col min="8709" max="8709" width="70.140625" style="63" customWidth="1"/>
    <col min="8710" max="8710" width="17.42578125" style="63" customWidth="1"/>
    <col min="8711" max="8712" width="21.85546875" style="63" customWidth="1"/>
    <col min="8713" max="8713" width="19.42578125" style="63" customWidth="1"/>
    <col min="8714" max="8714" width="42" style="63" customWidth="1"/>
    <col min="8715" max="8960" width="10.85546875" style="63"/>
    <col min="8961" max="8961" width="72" style="63" bestFit="1" customWidth="1"/>
    <col min="8962" max="8962" width="78.5703125" style="63" customWidth="1"/>
    <col min="8963" max="8963" width="10.85546875" style="63"/>
    <col min="8964" max="8964" width="31.140625" style="63" customWidth="1"/>
    <col min="8965" max="8965" width="70.140625" style="63" customWidth="1"/>
    <col min="8966" max="8966" width="17.42578125" style="63" customWidth="1"/>
    <col min="8967" max="8968" width="21.85546875" style="63" customWidth="1"/>
    <col min="8969" max="8969" width="19.42578125" style="63" customWidth="1"/>
    <col min="8970" max="8970" width="42" style="63" customWidth="1"/>
    <col min="8971" max="9216" width="10.85546875" style="63"/>
    <col min="9217" max="9217" width="72" style="63" bestFit="1" customWidth="1"/>
    <col min="9218" max="9218" width="78.5703125" style="63" customWidth="1"/>
    <col min="9219" max="9219" width="10.85546875" style="63"/>
    <col min="9220" max="9220" width="31.140625" style="63" customWidth="1"/>
    <col min="9221" max="9221" width="70.140625" style="63" customWidth="1"/>
    <col min="9222" max="9222" width="17.42578125" style="63" customWidth="1"/>
    <col min="9223" max="9224" width="21.85546875" style="63" customWidth="1"/>
    <col min="9225" max="9225" width="19.42578125" style="63" customWidth="1"/>
    <col min="9226" max="9226" width="42" style="63" customWidth="1"/>
    <col min="9227" max="9472" width="10.85546875" style="63"/>
    <col min="9473" max="9473" width="72" style="63" bestFit="1" customWidth="1"/>
    <col min="9474" max="9474" width="78.5703125" style="63" customWidth="1"/>
    <col min="9475" max="9475" width="10.85546875" style="63"/>
    <col min="9476" max="9476" width="31.140625" style="63" customWidth="1"/>
    <col min="9477" max="9477" width="70.140625" style="63" customWidth="1"/>
    <col min="9478" max="9478" width="17.42578125" style="63" customWidth="1"/>
    <col min="9479" max="9480" width="21.85546875" style="63" customWidth="1"/>
    <col min="9481" max="9481" width="19.42578125" style="63" customWidth="1"/>
    <col min="9482" max="9482" width="42" style="63" customWidth="1"/>
    <col min="9483" max="9728" width="10.85546875" style="63"/>
    <col min="9729" max="9729" width="72" style="63" bestFit="1" customWidth="1"/>
    <col min="9730" max="9730" width="78.5703125" style="63" customWidth="1"/>
    <col min="9731" max="9731" width="10.85546875" style="63"/>
    <col min="9732" max="9732" width="31.140625" style="63" customWidth="1"/>
    <col min="9733" max="9733" width="70.140625" style="63" customWidth="1"/>
    <col min="9734" max="9734" width="17.42578125" style="63" customWidth="1"/>
    <col min="9735" max="9736" width="21.85546875" style="63" customWidth="1"/>
    <col min="9737" max="9737" width="19.42578125" style="63" customWidth="1"/>
    <col min="9738" max="9738" width="42" style="63" customWidth="1"/>
    <col min="9739" max="9984" width="10.85546875" style="63"/>
    <col min="9985" max="9985" width="72" style="63" bestFit="1" customWidth="1"/>
    <col min="9986" max="9986" width="78.5703125" style="63" customWidth="1"/>
    <col min="9987" max="9987" width="10.85546875" style="63"/>
    <col min="9988" max="9988" width="31.140625" style="63" customWidth="1"/>
    <col min="9989" max="9989" width="70.140625" style="63" customWidth="1"/>
    <col min="9990" max="9990" width="17.42578125" style="63" customWidth="1"/>
    <col min="9991" max="9992" width="21.85546875" style="63" customWidth="1"/>
    <col min="9993" max="9993" width="19.42578125" style="63" customWidth="1"/>
    <col min="9994" max="9994" width="42" style="63" customWidth="1"/>
    <col min="9995" max="10240" width="10.85546875" style="63"/>
    <col min="10241" max="10241" width="72" style="63" bestFit="1" customWidth="1"/>
    <col min="10242" max="10242" width="78.5703125" style="63" customWidth="1"/>
    <col min="10243" max="10243" width="10.85546875" style="63"/>
    <col min="10244" max="10244" width="31.140625" style="63" customWidth="1"/>
    <col min="10245" max="10245" width="70.140625" style="63" customWidth="1"/>
    <col min="10246" max="10246" width="17.42578125" style="63" customWidth="1"/>
    <col min="10247" max="10248" width="21.85546875" style="63" customWidth="1"/>
    <col min="10249" max="10249" width="19.42578125" style="63" customWidth="1"/>
    <col min="10250" max="10250" width="42" style="63" customWidth="1"/>
    <col min="10251" max="10496" width="10.85546875" style="63"/>
    <col min="10497" max="10497" width="72" style="63" bestFit="1" customWidth="1"/>
    <col min="10498" max="10498" width="78.5703125" style="63" customWidth="1"/>
    <col min="10499" max="10499" width="10.85546875" style="63"/>
    <col min="10500" max="10500" width="31.140625" style="63" customWidth="1"/>
    <col min="10501" max="10501" width="70.140625" style="63" customWidth="1"/>
    <col min="10502" max="10502" width="17.42578125" style="63" customWidth="1"/>
    <col min="10503" max="10504" width="21.85546875" style="63" customWidth="1"/>
    <col min="10505" max="10505" width="19.42578125" style="63" customWidth="1"/>
    <col min="10506" max="10506" width="42" style="63" customWidth="1"/>
    <col min="10507" max="10752" width="10.85546875" style="63"/>
    <col min="10753" max="10753" width="72" style="63" bestFit="1" customWidth="1"/>
    <col min="10754" max="10754" width="78.5703125" style="63" customWidth="1"/>
    <col min="10755" max="10755" width="10.85546875" style="63"/>
    <col min="10756" max="10756" width="31.140625" style="63" customWidth="1"/>
    <col min="10757" max="10757" width="70.140625" style="63" customWidth="1"/>
    <col min="10758" max="10758" width="17.42578125" style="63" customWidth="1"/>
    <col min="10759" max="10760" width="21.85546875" style="63" customWidth="1"/>
    <col min="10761" max="10761" width="19.42578125" style="63" customWidth="1"/>
    <col min="10762" max="10762" width="42" style="63" customWidth="1"/>
    <col min="10763" max="11008" width="10.85546875" style="63"/>
    <col min="11009" max="11009" width="72" style="63" bestFit="1" customWidth="1"/>
    <col min="11010" max="11010" width="78.5703125" style="63" customWidth="1"/>
    <col min="11011" max="11011" width="10.85546875" style="63"/>
    <col min="11012" max="11012" width="31.140625" style="63" customWidth="1"/>
    <col min="11013" max="11013" width="70.140625" style="63" customWidth="1"/>
    <col min="11014" max="11014" width="17.42578125" style="63" customWidth="1"/>
    <col min="11015" max="11016" width="21.85546875" style="63" customWidth="1"/>
    <col min="11017" max="11017" width="19.42578125" style="63" customWidth="1"/>
    <col min="11018" max="11018" width="42" style="63" customWidth="1"/>
    <col min="11019" max="11264" width="10.85546875" style="63"/>
    <col min="11265" max="11265" width="72" style="63" bestFit="1" customWidth="1"/>
    <col min="11266" max="11266" width="78.5703125" style="63" customWidth="1"/>
    <col min="11267" max="11267" width="10.85546875" style="63"/>
    <col min="11268" max="11268" width="31.140625" style="63" customWidth="1"/>
    <col min="11269" max="11269" width="70.140625" style="63" customWidth="1"/>
    <col min="11270" max="11270" width="17.42578125" style="63" customWidth="1"/>
    <col min="11271" max="11272" width="21.85546875" style="63" customWidth="1"/>
    <col min="11273" max="11273" width="19.42578125" style="63" customWidth="1"/>
    <col min="11274" max="11274" width="42" style="63" customWidth="1"/>
    <col min="11275" max="11520" width="10.85546875" style="63"/>
    <col min="11521" max="11521" width="72" style="63" bestFit="1" customWidth="1"/>
    <col min="11522" max="11522" width="78.5703125" style="63" customWidth="1"/>
    <col min="11523" max="11523" width="10.85546875" style="63"/>
    <col min="11524" max="11524" width="31.140625" style="63" customWidth="1"/>
    <col min="11525" max="11525" width="70.140625" style="63" customWidth="1"/>
    <col min="11526" max="11526" width="17.42578125" style="63" customWidth="1"/>
    <col min="11527" max="11528" width="21.85546875" style="63" customWidth="1"/>
    <col min="11529" max="11529" width="19.42578125" style="63" customWidth="1"/>
    <col min="11530" max="11530" width="42" style="63" customWidth="1"/>
    <col min="11531" max="11776" width="10.85546875" style="63"/>
    <col min="11777" max="11777" width="72" style="63" bestFit="1" customWidth="1"/>
    <col min="11778" max="11778" width="78.5703125" style="63" customWidth="1"/>
    <col min="11779" max="11779" width="10.85546875" style="63"/>
    <col min="11780" max="11780" width="31.140625" style="63" customWidth="1"/>
    <col min="11781" max="11781" width="70.140625" style="63" customWidth="1"/>
    <col min="11782" max="11782" width="17.42578125" style="63" customWidth="1"/>
    <col min="11783" max="11784" width="21.85546875" style="63" customWidth="1"/>
    <col min="11785" max="11785" width="19.42578125" style="63" customWidth="1"/>
    <col min="11786" max="11786" width="42" style="63" customWidth="1"/>
    <col min="11787" max="12032" width="10.85546875" style="63"/>
    <col min="12033" max="12033" width="72" style="63" bestFit="1" customWidth="1"/>
    <col min="12034" max="12034" width="78.5703125" style="63" customWidth="1"/>
    <col min="12035" max="12035" width="10.85546875" style="63"/>
    <col min="12036" max="12036" width="31.140625" style="63" customWidth="1"/>
    <col min="12037" max="12037" width="70.140625" style="63" customWidth="1"/>
    <col min="12038" max="12038" width="17.42578125" style="63" customWidth="1"/>
    <col min="12039" max="12040" width="21.85546875" style="63" customWidth="1"/>
    <col min="12041" max="12041" width="19.42578125" style="63" customWidth="1"/>
    <col min="12042" max="12042" width="42" style="63" customWidth="1"/>
    <col min="12043" max="12288" width="10.85546875" style="63"/>
    <col min="12289" max="12289" width="72" style="63" bestFit="1" customWidth="1"/>
    <col min="12290" max="12290" width="78.5703125" style="63" customWidth="1"/>
    <col min="12291" max="12291" width="10.85546875" style="63"/>
    <col min="12292" max="12292" width="31.140625" style="63" customWidth="1"/>
    <col min="12293" max="12293" width="70.140625" style="63" customWidth="1"/>
    <col min="12294" max="12294" width="17.42578125" style="63" customWidth="1"/>
    <col min="12295" max="12296" width="21.85546875" style="63" customWidth="1"/>
    <col min="12297" max="12297" width="19.42578125" style="63" customWidth="1"/>
    <col min="12298" max="12298" width="42" style="63" customWidth="1"/>
    <col min="12299" max="12544" width="10.85546875" style="63"/>
    <col min="12545" max="12545" width="72" style="63" bestFit="1" customWidth="1"/>
    <col min="12546" max="12546" width="78.5703125" style="63" customWidth="1"/>
    <col min="12547" max="12547" width="10.85546875" style="63"/>
    <col min="12548" max="12548" width="31.140625" style="63" customWidth="1"/>
    <col min="12549" max="12549" width="70.140625" style="63" customWidth="1"/>
    <col min="12550" max="12550" width="17.42578125" style="63" customWidth="1"/>
    <col min="12551" max="12552" width="21.85546875" style="63" customWidth="1"/>
    <col min="12553" max="12553" width="19.42578125" style="63" customWidth="1"/>
    <col min="12554" max="12554" width="42" style="63" customWidth="1"/>
    <col min="12555" max="12800" width="10.85546875" style="63"/>
    <col min="12801" max="12801" width="72" style="63" bestFit="1" customWidth="1"/>
    <col min="12802" max="12802" width="78.5703125" style="63" customWidth="1"/>
    <col min="12803" max="12803" width="10.85546875" style="63"/>
    <col min="12804" max="12804" width="31.140625" style="63" customWidth="1"/>
    <col min="12805" max="12805" width="70.140625" style="63" customWidth="1"/>
    <col min="12806" max="12806" width="17.42578125" style="63" customWidth="1"/>
    <col min="12807" max="12808" width="21.85546875" style="63" customWidth="1"/>
    <col min="12809" max="12809" width="19.42578125" style="63" customWidth="1"/>
    <col min="12810" max="12810" width="42" style="63" customWidth="1"/>
    <col min="12811" max="13056" width="10.85546875" style="63"/>
    <col min="13057" max="13057" width="72" style="63" bestFit="1" customWidth="1"/>
    <col min="13058" max="13058" width="78.5703125" style="63" customWidth="1"/>
    <col min="13059" max="13059" width="10.85546875" style="63"/>
    <col min="13060" max="13060" width="31.140625" style="63" customWidth="1"/>
    <col min="13061" max="13061" width="70.140625" style="63" customWidth="1"/>
    <col min="13062" max="13062" width="17.42578125" style="63" customWidth="1"/>
    <col min="13063" max="13064" width="21.85546875" style="63" customWidth="1"/>
    <col min="13065" max="13065" width="19.42578125" style="63" customWidth="1"/>
    <col min="13066" max="13066" width="42" style="63" customWidth="1"/>
    <col min="13067" max="13312" width="10.85546875" style="63"/>
    <col min="13313" max="13313" width="72" style="63" bestFit="1" customWidth="1"/>
    <col min="13314" max="13314" width="78.5703125" style="63" customWidth="1"/>
    <col min="13315" max="13315" width="10.85546875" style="63"/>
    <col min="13316" max="13316" width="31.140625" style="63" customWidth="1"/>
    <col min="13317" max="13317" width="70.140625" style="63" customWidth="1"/>
    <col min="13318" max="13318" width="17.42578125" style="63" customWidth="1"/>
    <col min="13319" max="13320" width="21.85546875" style="63" customWidth="1"/>
    <col min="13321" max="13321" width="19.42578125" style="63" customWidth="1"/>
    <col min="13322" max="13322" width="42" style="63" customWidth="1"/>
    <col min="13323" max="13568" width="10.85546875" style="63"/>
    <col min="13569" max="13569" width="72" style="63" bestFit="1" customWidth="1"/>
    <col min="13570" max="13570" width="78.5703125" style="63" customWidth="1"/>
    <col min="13571" max="13571" width="10.85546875" style="63"/>
    <col min="13572" max="13572" width="31.140625" style="63" customWidth="1"/>
    <col min="13573" max="13573" width="70.140625" style="63" customWidth="1"/>
    <col min="13574" max="13574" width="17.42578125" style="63" customWidth="1"/>
    <col min="13575" max="13576" width="21.85546875" style="63" customWidth="1"/>
    <col min="13577" max="13577" width="19.42578125" style="63" customWidth="1"/>
    <col min="13578" max="13578" width="42" style="63" customWidth="1"/>
    <col min="13579" max="13824" width="10.85546875" style="63"/>
    <col min="13825" max="13825" width="72" style="63" bestFit="1" customWidth="1"/>
    <col min="13826" max="13826" width="78.5703125" style="63" customWidth="1"/>
    <col min="13827" max="13827" width="10.85546875" style="63"/>
    <col min="13828" max="13828" width="31.140625" style="63" customWidth="1"/>
    <col min="13829" max="13829" width="70.140625" style="63" customWidth="1"/>
    <col min="13830" max="13830" width="17.42578125" style="63" customWidth="1"/>
    <col min="13831" max="13832" width="21.85546875" style="63" customWidth="1"/>
    <col min="13833" max="13833" width="19.42578125" style="63" customWidth="1"/>
    <col min="13834" max="13834" width="42" style="63" customWidth="1"/>
    <col min="13835" max="14080" width="10.85546875" style="63"/>
    <col min="14081" max="14081" width="72" style="63" bestFit="1" customWidth="1"/>
    <col min="14082" max="14082" width="78.5703125" style="63" customWidth="1"/>
    <col min="14083" max="14083" width="10.85546875" style="63"/>
    <col min="14084" max="14084" width="31.140625" style="63" customWidth="1"/>
    <col min="14085" max="14085" width="70.140625" style="63" customWidth="1"/>
    <col min="14086" max="14086" width="17.42578125" style="63" customWidth="1"/>
    <col min="14087" max="14088" width="21.85546875" style="63" customWidth="1"/>
    <col min="14089" max="14089" width="19.42578125" style="63" customWidth="1"/>
    <col min="14090" max="14090" width="42" style="63" customWidth="1"/>
    <col min="14091" max="14336" width="10.85546875" style="63"/>
    <col min="14337" max="14337" width="72" style="63" bestFit="1" customWidth="1"/>
    <col min="14338" max="14338" width="78.5703125" style="63" customWidth="1"/>
    <col min="14339" max="14339" width="10.85546875" style="63"/>
    <col min="14340" max="14340" width="31.140625" style="63" customWidth="1"/>
    <col min="14341" max="14341" width="70.140625" style="63" customWidth="1"/>
    <col min="14342" max="14342" width="17.42578125" style="63" customWidth="1"/>
    <col min="14343" max="14344" width="21.85546875" style="63" customWidth="1"/>
    <col min="14345" max="14345" width="19.42578125" style="63" customWidth="1"/>
    <col min="14346" max="14346" width="42" style="63" customWidth="1"/>
    <col min="14347" max="14592" width="10.85546875" style="63"/>
    <col min="14593" max="14593" width="72" style="63" bestFit="1" customWidth="1"/>
    <col min="14594" max="14594" width="78.5703125" style="63" customWidth="1"/>
    <col min="14595" max="14595" width="10.85546875" style="63"/>
    <col min="14596" max="14596" width="31.140625" style="63" customWidth="1"/>
    <col min="14597" max="14597" width="70.140625" style="63" customWidth="1"/>
    <col min="14598" max="14598" width="17.42578125" style="63" customWidth="1"/>
    <col min="14599" max="14600" width="21.85546875" style="63" customWidth="1"/>
    <col min="14601" max="14601" width="19.42578125" style="63" customWidth="1"/>
    <col min="14602" max="14602" width="42" style="63" customWidth="1"/>
    <col min="14603" max="14848" width="10.85546875" style="63"/>
    <col min="14849" max="14849" width="72" style="63" bestFit="1" customWidth="1"/>
    <col min="14850" max="14850" width="78.5703125" style="63" customWidth="1"/>
    <col min="14851" max="14851" width="10.85546875" style="63"/>
    <col min="14852" max="14852" width="31.140625" style="63" customWidth="1"/>
    <col min="14853" max="14853" width="70.140625" style="63" customWidth="1"/>
    <col min="14854" max="14854" width="17.42578125" style="63" customWidth="1"/>
    <col min="14855" max="14856" width="21.85546875" style="63" customWidth="1"/>
    <col min="14857" max="14857" width="19.42578125" style="63" customWidth="1"/>
    <col min="14858" max="14858" width="42" style="63" customWidth="1"/>
    <col min="14859" max="15104" width="10.85546875" style="63"/>
    <col min="15105" max="15105" width="72" style="63" bestFit="1" customWidth="1"/>
    <col min="15106" max="15106" width="78.5703125" style="63" customWidth="1"/>
    <col min="15107" max="15107" width="10.85546875" style="63"/>
    <col min="15108" max="15108" width="31.140625" style="63" customWidth="1"/>
    <col min="15109" max="15109" width="70.140625" style="63" customWidth="1"/>
    <col min="15110" max="15110" width="17.42578125" style="63" customWidth="1"/>
    <col min="15111" max="15112" width="21.85546875" style="63" customWidth="1"/>
    <col min="15113" max="15113" width="19.42578125" style="63" customWidth="1"/>
    <col min="15114" max="15114" width="42" style="63" customWidth="1"/>
    <col min="15115" max="15360" width="10.85546875" style="63"/>
    <col min="15361" max="15361" width="72" style="63" bestFit="1" customWidth="1"/>
    <col min="15362" max="15362" width="78.5703125" style="63" customWidth="1"/>
    <col min="15363" max="15363" width="10.85546875" style="63"/>
    <col min="15364" max="15364" width="31.140625" style="63" customWidth="1"/>
    <col min="15365" max="15365" width="70.140625" style="63" customWidth="1"/>
    <col min="15366" max="15366" width="17.42578125" style="63" customWidth="1"/>
    <col min="15367" max="15368" width="21.85546875" style="63" customWidth="1"/>
    <col min="15369" max="15369" width="19.42578125" style="63" customWidth="1"/>
    <col min="15370" max="15370" width="42" style="63" customWidth="1"/>
    <col min="15371" max="15616" width="10.85546875" style="63"/>
    <col min="15617" max="15617" width="72" style="63" bestFit="1" customWidth="1"/>
    <col min="15618" max="15618" width="78.5703125" style="63" customWidth="1"/>
    <col min="15619" max="15619" width="10.85546875" style="63"/>
    <col min="15620" max="15620" width="31.140625" style="63" customWidth="1"/>
    <col min="15621" max="15621" width="70.140625" style="63" customWidth="1"/>
    <col min="15622" max="15622" width="17.42578125" style="63" customWidth="1"/>
    <col min="15623" max="15624" width="21.85546875" style="63" customWidth="1"/>
    <col min="15625" max="15625" width="19.42578125" style="63" customWidth="1"/>
    <col min="15626" max="15626" width="42" style="63" customWidth="1"/>
    <col min="15627" max="15872" width="10.85546875" style="63"/>
    <col min="15873" max="15873" width="72" style="63" bestFit="1" customWidth="1"/>
    <col min="15874" max="15874" width="78.5703125" style="63" customWidth="1"/>
    <col min="15875" max="15875" width="10.85546875" style="63"/>
    <col min="15876" max="15876" width="31.140625" style="63" customWidth="1"/>
    <col min="15877" max="15877" width="70.140625" style="63" customWidth="1"/>
    <col min="15878" max="15878" width="17.42578125" style="63" customWidth="1"/>
    <col min="15879" max="15880" width="21.85546875" style="63" customWidth="1"/>
    <col min="15881" max="15881" width="19.42578125" style="63" customWidth="1"/>
    <col min="15882" max="15882" width="42" style="63" customWidth="1"/>
    <col min="15883" max="16128" width="10.85546875" style="63"/>
    <col min="16129" max="16129" width="72" style="63" bestFit="1" customWidth="1"/>
    <col min="16130" max="16130" width="78.5703125" style="63" customWidth="1"/>
    <col min="16131" max="16131" width="10.85546875" style="63"/>
    <col min="16132" max="16132" width="31.140625" style="63" customWidth="1"/>
    <col min="16133" max="16133" width="70.140625" style="63" customWidth="1"/>
    <col min="16134" max="16134" width="17.42578125" style="63" customWidth="1"/>
    <col min="16135" max="16136" width="21.85546875" style="63" customWidth="1"/>
    <col min="16137" max="16137" width="19.42578125" style="63" customWidth="1"/>
    <col min="16138" max="16138" width="42" style="63" customWidth="1"/>
    <col min="16139" max="16384" width="10.85546875" style="63"/>
  </cols>
  <sheetData>
    <row r="1" spans="1:2" ht="25.5" customHeight="1" x14ac:dyDescent="0.25">
      <c r="A1" s="555" t="s">
        <v>0</v>
      </c>
      <c r="B1" s="556"/>
    </row>
    <row r="2" spans="1:2" ht="25.5" customHeight="1" x14ac:dyDescent="0.25">
      <c r="A2" s="557" t="s">
        <v>1</v>
      </c>
      <c r="B2" s="558"/>
    </row>
    <row r="3" spans="1:2" ht="15" x14ac:dyDescent="0.25">
      <c r="A3" s="64" t="s">
        <v>2</v>
      </c>
      <c r="B3" s="65" t="s">
        <v>3</v>
      </c>
    </row>
    <row r="4" spans="1:2" ht="15" x14ac:dyDescent="0.25">
      <c r="A4" s="66" t="s">
        <v>4</v>
      </c>
      <c r="B4" s="67" t="s">
        <v>5</v>
      </c>
    </row>
    <row r="5" spans="1:2" ht="15" x14ac:dyDescent="0.25">
      <c r="A5" s="66" t="s">
        <v>6</v>
      </c>
      <c r="B5" s="67" t="s">
        <v>7</v>
      </c>
    </row>
    <row r="6" spans="1:2" ht="103.5" x14ac:dyDescent="0.25">
      <c r="A6" s="66" t="s">
        <v>8</v>
      </c>
      <c r="B6" s="68" t="s">
        <v>9</v>
      </c>
    </row>
    <row r="7" spans="1:2" ht="40.5" customHeight="1" x14ac:dyDescent="0.25">
      <c r="A7" s="66" t="s">
        <v>10</v>
      </c>
      <c r="B7" s="69" t="s">
        <v>11</v>
      </c>
    </row>
    <row r="8" spans="1:2" ht="29.25" customHeight="1" x14ac:dyDescent="0.25">
      <c r="A8" s="66" t="s">
        <v>12</v>
      </c>
      <c r="B8" s="69" t="s">
        <v>13</v>
      </c>
    </row>
    <row r="9" spans="1:2" ht="38.25" customHeight="1" x14ac:dyDescent="0.25">
      <c r="A9" s="66" t="s">
        <v>14</v>
      </c>
      <c r="B9" s="69" t="s">
        <v>13</v>
      </c>
    </row>
    <row r="10" spans="1:2" ht="28.5" x14ac:dyDescent="0.25">
      <c r="A10" s="66" t="s">
        <v>15</v>
      </c>
      <c r="B10" s="70" t="s">
        <v>16</v>
      </c>
    </row>
    <row r="11" spans="1:2" ht="15" x14ac:dyDescent="0.25">
      <c r="A11" s="66" t="s">
        <v>17</v>
      </c>
      <c r="B11" s="70" t="s">
        <v>18</v>
      </c>
    </row>
    <row r="12" spans="1:2" ht="8.25" customHeight="1" x14ac:dyDescent="0.25">
      <c r="A12" s="71"/>
      <c r="B12" s="72"/>
    </row>
    <row r="13" spans="1:2" ht="15" x14ac:dyDescent="0.25">
      <c r="A13" s="66" t="s">
        <v>19</v>
      </c>
      <c r="B13" s="73" t="s">
        <v>20</v>
      </c>
    </row>
    <row r="14" spans="1:2" ht="15" x14ac:dyDescent="0.25">
      <c r="A14" s="66" t="s">
        <v>21</v>
      </c>
      <c r="B14" s="73" t="s">
        <v>22</v>
      </c>
    </row>
    <row r="15" spans="1:2" ht="28.5" x14ac:dyDescent="0.25">
      <c r="A15" s="66" t="s">
        <v>23</v>
      </c>
      <c r="B15" s="73" t="s">
        <v>24</v>
      </c>
    </row>
    <row r="16" spans="1:2" ht="15" x14ac:dyDescent="0.25">
      <c r="A16" s="66" t="s">
        <v>25</v>
      </c>
      <c r="B16" s="73" t="s">
        <v>26</v>
      </c>
    </row>
    <row r="17" spans="1:2" ht="8.25" customHeight="1" x14ac:dyDescent="0.25">
      <c r="A17" s="71"/>
      <c r="B17" s="74"/>
    </row>
    <row r="18" spans="1:2" ht="42.75" x14ac:dyDescent="0.25">
      <c r="A18" s="66" t="s">
        <v>27</v>
      </c>
      <c r="B18" s="73" t="s">
        <v>28</v>
      </c>
    </row>
    <row r="19" spans="1:2" ht="28.5" x14ac:dyDescent="0.25">
      <c r="A19" s="66" t="s">
        <v>29</v>
      </c>
      <c r="B19" s="73" t="s">
        <v>30</v>
      </c>
    </row>
    <row r="20" spans="1:2" ht="42.75" x14ac:dyDescent="0.25">
      <c r="A20" s="66" t="s">
        <v>31</v>
      </c>
      <c r="B20" s="73" t="s">
        <v>32</v>
      </c>
    </row>
    <row r="21" spans="1:2" ht="28.5" x14ac:dyDescent="0.25">
      <c r="A21" s="66" t="s">
        <v>25</v>
      </c>
      <c r="B21" s="73" t="s">
        <v>33</v>
      </c>
    </row>
    <row r="22" spans="1:2" ht="8.25" customHeight="1" x14ac:dyDescent="0.25">
      <c r="A22" s="71"/>
      <c r="B22" s="74"/>
    </row>
    <row r="23" spans="1:2" ht="31.5" customHeight="1" x14ac:dyDescent="0.25">
      <c r="A23" s="66" t="s">
        <v>34</v>
      </c>
      <c r="B23" s="73" t="s">
        <v>35</v>
      </c>
    </row>
    <row r="24" spans="1:2" ht="15" x14ac:dyDescent="0.25">
      <c r="A24" s="66" t="s">
        <v>36</v>
      </c>
      <c r="B24" s="73" t="s">
        <v>37</v>
      </c>
    </row>
    <row r="25" spans="1:2" ht="19.899999999999999" customHeight="1" x14ac:dyDescent="0.25">
      <c r="A25" s="66" t="s">
        <v>38</v>
      </c>
      <c r="B25" s="73" t="s">
        <v>39</v>
      </c>
    </row>
    <row r="26" spans="1:2" ht="28.9" customHeight="1" x14ac:dyDescent="0.25">
      <c r="A26" s="66" t="s">
        <v>40</v>
      </c>
      <c r="B26" s="73" t="s">
        <v>41</v>
      </c>
    </row>
    <row r="27" spans="1:2" ht="20.45" customHeight="1" x14ac:dyDescent="0.25">
      <c r="A27" s="66" t="s">
        <v>42</v>
      </c>
      <c r="B27" s="73" t="s">
        <v>43</v>
      </c>
    </row>
    <row r="28" spans="1:2" ht="8.25" customHeight="1" x14ac:dyDescent="0.25">
      <c r="A28" s="71"/>
      <c r="B28" s="74"/>
    </row>
    <row r="29" spans="1:2" ht="28.5" x14ac:dyDescent="0.25">
      <c r="A29" s="66" t="s">
        <v>44</v>
      </c>
      <c r="B29" s="73" t="s">
        <v>45</v>
      </c>
    </row>
    <row r="30" spans="1:2" ht="42.75" x14ac:dyDescent="0.25">
      <c r="A30" s="66" t="s">
        <v>46</v>
      </c>
      <c r="B30" s="73" t="s">
        <v>47</v>
      </c>
    </row>
    <row r="31" spans="1:2" ht="42.75" x14ac:dyDescent="0.25">
      <c r="A31" s="66" t="s">
        <v>48</v>
      </c>
      <c r="B31" s="73" t="s">
        <v>49</v>
      </c>
    </row>
    <row r="32" spans="1:2" ht="28.5" x14ac:dyDescent="0.25">
      <c r="A32" s="66" t="s">
        <v>50</v>
      </c>
      <c r="B32" s="73" t="s">
        <v>51</v>
      </c>
    </row>
    <row r="33" spans="1:2" ht="57" x14ac:dyDescent="0.25">
      <c r="A33" s="66" t="s">
        <v>52</v>
      </c>
      <c r="B33" s="73" t="s">
        <v>53</v>
      </c>
    </row>
    <row r="34" spans="1:2" ht="85.15" customHeight="1" x14ac:dyDescent="0.25">
      <c r="A34" s="75" t="s">
        <v>54</v>
      </c>
      <c r="B34" s="73" t="s">
        <v>55</v>
      </c>
    </row>
    <row r="35" spans="1:2" ht="81.599999999999994" customHeight="1" x14ac:dyDescent="0.25">
      <c r="A35" s="75" t="s">
        <v>56</v>
      </c>
      <c r="B35" s="73" t="s">
        <v>57</v>
      </c>
    </row>
    <row r="36" spans="1:2" ht="54" customHeight="1" x14ac:dyDescent="0.25">
      <c r="A36" s="75" t="s">
        <v>58</v>
      </c>
      <c r="B36" s="73" t="s">
        <v>59</v>
      </c>
    </row>
    <row r="37" spans="1:2" ht="8.25" customHeight="1" x14ac:dyDescent="0.25">
      <c r="A37" s="76"/>
      <c r="B37" s="74"/>
    </row>
    <row r="38" spans="1:2" ht="71.25" x14ac:dyDescent="0.25">
      <c r="A38" s="75" t="s">
        <v>60</v>
      </c>
      <c r="B38" s="73" t="s">
        <v>61</v>
      </c>
    </row>
    <row r="39" spans="1:2" ht="42.75" x14ac:dyDescent="0.25">
      <c r="A39" s="75" t="s">
        <v>62</v>
      </c>
      <c r="B39" s="73" t="s">
        <v>63</v>
      </c>
    </row>
    <row r="40" spans="1:2" ht="28.5" x14ac:dyDescent="0.25">
      <c r="A40" s="75" t="s">
        <v>64</v>
      </c>
      <c r="B40" s="73" t="s">
        <v>65</v>
      </c>
    </row>
    <row r="41" spans="1:2" ht="71.25" x14ac:dyDescent="0.25">
      <c r="A41" s="75" t="s">
        <v>66</v>
      </c>
      <c r="B41" s="73" t="s">
        <v>67</v>
      </c>
    </row>
    <row r="42" spans="1:2" ht="28.5" x14ac:dyDescent="0.25">
      <c r="A42" s="66" t="s">
        <v>68</v>
      </c>
      <c r="B42" s="73" t="s">
        <v>69</v>
      </c>
    </row>
    <row r="43" spans="1:2" ht="15" x14ac:dyDescent="0.25">
      <c r="A43" s="75"/>
      <c r="B43" s="77"/>
    </row>
    <row r="44" spans="1:2" ht="25.5" customHeight="1" x14ac:dyDescent="0.25">
      <c r="A44" s="557" t="s">
        <v>70</v>
      </c>
      <c r="B44" s="558"/>
    </row>
    <row r="45" spans="1:2" ht="15" x14ac:dyDescent="0.25">
      <c r="A45" s="64" t="s">
        <v>2</v>
      </c>
      <c r="B45" s="65" t="s">
        <v>3</v>
      </c>
    </row>
    <row r="46" spans="1:2" ht="15" x14ac:dyDescent="0.25">
      <c r="A46" s="66" t="s">
        <v>6</v>
      </c>
      <c r="B46" s="67" t="s">
        <v>7</v>
      </c>
    </row>
    <row r="47" spans="1:2" ht="103.5" x14ac:dyDescent="0.25">
      <c r="A47" s="66" t="s">
        <v>8</v>
      </c>
      <c r="B47" s="68" t="s">
        <v>9</v>
      </c>
    </row>
    <row r="48" spans="1:2" ht="15" x14ac:dyDescent="0.25">
      <c r="A48" s="66" t="s">
        <v>71</v>
      </c>
      <c r="B48" s="78" t="s">
        <v>72</v>
      </c>
    </row>
    <row r="49" spans="1:2" ht="37.5" customHeight="1" x14ac:dyDescent="0.25">
      <c r="A49" s="66" t="s">
        <v>73</v>
      </c>
      <c r="B49" s="78" t="s">
        <v>13</v>
      </c>
    </row>
    <row r="50" spans="1:2" ht="28.5" x14ac:dyDescent="0.25">
      <c r="A50" s="66" t="s">
        <v>74</v>
      </c>
      <c r="B50" s="78" t="s">
        <v>75</v>
      </c>
    </row>
    <row r="51" spans="1:2" ht="42.75" x14ac:dyDescent="0.25">
      <c r="A51" s="66" t="s">
        <v>76</v>
      </c>
      <c r="B51" s="79" t="s">
        <v>77</v>
      </c>
    </row>
    <row r="52" spans="1:2" ht="42.75" x14ac:dyDescent="0.25">
      <c r="A52" s="66" t="s">
        <v>78</v>
      </c>
      <c r="B52" s="79" t="s">
        <v>79</v>
      </c>
    </row>
    <row r="53" spans="1:2" ht="15" x14ac:dyDescent="0.25">
      <c r="A53" s="66" t="s">
        <v>80</v>
      </c>
      <c r="B53" s="79" t="s">
        <v>81</v>
      </c>
    </row>
    <row r="54" spans="1:2" ht="71.25" x14ac:dyDescent="0.25">
      <c r="A54" s="66" t="s">
        <v>82</v>
      </c>
      <c r="B54" s="79" t="s">
        <v>83</v>
      </c>
    </row>
    <row r="55" spans="1:2" ht="60" x14ac:dyDescent="0.25">
      <c r="A55" s="75" t="s">
        <v>84</v>
      </c>
      <c r="B55" s="79" t="s">
        <v>85</v>
      </c>
    </row>
    <row r="56" spans="1:2" ht="28.5" x14ac:dyDescent="0.25">
      <c r="A56" s="66" t="s">
        <v>86</v>
      </c>
      <c r="B56" s="79" t="s">
        <v>87</v>
      </c>
    </row>
    <row r="57" spans="1:2" ht="99.75" x14ac:dyDescent="0.25">
      <c r="A57" s="66" t="s">
        <v>88</v>
      </c>
      <c r="B57" s="79" t="s">
        <v>89</v>
      </c>
    </row>
    <row r="58" spans="1:2" ht="15" x14ac:dyDescent="0.25">
      <c r="A58" s="66" t="s">
        <v>90</v>
      </c>
      <c r="B58" s="79" t="s">
        <v>91</v>
      </c>
    </row>
    <row r="59" spans="1:2" ht="28.5" x14ac:dyDescent="0.25">
      <c r="A59" s="66" t="s">
        <v>92</v>
      </c>
      <c r="B59" s="79" t="s">
        <v>93</v>
      </c>
    </row>
    <row r="60" spans="1:2" ht="28.5" x14ac:dyDescent="0.25">
      <c r="A60" s="66" t="s">
        <v>94</v>
      </c>
      <c r="B60" s="79" t="s">
        <v>95</v>
      </c>
    </row>
    <row r="61" spans="1:2" ht="28.5" x14ac:dyDescent="0.25">
      <c r="A61" s="66" t="s">
        <v>96</v>
      </c>
      <c r="B61" s="79" t="s">
        <v>97</v>
      </c>
    </row>
    <row r="62" spans="1:2" ht="28.5" x14ac:dyDescent="0.25">
      <c r="A62" s="66" t="s">
        <v>98</v>
      </c>
      <c r="B62" s="79" t="s">
        <v>99</v>
      </c>
    </row>
    <row r="63" spans="1:2" ht="42.75" x14ac:dyDescent="0.25">
      <c r="A63" s="66" t="s">
        <v>100</v>
      </c>
      <c r="B63" s="79" t="s">
        <v>101</v>
      </c>
    </row>
    <row r="64" spans="1:2" ht="79.5" customHeight="1" x14ac:dyDescent="0.25">
      <c r="A64" s="66" t="s">
        <v>102</v>
      </c>
      <c r="B64" s="79" t="s">
        <v>103</v>
      </c>
    </row>
    <row r="65" spans="1:2" ht="114" x14ac:dyDescent="0.25">
      <c r="A65" s="66" t="s">
        <v>104</v>
      </c>
      <c r="B65" s="79" t="s">
        <v>105</v>
      </c>
    </row>
    <row r="66" spans="1:2" ht="28.5" x14ac:dyDescent="0.25">
      <c r="A66" s="66" t="s">
        <v>106</v>
      </c>
      <c r="B66" s="79" t="s">
        <v>107</v>
      </c>
    </row>
    <row r="67" spans="1:2" ht="171" x14ac:dyDescent="0.25">
      <c r="A67" s="66" t="s">
        <v>108</v>
      </c>
      <c r="B67" s="79" t="s">
        <v>109</v>
      </c>
    </row>
    <row r="68" spans="1:2" ht="28.5" x14ac:dyDescent="0.25">
      <c r="A68" s="66" t="s">
        <v>110</v>
      </c>
      <c r="B68" s="79" t="s">
        <v>111</v>
      </c>
    </row>
    <row r="69" spans="1:2" ht="30" x14ac:dyDescent="0.25">
      <c r="A69" s="75" t="s">
        <v>112</v>
      </c>
      <c r="B69" s="79" t="s">
        <v>113</v>
      </c>
    </row>
    <row r="70" spans="1:2" ht="25.5" customHeight="1" x14ac:dyDescent="0.25">
      <c r="A70" s="557" t="s">
        <v>114</v>
      </c>
      <c r="B70" s="558"/>
    </row>
    <row r="71" spans="1:2" ht="15" x14ac:dyDescent="0.25">
      <c r="A71" s="559" t="s">
        <v>115</v>
      </c>
      <c r="B71" s="560"/>
    </row>
    <row r="72" spans="1:2" ht="72" customHeight="1" x14ac:dyDescent="0.25">
      <c r="A72" s="553" t="s">
        <v>116</v>
      </c>
      <c r="B72" s="554"/>
    </row>
    <row r="73" spans="1:2" ht="28.5" x14ac:dyDescent="0.25">
      <c r="A73" s="66" t="s">
        <v>117</v>
      </c>
      <c r="B73" s="79" t="s">
        <v>118</v>
      </c>
    </row>
    <row r="74" spans="1:2" ht="42.75" x14ac:dyDescent="0.25">
      <c r="A74" s="75" t="s">
        <v>119</v>
      </c>
      <c r="B74" s="79" t="s">
        <v>120</v>
      </c>
    </row>
  </sheetData>
  <mergeCells count="6">
    <mergeCell ref="A72:B72"/>
    <mergeCell ref="A1:B1"/>
    <mergeCell ref="A2:B2"/>
    <mergeCell ref="A44:B44"/>
    <mergeCell ref="A70:B70"/>
    <mergeCell ref="A71:B71"/>
  </mergeCells>
  <pageMargins left="0.25" right="0.25" top="0.75" bottom="0.75" header="0.3" footer="0.3"/>
  <pageSetup scale="2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632029-884F-4957-AB53-5829DE19846F}">
  <sheetPr>
    <tabColor rgb="FFE674EC"/>
  </sheetPr>
  <dimension ref="A1:T16"/>
  <sheetViews>
    <sheetView topLeftCell="M1" workbookViewId="0">
      <selection activeCell="Q11" sqref="Q11"/>
    </sheetView>
  </sheetViews>
  <sheetFormatPr baseColWidth="10" defaultColWidth="10.85546875" defaultRowHeight="11.25" x14ac:dyDescent="0.25"/>
  <cols>
    <col min="1" max="1" width="3.7109375" style="132" bestFit="1" customWidth="1"/>
    <col min="2" max="2" width="42.140625" style="130" customWidth="1"/>
    <col min="3" max="3" width="14.5703125" style="133" customWidth="1"/>
    <col min="4" max="4" width="7.28515625" style="137" bestFit="1" customWidth="1"/>
    <col min="5" max="5" width="12.5703125" style="132" customWidth="1"/>
    <col min="6" max="6" width="10.85546875" style="134"/>
    <col min="7" max="7" width="11.42578125" style="130" bestFit="1" customWidth="1"/>
    <col min="8" max="8" width="10.85546875" style="159"/>
    <col min="9" max="9" width="10.85546875" style="129"/>
    <col min="10" max="11" width="11.42578125" style="129" bestFit="1" customWidth="1"/>
    <col min="12" max="12" width="8.7109375" style="177" customWidth="1"/>
    <col min="13" max="13" width="9" style="129" bestFit="1" customWidth="1"/>
    <col min="14" max="14" width="10.28515625" style="129" bestFit="1" customWidth="1"/>
    <col min="15" max="16" width="10.85546875" style="129"/>
    <col min="17" max="18" width="11.42578125" style="129" bestFit="1" customWidth="1"/>
    <col min="19" max="19" width="10.85546875" style="129"/>
    <col min="20" max="20" width="11.42578125" style="129" bestFit="1" customWidth="1"/>
    <col min="21" max="16384" width="10.85546875" style="129"/>
  </cols>
  <sheetData>
    <row r="1" spans="1:20" s="131" customFormat="1" ht="33.75" x14ac:dyDescent="0.25">
      <c r="A1" s="898" t="s">
        <v>412</v>
      </c>
      <c r="B1" s="898"/>
      <c r="C1" s="410" t="s">
        <v>413</v>
      </c>
      <c r="D1" s="136" t="s">
        <v>414</v>
      </c>
      <c r="E1" s="409" t="s">
        <v>415</v>
      </c>
      <c r="F1" s="135" t="s">
        <v>416</v>
      </c>
      <c r="G1" s="132"/>
      <c r="H1" s="159"/>
      <c r="J1" s="173" t="s">
        <v>417</v>
      </c>
      <c r="K1" s="173" t="s">
        <v>418</v>
      </c>
      <c r="L1" s="179" t="s">
        <v>419</v>
      </c>
      <c r="M1" s="174" t="s">
        <v>420</v>
      </c>
      <c r="N1" s="174" t="s">
        <v>421</v>
      </c>
      <c r="O1" s="276" t="s">
        <v>422</v>
      </c>
      <c r="P1" s="276" t="s">
        <v>423</v>
      </c>
      <c r="Q1" s="174" t="s">
        <v>424</v>
      </c>
      <c r="R1" s="174" t="s">
        <v>425</v>
      </c>
    </row>
    <row r="2" spans="1:20" ht="67.5" x14ac:dyDescent="0.25">
      <c r="A2" s="130">
        <v>1</v>
      </c>
      <c r="B2" s="133" t="str">
        <f>+Meta.1!C17</f>
        <v xml:space="preserve">Formular 9 acciones de transformación cultural que promuevan y garanticen el libre ejercicio de los derechos de las mujeres y la equidad de género a través de mecanismos de cambio cultural y comportamental desarrollados con las comunidades. (Producto MGA - Documento de lineamientos Técnicos) </v>
      </c>
      <c r="C2" s="133">
        <f>+Meta.1!AC22</f>
        <v>60524345</v>
      </c>
      <c r="D2" s="137">
        <f>+C2/$C$6</f>
        <v>9.9803792113533601E-2</v>
      </c>
      <c r="E2" s="133" t="s">
        <v>426</v>
      </c>
      <c r="F2" s="134">
        <v>1</v>
      </c>
      <c r="G2" s="175">
        <f>+Meta.1!AC23</f>
        <v>54211990</v>
      </c>
      <c r="H2" s="160">
        <f>+Meta.1!B35</f>
        <v>0.1</v>
      </c>
      <c r="J2" s="175">
        <f>+Meta.1!X22</f>
        <v>55697250</v>
      </c>
      <c r="K2" s="175">
        <f>+Meta.1!X23</f>
        <v>55697250</v>
      </c>
      <c r="L2" s="176">
        <f>+K2/J2</f>
        <v>1</v>
      </c>
      <c r="M2" s="175">
        <f>+Meta.1!X24</f>
        <v>0</v>
      </c>
      <c r="N2" s="175">
        <f>+Meta.1!X25</f>
        <v>0</v>
      </c>
      <c r="O2" s="175">
        <f>+Meta.1!Y24</f>
        <v>11139450</v>
      </c>
      <c r="P2" s="175">
        <f>+Meta.1!Y25</f>
        <v>9654190</v>
      </c>
      <c r="Q2" s="175">
        <f>Meta.1!Z24</f>
        <v>11139450</v>
      </c>
      <c r="R2" s="175">
        <f>Meta.1!Z25</f>
        <v>11139450</v>
      </c>
      <c r="T2" s="178">
        <f>N2+P2+R2</f>
        <v>20793640</v>
      </c>
    </row>
    <row r="3" spans="1:20" ht="45" x14ac:dyDescent="0.25">
      <c r="A3" s="130">
        <v>3</v>
      </c>
      <c r="B3" s="133" t="str">
        <f>+Meta.3!C17</f>
        <v>Implementar 3 acciones de transformación cultural que promuevan la redistribución equitativa de las labores del cuidado en Bogotá. (Producto MGA - Servicio de promoción de la garantía de derechos)</v>
      </c>
      <c r="C3" s="133">
        <f>+Meta.3!AC22</f>
        <v>406921798</v>
      </c>
      <c r="D3" s="137">
        <f>+C3/$C$6</f>
        <v>0.67100831135070216</v>
      </c>
      <c r="E3" s="133" t="s">
        <v>427</v>
      </c>
      <c r="F3" s="134">
        <v>1</v>
      </c>
      <c r="G3" s="175">
        <f>+Meta.3!AC23</f>
        <v>377687967</v>
      </c>
      <c r="H3" s="160">
        <f>+Meta.3!B35</f>
        <v>0.69</v>
      </c>
      <c r="J3" s="175">
        <f>+Meta.3!X22</f>
        <v>354757112</v>
      </c>
      <c r="K3" s="175">
        <f>+Meta.3!X23</f>
        <v>334634016</v>
      </c>
      <c r="L3" s="176">
        <f>+K3/J3</f>
        <v>0.94327641273615959</v>
      </c>
      <c r="M3" s="175">
        <f>+Meta.3!X24</f>
        <v>0</v>
      </c>
      <c r="N3" s="175">
        <f>+Meta.3!X25</f>
        <v>0</v>
      </c>
      <c r="O3" s="175">
        <f>+Meta.3!Y24</f>
        <v>53369312</v>
      </c>
      <c r="P3" s="175">
        <f>+Meta.3!Y25</f>
        <v>32741317</v>
      </c>
      <c r="Q3" s="175">
        <f>Meta.3!Z24</f>
        <v>75346950</v>
      </c>
      <c r="R3" s="175">
        <f>Meta.3!Z25</f>
        <v>65846950</v>
      </c>
      <c r="T3" s="178">
        <f>N3+P3+R3</f>
        <v>98588267</v>
      </c>
    </row>
    <row r="4" spans="1:20" ht="45" x14ac:dyDescent="0.25">
      <c r="A4" s="130">
        <v>4</v>
      </c>
      <c r="B4" s="133" t="str">
        <f>+Meta.4!C17</f>
        <v>Desarrollar 3 acciones de transformación cultural efectivas para prevenir las violencias contra las mujeres, incluyendo campañas educativas. (Producto MGA - Servicio de promoción de la garantía de derechos)</v>
      </c>
      <c r="C4" s="133">
        <f>+Meta.4!AC22</f>
        <v>72522500</v>
      </c>
      <c r="D4" s="137">
        <v>0.12</v>
      </c>
      <c r="E4" s="133" t="s">
        <v>427</v>
      </c>
      <c r="F4" s="134">
        <v>1</v>
      </c>
      <c r="G4" s="175">
        <f>+Meta.4!AC23</f>
        <v>69335211</v>
      </c>
      <c r="H4" s="160">
        <f>+Meta.4!B35</f>
        <v>0.12</v>
      </c>
      <c r="J4" s="175">
        <f>+Meta.4!X22</f>
        <v>72277053</v>
      </c>
      <c r="K4" s="175">
        <f>+Meta.4!X23</f>
        <v>72277052</v>
      </c>
      <c r="L4" s="176">
        <f>+K4/J4</f>
        <v>0.99999998616435015</v>
      </c>
      <c r="M4" s="175">
        <f>+Meta.4!X24</f>
        <v>0</v>
      </c>
      <c r="N4" s="175">
        <f>+Meta.4!X25</f>
        <v>0</v>
      </c>
      <c r="O4" s="175">
        <f>+Meta.4!Y24</f>
        <v>10144853</v>
      </c>
      <c r="P4" s="175">
        <f>+Meta.4!Y25</f>
        <v>7203016</v>
      </c>
      <c r="Q4" s="175">
        <f>Meta.4!Z24</f>
        <v>15533050</v>
      </c>
      <c r="R4" s="175">
        <f>Meta.4!Z25</f>
        <v>15533050</v>
      </c>
      <c r="T4" s="178">
        <f>N4+P4+R4</f>
        <v>22736066</v>
      </c>
    </row>
    <row r="5" spans="1:20" ht="67.5" x14ac:dyDescent="0.25">
      <c r="A5" s="130">
        <v>5</v>
      </c>
      <c r="B5" s="133" t="str">
        <f>+Meta.5!C17</f>
        <v>Implementar 3 acciones de transformación cultural que promuevan y garanticen el libre ejercicio de los derechos de las mujeres y la equidad de género a través de mecanismos de cambio cultural y comportamental desarrollados con las comunidades. (Producto MGA - Servicio de promoción de la garantía de derechos)</v>
      </c>
      <c r="C5" s="133">
        <f>+Meta.5!AC22</f>
        <v>66464677</v>
      </c>
      <c r="D5" s="137">
        <f>+C5/$C$6</f>
        <v>0.10959931588191757</v>
      </c>
      <c r="E5" s="133" t="s">
        <v>427</v>
      </c>
      <c r="F5" s="134">
        <v>1</v>
      </c>
      <c r="G5" s="175">
        <f>+Meta.5!AC23</f>
        <v>66464677</v>
      </c>
      <c r="H5" s="160">
        <f>+Meta.5!B35</f>
        <v>0.09</v>
      </c>
      <c r="J5" s="175">
        <f>+Meta.5!X22</f>
        <v>44919333</v>
      </c>
      <c r="K5" s="175">
        <f>+Meta.5!X23</f>
        <v>51325000</v>
      </c>
      <c r="L5" s="176">
        <f>+K5/J5</f>
        <v>1.1426037871043186</v>
      </c>
      <c r="M5" s="175">
        <f>+Meta.5!X24</f>
        <v>0</v>
      </c>
      <c r="N5" s="175">
        <f>+Meta.5!X25</f>
        <v>0</v>
      </c>
      <c r="O5" s="175">
        <f>+Meta.5!Y24</f>
        <v>3455333</v>
      </c>
      <c r="P5" s="175">
        <f>+Meta.5!Y25</f>
        <v>7098467</v>
      </c>
      <c r="Q5" s="175">
        <f>Meta.5!Z24</f>
        <v>10366000</v>
      </c>
      <c r="R5" s="175">
        <f>Meta.5!Z25</f>
        <v>10366000</v>
      </c>
      <c r="T5" s="178">
        <f>N5+P5+R5</f>
        <v>17464467</v>
      </c>
    </row>
    <row r="6" spans="1:20" x14ac:dyDescent="0.25">
      <c r="A6" s="130"/>
      <c r="B6" s="411" t="s">
        <v>428</v>
      </c>
      <c r="C6" s="180">
        <f>+C2+C3+C4+C5</f>
        <v>606433320</v>
      </c>
      <c r="E6" s="130"/>
      <c r="G6" s="180">
        <f>+G2+G3+G4+G5</f>
        <v>567699845</v>
      </c>
      <c r="H6" s="160">
        <f>SUM(H2:H5)</f>
        <v>0.99999999999999989</v>
      </c>
      <c r="J6" s="178">
        <f>SUM(J2:J5)</f>
        <v>527650748</v>
      </c>
      <c r="M6" s="178">
        <f t="shared" ref="M6:R6" si="0">SUM(M2:M5)</f>
        <v>0</v>
      </c>
      <c r="N6" s="178">
        <f t="shared" si="0"/>
        <v>0</v>
      </c>
      <c r="O6" s="178">
        <f t="shared" si="0"/>
        <v>78108948</v>
      </c>
      <c r="P6" s="178">
        <f t="shared" si="0"/>
        <v>56696990</v>
      </c>
      <c r="Q6" s="178">
        <f t="shared" si="0"/>
        <v>112385450</v>
      </c>
      <c r="R6" s="178">
        <f t="shared" si="0"/>
        <v>102885450</v>
      </c>
      <c r="T6" s="178">
        <f>SUM(T2:T5)</f>
        <v>159582440</v>
      </c>
    </row>
    <row r="7" spans="1:20" x14ac:dyDescent="0.25">
      <c r="J7" s="176">
        <f>+J6/C6</f>
        <v>0.87008864882292414</v>
      </c>
      <c r="N7" s="277">
        <v>0</v>
      </c>
      <c r="P7" s="277">
        <f>+P6/O6</f>
        <v>0.72587061344111303</v>
      </c>
      <c r="R7" s="277">
        <f>+R6/Q6</f>
        <v>0.91546948470642775</v>
      </c>
    </row>
    <row r="9" spans="1:20" x14ac:dyDescent="0.25">
      <c r="J9" s="178"/>
      <c r="K9" s="176"/>
      <c r="P9" s="277"/>
    </row>
    <row r="10" spans="1:20" ht="14.45" customHeight="1" x14ac:dyDescent="0.25">
      <c r="A10" s="901" t="s">
        <v>429</v>
      </c>
      <c r="B10" s="901"/>
      <c r="C10" s="901"/>
      <c r="D10" s="901"/>
      <c r="E10" s="901"/>
      <c r="F10" s="901"/>
      <c r="J10" s="178"/>
      <c r="K10" s="176"/>
    </row>
    <row r="11" spans="1:20" ht="22.5" x14ac:dyDescent="0.25">
      <c r="A11" s="899" t="s">
        <v>412</v>
      </c>
      <c r="B11" s="899"/>
      <c r="C11" s="410" t="s">
        <v>430</v>
      </c>
      <c r="D11" s="136" t="s">
        <v>414</v>
      </c>
      <c r="E11" s="409" t="s">
        <v>415</v>
      </c>
      <c r="F11" s="135" t="s">
        <v>416</v>
      </c>
      <c r="J11" s="178"/>
      <c r="K11" s="176"/>
    </row>
    <row r="12" spans="1:20" ht="67.5" x14ac:dyDescent="0.25">
      <c r="A12" s="130">
        <v>1</v>
      </c>
      <c r="B12" s="133" t="s">
        <v>137</v>
      </c>
      <c r="C12" s="133">
        <v>55697250</v>
      </c>
      <c r="D12" s="137">
        <v>9.7107618532621884E-2</v>
      </c>
      <c r="E12" s="133" t="s">
        <v>426</v>
      </c>
      <c r="F12" s="134">
        <v>1</v>
      </c>
    </row>
    <row r="13" spans="1:20" ht="45" x14ac:dyDescent="0.25">
      <c r="A13" s="130">
        <v>3</v>
      </c>
      <c r="B13" s="133" t="s">
        <v>198</v>
      </c>
      <c r="C13" s="133">
        <v>394017354</v>
      </c>
      <c r="D13" s="137">
        <v>0.68696545893136618</v>
      </c>
      <c r="E13" s="133" t="s">
        <v>427</v>
      </c>
      <c r="F13" s="134">
        <v>1</v>
      </c>
    </row>
    <row r="14" spans="1:20" ht="45" x14ac:dyDescent="0.25">
      <c r="A14" s="130">
        <v>4</v>
      </c>
      <c r="B14" s="133" t="s">
        <v>221</v>
      </c>
      <c r="C14" s="133">
        <v>72522500</v>
      </c>
      <c r="D14" s="137">
        <v>0.12</v>
      </c>
      <c r="E14" s="133" t="s">
        <v>427</v>
      </c>
      <c r="F14" s="134">
        <v>1</v>
      </c>
    </row>
    <row r="15" spans="1:20" ht="67.5" x14ac:dyDescent="0.25">
      <c r="A15" s="130">
        <v>5</v>
      </c>
      <c r="B15" s="133" t="s">
        <v>236</v>
      </c>
      <c r="C15" s="133">
        <v>51325000</v>
      </c>
      <c r="D15" s="137">
        <v>8.9484642799901579E-2</v>
      </c>
      <c r="E15" s="133" t="s">
        <v>427</v>
      </c>
      <c r="F15" s="134">
        <v>1</v>
      </c>
    </row>
    <row r="16" spans="1:20" x14ac:dyDescent="0.25">
      <c r="A16" s="900" t="s">
        <v>428</v>
      </c>
      <c r="B16" s="900"/>
      <c r="C16" s="180">
        <v>573562104</v>
      </c>
      <c r="E16" s="130"/>
    </row>
  </sheetData>
  <mergeCells count="4">
    <mergeCell ref="A1:B1"/>
    <mergeCell ref="A11:B11"/>
    <mergeCell ref="A16:B16"/>
    <mergeCell ref="A10:F10"/>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3B913-A084-405F-B978-0AC1BF5D97DB}">
  <sheetPr>
    <tabColor rgb="FF00B050"/>
  </sheetPr>
  <dimension ref="A1:CC108"/>
  <sheetViews>
    <sheetView showGridLines="0" topLeftCell="BR1" zoomScale="70" zoomScaleNormal="70" workbookViewId="0">
      <selection activeCell="BZ31" sqref="BZ31"/>
    </sheetView>
  </sheetViews>
  <sheetFormatPr baseColWidth="10" defaultColWidth="8.85546875" defaultRowHeight="12.75" x14ac:dyDescent="0.25"/>
  <cols>
    <col min="1" max="9" width="8.85546875" style="311"/>
    <col min="10" max="31" width="8.85546875" style="311" customWidth="1"/>
    <col min="32" max="32" width="8.85546875" style="311"/>
    <col min="33" max="33" width="12.7109375" style="311" customWidth="1"/>
    <col min="34" max="34" width="13.42578125" style="311" bestFit="1" customWidth="1"/>
    <col min="35" max="35" width="8.85546875" style="311"/>
    <col min="36" max="36" width="11.42578125" style="311" customWidth="1"/>
    <col min="37" max="37" width="17.140625" style="311" bestFit="1" customWidth="1"/>
    <col min="38" max="38" width="14.28515625" style="311" bestFit="1" customWidth="1"/>
    <col min="39" max="44" width="8.85546875" style="311" customWidth="1"/>
    <col min="45" max="45" width="13.85546875" style="311" customWidth="1"/>
    <col min="46" max="47" width="10.42578125" style="311" customWidth="1"/>
    <col min="48" max="48" width="8.85546875" style="311" customWidth="1"/>
    <col min="49" max="58" width="12.7109375" style="311" customWidth="1"/>
    <col min="59" max="59" width="13.28515625" style="311" customWidth="1"/>
    <col min="60" max="60" width="11.28515625" style="311" customWidth="1"/>
    <col min="61" max="61" width="11.85546875" style="311" customWidth="1"/>
    <col min="62" max="62" width="15.28515625" style="313" bestFit="1" customWidth="1"/>
    <col min="63" max="63" width="8.85546875" style="313"/>
    <col min="64" max="64" width="12" style="313" bestFit="1" customWidth="1"/>
    <col min="65" max="65" width="10.85546875" style="313" bestFit="1" customWidth="1"/>
    <col min="66" max="66" width="11.28515625" style="313" customWidth="1"/>
    <col min="67" max="67" width="43.42578125" style="311" bestFit="1" customWidth="1"/>
    <col min="68" max="68" width="13.42578125" style="311" bestFit="1" customWidth="1"/>
    <col min="69" max="69" width="11.5703125" style="311" bestFit="1" customWidth="1"/>
    <col min="70" max="70" width="13.140625" style="325" bestFit="1" customWidth="1"/>
    <col min="71" max="71" width="13.5703125" style="325" bestFit="1" customWidth="1"/>
    <col min="72" max="72" width="12.28515625" style="325" bestFit="1" customWidth="1"/>
    <col min="73" max="73" width="10.140625" style="325" bestFit="1" customWidth="1"/>
    <col min="74" max="74" width="10.42578125" style="325" bestFit="1" customWidth="1"/>
    <col min="75" max="75" width="9.7109375" style="311" bestFit="1" customWidth="1"/>
    <col min="76" max="76" width="10.5703125" style="311" bestFit="1" customWidth="1"/>
    <col min="77" max="77" width="9.140625" style="311" bestFit="1" customWidth="1"/>
    <col min="78" max="78" width="11.5703125" style="311" bestFit="1" customWidth="1"/>
    <col min="79" max="80" width="11.28515625" style="311" bestFit="1" customWidth="1"/>
    <col min="81" max="81" width="10.28515625" style="311" bestFit="1" customWidth="1"/>
    <col min="82" max="16384" width="8.85546875" style="311"/>
  </cols>
  <sheetData>
    <row r="1" spans="1:80" s="292" customFormat="1" ht="48.75" thickBot="1" x14ac:dyDescent="0.3">
      <c r="A1" s="278" t="s">
        <v>431</v>
      </c>
      <c r="B1" s="278" t="s">
        <v>432</v>
      </c>
      <c r="C1" s="278" t="s">
        <v>433</v>
      </c>
      <c r="D1" s="278" t="s">
        <v>434</v>
      </c>
      <c r="E1" s="278" t="s">
        <v>435</v>
      </c>
      <c r="F1" s="278" t="s">
        <v>436</v>
      </c>
      <c r="G1" s="279" t="s">
        <v>437</v>
      </c>
      <c r="H1" s="278" t="s">
        <v>438</v>
      </c>
      <c r="I1" s="280" t="s">
        <v>439</v>
      </c>
      <c r="J1" s="278" t="s">
        <v>433</v>
      </c>
      <c r="K1" s="278" t="s">
        <v>434</v>
      </c>
      <c r="L1" s="278" t="s">
        <v>440</v>
      </c>
      <c r="M1" s="278" t="s">
        <v>441</v>
      </c>
      <c r="N1" s="278" t="s">
        <v>442</v>
      </c>
      <c r="O1" s="278" t="s">
        <v>443</v>
      </c>
      <c r="P1" s="278" t="s">
        <v>444</v>
      </c>
      <c r="Q1" s="278" t="s">
        <v>445</v>
      </c>
      <c r="R1" s="281" t="s">
        <v>446</v>
      </c>
      <c r="S1" s="278" t="s">
        <v>447</v>
      </c>
      <c r="T1" s="278" t="s">
        <v>448</v>
      </c>
      <c r="U1" s="278" t="s">
        <v>449</v>
      </c>
      <c r="V1" s="278" t="s">
        <v>450</v>
      </c>
      <c r="W1" s="278" t="s">
        <v>451</v>
      </c>
      <c r="X1" s="281" t="s">
        <v>452</v>
      </c>
      <c r="Y1" s="278" t="s">
        <v>453</v>
      </c>
      <c r="Z1" s="278" t="s">
        <v>454</v>
      </c>
      <c r="AA1" s="279" t="s">
        <v>455</v>
      </c>
      <c r="AB1" s="278" t="s">
        <v>456</v>
      </c>
      <c r="AC1" s="278" t="s">
        <v>457</v>
      </c>
      <c r="AD1" s="279" t="s">
        <v>458</v>
      </c>
      <c r="AE1" s="279" t="s">
        <v>459</v>
      </c>
      <c r="AF1" s="278" t="s">
        <v>460</v>
      </c>
      <c r="AG1" s="278" t="s">
        <v>461</v>
      </c>
      <c r="AH1" s="278" t="s">
        <v>462</v>
      </c>
      <c r="AI1" s="278" t="s">
        <v>463</v>
      </c>
      <c r="AJ1" s="278" t="s">
        <v>464</v>
      </c>
      <c r="AK1" s="278" t="s">
        <v>465</v>
      </c>
      <c r="AL1" s="281" t="s">
        <v>466</v>
      </c>
      <c r="AM1" s="278" t="s">
        <v>467</v>
      </c>
      <c r="AN1" s="279" t="s">
        <v>468</v>
      </c>
      <c r="AO1" s="278" t="s">
        <v>469</v>
      </c>
      <c r="AP1" s="279" t="s">
        <v>470</v>
      </c>
      <c r="AQ1" s="282" t="s">
        <v>471</v>
      </c>
      <c r="AR1" s="283" t="s">
        <v>472</v>
      </c>
      <c r="AS1" s="284" t="s">
        <v>473</v>
      </c>
      <c r="AT1" s="285" t="s">
        <v>474</v>
      </c>
      <c r="AU1" s="285" t="s">
        <v>475</v>
      </c>
      <c r="AV1" s="286" t="s">
        <v>476</v>
      </c>
      <c r="AW1" s="287" t="s">
        <v>477</v>
      </c>
      <c r="AX1" s="288" t="s">
        <v>478</v>
      </c>
      <c r="AY1" s="287" t="s">
        <v>479</v>
      </c>
      <c r="AZ1" s="288" t="s">
        <v>480</v>
      </c>
      <c r="BA1" s="287" t="s">
        <v>481</v>
      </c>
      <c r="BB1" s="288" t="s">
        <v>482</v>
      </c>
      <c r="BC1" s="287" t="s">
        <v>483</v>
      </c>
      <c r="BD1" s="288" t="s">
        <v>484</v>
      </c>
      <c r="BE1" s="289" t="s">
        <v>485</v>
      </c>
      <c r="BF1" s="288" t="s">
        <v>486</v>
      </c>
      <c r="BG1" s="290" t="s">
        <v>487</v>
      </c>
      <c r="BH1" s="291" t="s">
        <v>488</v>
      </c>
      <c r="BI1" s="307"/>
      <c r="BJ1" s="293" t="s">
        <v>489</v>
      </c>
      <c r="BK1" s="293" t="s">
        <v>490</v>
      </c>
      <c r="BL1" s="293" t="s">
        <v>491</v>
      </c>
      <c r="BM1" s="293" t="s">
        <v>492</v>
      </c>
      <c r="BN1" s="293" t="s">
        <v>493</v>
      </c>
      <c r="BR1" s="294" t="s">
        <v>489</v>
      </c>
      <c r="BS1" s="294" t="s">
        <v>490</v>
      </c>
      <c r="BT1" s="294" t="s">
        <v>491</v>
      </c>
      <c r="BU1" s="294" t="s">
        <v>492</v>
      </c>
      <c r="BV1" s="294" t="s">
        <v>493</v>
      </c>
      <c r="BX1" s="294" t="s">
        <v>489</v>
      </c>
      <c r="BY1" s="294" t="s">
        <v>490</v>
      </c>
      <c r="BZ1" s="294" t="s">
        <v>491</v>
      </c>
      <c r="CA1" s="294" t="s">
        <v>492</v>
      </c>
      <c r="CB1" s="294" t="s">
        <v>493</v>
      </c>
    </row>
    <row r="2" spans="1:80" s="295" customFormat="1" ht="12" x14ac:dyDescent="0.25">
      <c r="A2" s="295">
        <v>2024</v>
      </c>
      <c r="B2" s="295">
        <v>7</v>
      </c>
      <c r="C2" s="296">
        <v>45292</v>
      </c>
      <c r="D2" s="296">
        <v>45535</v>
      </c>
      <c r="E2" s="295" t="s">
        <v>494</v>
      </c>
      <c r="F2" s="296">
        <v>45504</v>
      </c>
      <c r="G2" s="295" t="s">
        <v>495</v>
      </c>
      <c r="H2" s="295" t="s">
        <v>496</v>
      </c>
      <c r="I2" s="295" t="s">
        <v>497</v>
      </c>
      <c r="J2" s="296">
        <v>45498</v>
      </c>
      <c r="K2" s="296">
        <v>45657</v>
      </c>
      <c r="L2" s="295" t="s">
        <v>498</v>
      </c>
      <c r="M2" s="295" t="s">
        <v>499</v>
      </c>
      <c r="N2" s="295" t="s">
        <v>500</v>
      </c>
      <c r="O2" s="295">
        <v>1171</v>
      </c>
      <c r="P2" s="295">
        <v>1289</v>
      </c>
      <c r="Q2" s="295" t="s">
        <v>501</v>
      </c>
      <c r="R2" s="295" t="s">
        <v>502</v>
      </c>
      <c r="S2" s="295" t="s">
        <v>503</v>
      </c>
      <c r="T2" s="295" t="s">
        <v>504</v>
      </c>
      <c r="U2" s="295" t="s">
        <v>505</v>
      </c>
      <c r="V2" s="295" t="s">
        <v>506</v>
      </c>
      <c r="W2" s="295" t="s">
        <v>507</v>
      </c>
      <c r="X2" s="295" t="s">
        <v>508</v>
      </c>
      <c r="Y2" s="295" t="s">
        <v>509</v>
      </c>
      <c r="Z2" s="295" t="s">
        <v>510</v>
      </c>
      <c r="AA2" s="295" t="s">
        <v>511</v>
      </c>
      <c r="AB2" s="295" t="s">
        <v>512</v>
      </c>
      <c r="AC2" s="295" t="s">
        <v>513</v>
      </c>
      <c r="AD2" s="295" t="s">
        <v>514</v>
      </c>
      <c r="AE2" s="295" t="s">
        <v>515</v>
      </c>
      <c r="AF2" s="295" t="s">
        <v>516</v>
      </c>
      <c r="AG2" s="418">
        <v>27376904</v>
      </c>
      <c r="AH2" s="418">
        <v>0</v>
      </c>
      <c r="AI2" s="418">
        <v>0</v>
      </c>
      <c r="AJ2" s="418">
        <v>27376904</v>
      </c>
      <c r="AK2" s="418">
        <v>0</v>
      </c>
      <c r="AL2" s="418">
        <v>27376904</v>
      </c>
      <c r="AM2" s="295">
        <v>5000717080</v>
      </c>
      <c r="AN2" s="295">
        <v>1</v>
      </c>
      <c r="AO2" s="295">
        <v>587548</v>
      </c>
      <c r="AP2" s="295">
        <v>3</v>
      </c>
      <c r="AQ2" s="296">
        <v>45504</v>
      </c>
      <c r="AR2" s="298">
        <v>8198</v>
      </c>
      <c r="AS2" s="299"/>
      <c r="AT2" s="300"/>
      <c r="AU2" s="300"/>
      <c r="AV2" s="301" t="s">
        <v>517</v>
      </c>
      <c r="AW2" s="302">
        <v>0</v>
      </c>
      <c r="AX2" s="297">
        <v>0</v>
      </c>
      <c r="AY2" s="302">
        <v>9538946</v>
      </c>
      <c r="AZ2" s="302"/>
      <c r="BA2" s="302">
        <v>4052000</v>
      </c>
      <c r="BB2" s="302"/>
      <c r="BC2" s="302">
        <v>4052000</v>
      </c>
      <c r="BD2" s="302"/>
      <c r="BE2" s="302">
        <v>9733958</v>
      </c>
      <c r="BF2" s="303"/>
      <c r="BG2" s="419">
        <f>AH2</f>
        <v>0</v>
      </c>
      <c r="BH2" s="305">
        <f>AG2-SUM(AW2+AY2+BA2+BC2+BE2+BG2)</f>
        <v>0</v>
      </c>
      <c r="BI2" s="307">
        <v>0</v>
      </c>
      <c r="BJ2" s="306">
        <v>0</v>
      </c>
      <c r="BK2" s="306">
        <v>0</v>
      </c>
      <c r="BL2" s="307">
        <f>+AG2</f>
        <v>27376904</v>
      </c>
      <c r="BM2" s="306">
        <v>0</v>
      </c>
      <c r="BN2" s="306">
        <v>0</v>
      </c>
      <c r="BO2" s="420"/>
      <c r="BP2" s="308"/>
      <c r="BQ2" s="309"/>
      <c r="BR2" s="310">
        <v>0</v>
      </c>
      <c r="BS2" s="310">
        <v>0</v>
      </c>
      <c r="BT2" s="310">
        <f>+AX2</f>
        <v>0</v>
      </c>
      <c r="BU2" s="310">
        <v>0</v>
      </c>
      <c r="BV2" s="310">
        <v>0</v>
      </c>
      <c r="BW2" s="310"/>
      <c r="BX2" s="310">
        <v>0</v>
      </c>
      <c r="BY2" s="310">
        <v>0</v>
      </c>
      <c r="BZ2" s="310">
        <f>+BD2</f>
        <v>0</v>
      </c>
      <c r="CA2" s="310">
        <v>0</v>
      </c>
      <c r="CB2" s="310">
        <v>0</v>
      </c>
    </row>
    <row r="3" spans="1:80" s="295" customFormat="1" ht="12" x14ac:dyDescent="0.25">
      <c r="A3" s="295">
        <v>2024</v>
      </c>
      <c r="B3" s="295">
        <v>7</v>
      </c>
      <c r="C3" s="296">
        <v>45292</v>
      </c>
      <c r="D3" s="296">
        <v>45535</v>
      </c>
      <c r="E3" s="295" t="s">
        <v>494</v>
      </c>
      <c r="F3" s="296">
        <v>45504</v>
      </c>
      <c r="G3" s="295" t="s">
        <v>495</v>
      </c>
      <c r="H3" s="295" t="s">
        <v>496</v>
      </c>
      <c r="I3" s="295" t="s">
        <v>497</v>
      </c>
      <c r="J3" s="296">
        <v>45498</v>
      </c>
      <c r="K3" s="296">
        <v>45657</v>
      </c>
      <c r="L3" s="295" t="s">
        <v>498</v>
      </c>
      <c r="M3" s="295" t="s">
        <v>499</v>
      </c>
      <c r="N3" s="295" t="s">
        <v>500</v>
      </c>
      <c r="O3" s="295">
        <v>1171</v>
      </c>
      <c r="P3" s="295">
        <v>1289</v>
      </c>
      <c r="Q3" s="295" t="s">
        <v>501</v>
      </c>
      <c r="R3" s="295" t="s">
        <v>502</v>
      </c>
      <c r="S3" s="295" t="s">
        <v>503</v>
      </c>
      <c r="T3" s="295" t="s">
        <v>504</v>
      </c>
      <c r="U3" s="295" t="s">
        <v>505</v>
      </c>
      <c r="V3" s="295" t="s">
        <v>518</v>
      </c>
      <c r="W3" s="295" t="s">
        <v>507</v>
      </c>
      <c r="X3" s="295" t="s">
        <v>508</v>
      </c>
      <c r="Y3" s="295" t="s">
        <v>509</v>
      </c>
      <c r="Z3" s="295" t="s">
        <v>510</v>
      </c>
      <c r="AA3" s="295" t="s">
        <v>511</v>
      </c>
      <c r="AB3" s="295" t="s">
        <v>512</v>
      </c>
      <c r="AC3" s="295" t="s">
        <v>513</v>
      </c>
      <c r="AD3" s="295" t="s">
        <v>514</v>
      </c>
      <c r="AE3" s="295" t="s">
        <v>515</v>
      </c>
      <c r="AF3" s="295" t="s">
        <v>516</v>
      </c>
      <c r="AG3" s="418">
        <v>6405667</v>
      </c>
      <c r="AH3" s="418">
        <v>0</v>
      </c>
      <c r="AI3" s="418">
        <v>0</v>
      </c>
      <c r="AJ3" s="418">
        <v>6405667</v>
      </c>
      <c r="AK3" s="418">
        <v>0</v>
      </c>
      <c r="AL3" s="418">
        <v>6405667</v>
      </c>
      <c r="AM3" s="295">
        <v>5000717080</v>
      </c>
      <c r="AN3" s="295">
        <v>2</v>
      </c>
      <c r="AO3" s="295">
        <v>587548</v>
      </c>
      <c r="AP3" s="295">
        <v>4</v>
      </c>
      <c r="AQ3" s="296">
        <v>45504</v>
      </c>
      <c r="AR3" s="298">
        <v>8198</v>
      </c>
      <c r="AS3" s="299"/>
      <c r="AT3" s="300"/>
      <c r="AU3" s="300"/>
      <c r="AV3" s="301" t="s">
        <v>517</v>
      </c>
      <c r="AW3" s="302">
        <v>0</v>
      </c>
      <c r="AX3" s="297">
        <v>0</v>
      </c>
      <c r="AY3" s="302">
        <v>0</v>
      </c>
      <c r="AZ3" s="302"/>
      <c r="BA3" s="302">
        <v>948000</v>
      </c>
      <c r="BB3" s="302"/>
      <c r="BC3" s="302">
        <v>948000</v>
      </c>
      <c r="BD3" s="302"/>
      <c r="BE3" s="302">
        <v>4509667</v>
      </c>
      <c r="BF3" s="303"/>
      <c r="BG3" s="419">
        <f t="shared" ref="BG3:BG29" si="0">AH3</f>
        <v>0</v>
      </c>
      <c r="BH3" s="305">
        <f t="shared" ref="BH3:BH30" si="1">AG3-SUM(AW3+AY3+BA3+BC3+BE3+BG3)</f>
        <v>0</v>
      </c>
      <c r="BI3" s="307">
        <v>0</v>
      </c>
      <c r="BJ3" s="306">
        <v>0</v>
      </c>
      <c r="BK3" s="306">
        <v>0</v>
      </c>
      <c r="BL3" s="306">
        <v>0</v>
      </c>
      <c r="BM3" s="306">
        <v>0</v>
      </c>
      <c r="BN3" s="307">
        <f>+AG3</f>
        <v>6405667</v>
      </c>
      <c r="BP3" s="308"/>
      <c r="BQ3" s="309"/>
      <c r="BR3" s="310">
        <v>0</v>
      </c>
      <c r="BS3" s="310">
        <v>0</v>
      </c>
      <c r="BT3" s="310">
        <v>0</v>
      </c>
      <c r="BU3" s="310">
        <v>0</v>
      </c>
      <c r="BV3" s="310">
        <f>+AX3</f>
        <v>0</v>
      </c>
      <c r="BW3" s="310"/>
      <c r="BX3" s="310">
        <v>0</v>
      </c>
      <c r="BY3" s="310">
        <v>0</v>
      </c>
      <c r="BZ3" s="310">
        <v>0</v>
      </c>
      <c r="CA3" s="310">
        <v>0</v>
      </c>
      <c r="CB3" s="310">
        <f>+BD3</f>
        <v>0</v>
      </c>
    </row>
    <row r="4" spans="1:80" s="295" customFormat="1" x14ac:dyDescent="0.25">
      <c r="A4" s="295">
        <v>2024</v>
      </c>
      <c r="B4" s="295">
        <v>8</v>
      </c>
      <c r="C4" s="296">
        <v>45292</v>
      </c>
      <c r="D4" s="296">
        <v>45535</v>
      </c>
      <c r="E4" s="295" t="s">
        <v>494</v>
      </c>
      <c r="F4" s="296">
        <v>45506</v>
      </c>
      <c r="G4" s="295" t="s">
        <v>519</v>
      </c>
      <c r="H4" s="295" t="s">
        <v>520</v>
      </c>
      <c r="I4" s="295">
        <v>1275</v>
      </c>
      <c r="J4" s="296">
        <v>45506</v>
      </c>
      <c r="K4" s="296">
        <v>45657</v>
      </c>
      <c r="L4" s="295" t="s">
        <v>521</v>
      </c>
      <c r="M4" s="295" t="s">
        <v>499</v>
      </c>
      <c r="N4" s="295" t="s">
        <v>500</v>
      </c>
      <c r="O4" s="295">
        <v>1525</v>
      </c>
      <c r="P4" s="295">
        <v>1383</v>
      </c>
      <c r="Q4" s="295" t="s">
        <v>522</v>
      </c>
      <c r="R4" s="295" t="s">
        <v>502</v>
      </c>
      <c r="S4" s="295" t="s">
        <v>503</v>
      </c>
      <c r="T4" s="295" t="s">
        <v>504</v>
      </c>
      <c r="U4" s="295" t="s">
        <v>505</v>
      </c>
      <c r="V4" s="421" t="s">
        <v>523</v>
      </c>
      <c r="W4" s="421" t="s">
        <v>524</v>
      </c>
      <c r="X4" s="295" t="s">
        <v>508</v>
      </c>
      <c r="Y4" s="295" t="s">
        <v>509</v>
      </c>
      <c r="Z4" s="295" t="s">
        <v>510</v>
      </c>
      <c r="AA4" s="295" t="s">
        <v>525</v>
      </c>
      <c r="AB4" s="295" t="s">
        <v>526</v>
      </c>
      <c r="AC4" s="295" t="s">
        <v>527</v>
      </c>
      <c r="AD4" s="295" t="s">
        <v>528</v>
      </c>
      <c r="AE4" s="295" t="s">
        <v>529</v>
      </c>
      <c r="AF4" s="295" t="s">
        <v>530</v>
      </c>
      <c r="AG4" s="418">
        <v>55697250</v>
      </c>
      <c r="AH4" s="418">
        <v>1485260</v>
      </c>
      <c r="AI4" s="418">
        <v>0</v>
      </c>
      <c r="AJ4" s="418">
        <v>54211990</v>
      </c>
      <c r="AK4" s="418">
        <v>20793640</v>
      </c>
      <c r="AL4" s="418">
        <v>33418350</v>
      </c>
      <c r="AM4" s="295">
        <v>5000718988</v>
      </c>
      <c r="AN4" s="295">
        <v>1</v>
      </c>
      <c r="AO4" s="295">
        <v>590899</v>
      </c>
      <c r="AP4" s="295">
        <v>1</v>
      </c>
      <c r="AQ4" s="296">
        <v>45506</v>
      </c>
      <c r="AR4" s="298">
        <v>8198</v>
      </c>
      <c r="AS4" s="299">
        <v>11139450</v>
      </c>
      <c r="AT4" s="300">
        <v>45509</v>
      </c>
      <c r="AU4" s="300">
        <v>45657</v>
      </c>
      <c r="AV4" s="301" t="s">
        <v>517</v>
      </c>
      <c r="AW4" s="302">
        <f>+AS4/30*26</f>
        <v>9654190</v>
      </c>
      <c r="AX4" s="412">
        <v>9654190</v>
      </c>
      <c r="AY4" s="302">
        <f t="shared" ref="AY4:AY29" si="2">+AS4</f>
        <v>11139450</v>
      </c>
      <c r="AZ4" s="302">
        <v>11139450</v>
      </c>
      <c r="BA4" s="302">
        <f t="shared" ref="BA4:BA29" si="3">+AS4</f>
        <v>11139450</v>
      </c>
      <c r="BB4" s="302"/>
      <c r="BC4" s="302">
        <f t="shared" ref="BC4:BC29" si="4">+AS4</f>
        <v>11139450</v>
      </c>
      <c r="BD4" s="302"/>
      <c r="BE4" s="302">
        <v>11139450</v>
      </c>
      <c r="BF4" s="303"/>
      <c r="BG4" s="419">
        <f t="shared" si="0"/>
        <v>1485260</v>
      </c>
      <c r="BH4" s="305">
        <f t="shared" si="1"/>
        <v>0</v>
      </c>
      <c r="BI4" s="307">
        <v>1485260</v>
      </c>
      <c r="BJ4" s="307">
        <f>+AG4</f>
        <v>55697250</v>
      </c>
      <c r="BK4" s="306">
        <v>0</v>
      </c>
      <c r="BL4" s="306">
        <v>0</v>
      </c>
      <c r="BM4" s="306">
        <v>0</v>
      </c>
      <c r="BN4" s="306">
        <v>0</v>
      </c>
      <c r="BO4" s="422"/>
      <c r="BP4" s="308">
        <f>+BX4/2</f>
        <v>5569725</v>
      </c>
      <c r="BR4" s="310">
        <f>+AX4</f>
        <v>9654190</v>
      </c>
      <c r="BS4" s="310">
        <v>0</v>
      </c>
      <c r="BT4" s="310">
        <v>0</v>
      </c>
      <c r="BU4" s="310">
        <v>0</v>
      </c>
      <c r="BV4" s="310">
        <v>0</v>
      </c>
      <c r="BW4" s="310"/>
      <c r="BX4" s="310">
        <f>AK4-BR4</f>
        <v>11139450</v>
      </c>
      <c r="BY4" s="310">
        <v>0</v>
      </c>
      <c r="BZ4" s="310">
        <v>0</v>
      </c>
      <c r="CA4" s="310">
        <v>0</v>
      </c>
      <c r="CB4" s="310">
        <v>0</v>
      </c>
    </row>
    <row r="5" spans="1:80" s="295" customFormat="1" x14ac:dyDescent="0.25">
      <c r="A5" s="295">
        <v>2024</v>
      </c>
      <c r="B5" s="295">
        <v>8</v>
      </c>
      <c r="C5" s="296">
        <v>45292</v>
      </c>
      <c r="D5" s="296">
        <v>45535</v>
      </c>
      <c r="E5" s="295" t="s">
        <v>494</v>
      </c>
      <c r="F5" s="296">
        <v>45506</v>
      </c>
      <c r="G5" s="295" t="s">
        <v>519</v>
      </c>
      <c r="H5" s="295" t="s">
        <v>520</v>
      </c>
      <c r="I5" s="295">
        <v>1277</v>
      </c>
      <c r="J5" s="296">
        <v>45506</v>
      </c>
      <c r="K5" s="296">
        <v>45657</v>
      </c>
      <c r="L5" s="295" t="s">
        <v>521</v>
      </c>
      <c r="M5" s="295" t="s">
        <v>499</v>
      </c>
      <c r="N5" s="295" t="s">
        <v>500</v>
      </c>
      <c r="O5" s="295">
        <v>1414</v>
      </c>
      <c r="P5" s="295">
        <v>1385</v>
      </c>
      <c r="Q5" s="295" t="s">
        <v>531</v>
      </c>
      <c r="R5" s="295" t="s">
        <v>502</v>
      </c>
      <c r="S5" s="295" t="s">
        <v>503</v>
      </c>
      <c r="T5" s="295" t="s">
        <v>504</v>
      </c>
      <c r="U5" s="295" t="s">
        <v>505</v>
      </c>
      <c r="V5" s="295" t="s">
        <v>532</v>
      </c>
      <c r="W5" s="295" t="s">
        <v>533</v>
      </c>
      <c r="X5" s="295" t="s">
        <v>508</v>
      </c>
      <c r="Y5" s="295" t="s">
        <v>509</v>
      </c>
      <c r="Z5" s="295" t="s">
        <v>510</v>
      </c>
      <c r="AA5" s="295" t="s">
        <v>525</v>
      </c>
      <c r="AB5" s="295" t="s">
        <v>526</v>
      </c>
      <c r="AC5" s="295" t="s">
        <v>534</v>
      </c>
      <c r="AD5" s="295" t="s">
        <v>528</v>
      </c>
      <c r="AE5" s="295" t="s">
        <v>535</v>
      </c>
      <c r="AF5" s="295" t="s">
        <v>536</v>
      </c>
      <c r="AG5" s="418">
        <v>48925000</v>
      </c>
      <c r="AH5" s="418">
        <v>1304667</v>
      </c>
      <c r="AI5" s="418">
        <v>0</v>
      </c>
      <c r="AJ5" s="418">
        <v>47620333</v>
      </c>
      <c r="AK5" s="418">
        <v>18265333</v>
      </c>
      <c r="AL5" s="418">
        <v>29355000</v>
      </c>
      <c r="AM5" s="295">
        <v>5000718992</v>
      </c>
      <c r="AN5" s="295">
        <v>1</v>
      </c>
      <c r="AO5" s="295">
        <v>590274</v>
      </c>
      <c r="AP5" s="295">
        <v>1</v>
      </c>
      <c r="AQ5" s="296">
        <v>45506</v>
      </c>
      <c r="AR5" s="298">
        <v>8198</v>
      </c>
      <c r="AS5" s="299">
        <v>9785000</v>
      </c>
      <c r="AT5" s="300">
        <v>45509</v>
      </c>
      <c r="AU5" s="300">
        <v>45657</v>
      </c>
      <c r="AV5" s="301" t="s">
        <v>517</v>
      </c>
      <c r="AW5" s="302">
        <f>+AS5/30*26</f>
        <v>8480333.333333334</v>
      </c>
      <c r="AX5" s="412">
        <v>8480333</v>
      </c>
      <c r="AY5" s="302">
        <f t="shared" si="2"/>
        <v>9785000</v>
      </c>
      <c r="AZ5" s="302">
        <v>9785000</v>
      </c>
      <c r="BA5" s="302">
        <f t="shared" si="3"/>
        <v>9785000</v>
      </c>
      <c r="BB5" s="302"/>
      <c r="BC5" s="302">
        <f t="shared" si="4"/>
        <v>9785000</v>
      </c>
      <c r="BD5" s="302"/>
      <c r="BE5" s="302">
        <f>AS5</f>
        <v>9785000</v>
      </c>
      <c r="BF5" s="303"/>
      <c r="BG5" s="419">
        <f t="shared" si="0"/>
        <v>1304667</v>
      </c>
      <c r="BH5" s="305">
        <f t="shared" si="1"/>
        <v>-0.3333333358168602</v>
      </c>
      <c r="BI5" s="307">
        <v>1304666.6666666667</v>
      </c>
      <c r="BJ5" s="306">
        <v>0</v>
      </c>
      <c r="BK5" s="306">
        <v>0</v>
      </c>
      <c r="BL5" s="307">
        <f>+AG5</f>
        <v>48925000</v>
      </c>
      <c r="BM5" s="306">
        <v>0</v>
      </c>
      <c r="BN5" s="306">
        <v>0</v>
      </c>
      <c r="BO5" s="422"/>
      <c r="BP5" s="308"/>
      <c r="BR5" s="310">
        <v>0</v>
      </c>
      <c r="BS5" s="310">
        <v>0</v>
      </c>
      <c r="BT5" s="310">
        <f>+AX5</f>
        <v>8480333</v>
      </c>
      <c r="BU5" s="310">
        <v>0</v>
      </c>
      <c r="BV5" s="310">
        <v>0</v>
      </c>
      <c r="BW5" s="310"/>
      <c r="BX5" s="310">
        <v>0</v>
      </c>
      <c r="BY5" s="295">
        <v>0</v>
      </c>
      <c r="BZ5" s="310">
        <f>+AK5-BT5</f>
        <v>9785000</v>
      </c>
      <c r="CA5" s="310">
        <v>0</v>
      </c>
      <c r="CB5" s="310">
        <v>0</v>
      </c>
    </row>
    <row r="6" spans="1:80" s="295" customFormat="1" x14ac:dyDescent="0.25">
      <c r="A6" s="295">
        <v>2024</v>
      </c>
      <c r="B6" s="295">
        <v>8</v>
      </c>
      <c r="C6" s="296">
        <v>45292</v>
      </c>
      <c r="D6" s="296">
        <v>45535</v>
      </c>
      <c r="E6" s="295" t="s">
        <v>494</v>
      </c>
      <c r="F6" s="296">
        <v>45512</v>
      </c>
      <c r="G6" s="295" t="s">
        <v>519</v>
      </c>
      <c r="H6" s="295" t="s">
        <v>520</v>
      </c>
      <c r="I6" s="295" t="s">
        <v>537</v>
      </c>
      <c r="J6" s="296">
        <v>45513</v>
      </c>
      <c r="K6" s="296">
        <v>45657</v>
      </c>
      <c r="L6" s="295" t="s">
        <v>538</v>
      </c>
      <c r="M6" s="295" t="s">
        <v>499</v>
      </c>
      <c r="N6" s="295" t="s">
        <v>500</v>
      </c>
      <c r="O6" s="295">
        <v>1527</v>
      </c>
      <c r="P6" s="295">
        <v>1604</v>
      </c>
      <c r="Q6" s="295" t="s">
        <v>539</v>
      </c>
      <c r="R6" s="295" t="s">
        <v>502</v>
      </c>
      <c r="S6" s="295" t="s">
        <v>503</v>
      </c>
      <c r="T6" s="295" t="s">
        <v>504</v>
      </c>
      <c r="U6" s="295" t="s">
        <v>505</v>
      </c>
      <c r="V6" s="295" t="s">
        <v>523</v>
      </c>
      <c r="W6" s="295" t="s">
        <v>524</v>
      </c>
      <c r="X6" s="295" t="s">
        <v>508</v>
      </c>
      <c r="Y6" s="295" t="s">
        <v>509</v>
      </c>
      <c r="Z6" s="295" t="s">
        <v>510</v>
      </c>
      <c r="AA6" s="295" t="s">
        <v>525</v>
      </c>
      <c r="AB6" s="295" t="s">
        <v>526</v>
      </c>
      <c r="AC6" s="295" t="s">
        <v>540</v>
      </c>
      <c r="AD6" s="295" t="s">
        <v>528</v>
      </c>
      <c r="AE6" s="295" t="s">
        <v>541</v>
      </c>
      <c r="AF6" s="295" t="s">
        <v>542</v>
      </c>
      <c r="AG6" s="418">
        <v>36050000</v>
      </c>
      <c r="AH6" s="418">
        <v>1922667</v>
      </c>
      <c r="AI6" s="418">
        <v>0</v>
      </c>
      <c r="AJ6" s="418">
        <v>34127333</v>
      </c>
      <c r="AK6" s="418">
        <v>12497333</v>
      </c>
      <c r="AL6" s="418">
        <v>21630000</v>
      </c>
      <c r="AM6" s="295">
        <v>5000721495</v>
      </c>
      <c r="AN6" s="295">
        <v>1</v>
      </c>
      <c r="AO6" s="295">
        <v>590905</v>
      </c>
      <c r="AP6" s="295">
        <v>1</v>
      </c>
      <c r="AQ6" s="296">
        <v>45512</v>
      </c>
      <c r="AR6" s="298">
        <v>8198</v>
      </c>
      <c r="AS6" s="299">
        <v>7210000</v>
      </c>
      <c r="AT6" s="300">
        <v>45513</v>
      </c>
      <c r="AU6" s="300">
        <v>45657</v>
      </c>
      <c r="AV6" s="301" t="s">
        <v>517</v>
      </c>
      <c r="AW6" s="302">
        <f>+AS6/30*22</f>
        <v>5287333.333333334</v>
      </c>
      <c r="AX6" s="412">
        <v>5287333</v>
      </c>
      <c r="AY6" s="302">
        <f t="shared" si="2"/>
        <v>7210000</v>
      </c>
      <c r="AZ6" s="302">
        <v>7210000</v>
      </c>
      <c r="BA6" s="302">
        <f t="shared" si="3"/>
        <v>7210000</v>
      </c>
      <c r="BB6" s="302"/>
      <c r="BC6" s="302">
        <f t="shared" si="4"/>
        <v>7210000</v>
      </c>
      <c r="BD6" s="302"/>
      <c r="BE6" s="302">
        <f>AS6</f>
        <v>7210000</v>
      </c>
      <c r="BF6" s="303"/>
      <c r="BG6" s="419">
        <f t="shared" si="0"/>
        <v>1922667</v>
      </c>
      <c r="BH6" s="305">
        <f t="shared" si="1"/>
        <v>-0.3333333358168602</v>
      </c>
      <c r="BI6" s="307">
        <v>1922666.6666666667</v>
      </c>
      <c r="BJ6" s="306">
        <v>0</v>
      </c>
      <c r="BK6" s="306">
        <v>0</v>
      </c>
      <c r="BL6" s="423">
        <f>+AG6</f>
        <v>36050000</v>
      </c>
      <c r="BM6" s="306">
        <v>0</v>
      </c>
      <c r="BN6" s="306">
        <v>0</v>
      </c>
      <c r="BO6" s="420"/>
      <c r="BP6" s="308"/>
      <c r="BR6" s="310">
        <v>0</v>
      </c>
      <c r="BS6" s="310">
        <v>0</v>
      </c>
      <c r="BT6" s="310">
        <f>+AX6</f>
        <v>5287333</v>
      </c>
      <c r="BU6" s="310">
        <v>0</v>
      </c>
      <c r="BV6" s="310">
        <v>0</v>
      </c>
      <c r="BW6" s="310"/>
      <c r="BX6" s="310">
        <v>0</v>
      </c>
      <c r="BY6" s="295">
        <v>0</v>
      </c>
      <c r="BZ6" s="310">
        <f>+AK6-BT6</f>
        <v>7210000</v>
      </c>
      <c r="CA6" s="310">
        <v>0</v>
      </c>
      <c r="CB6" s="310">
        <v>0</v>
      </c>
    </row>
    <row r="7" spans="1:80" s="295" customFormat="1" x14ac:dyDescent="0.25">
      <c r="A7" s="295">
        <v>2024</v>
      </c>
      <c r="B7" s="295">
        <v>8</v>
      </c>
      <c r="C7" s="296">
        <v>45292</v>
      </c>
      <c r="D7" s="296">
        <v>45535</v>
      </c>
      <c r="E7" s="295" t="s">
        <v>494</v>
      </c>
      <c r="F7" s="296">
        <v>45512</v>
      </c>
      <c r="G7" s="295" t="s">
        <v>519</v>
      </c>
      <c r="H7" s="295" t="s">
        <v>520</v>
      </c>
      <c r="I7" s="295" t="s">
        <v>543</v>
      </c>
      <c r="J7" s="296">
        <v>45513</v>
      </c>
      <c r="K7" s="296">
        <v>45657</v>
      </c>
      <c r="L7" s="295" t="s">
        <v>538</v>
      </c>
      <c r="M7" s="295" t="s">
        <v>499</v>
      </c>
      <c r="N7" s="295" t="s">
        <v>500</v>
      </c>
      <c r="O7" s="295">
        <v>1540</v>
      </c>
      <c r="P7" s="295">
        <v>1599</v>
      </c>
      <c r="Q7" s="295" t="s">
        <v>544</v>
      </c>
      <c r="R7" s="295" t="s">
        <v>502</v>
      </c>
      <c r="S7" s="295" t="s">
        <v>503</v>
      </c>
      <c r="T7" s="295" t="s">
        <v>504</v>
      </c>
      <c r="U7" s="295" t="s">
        <v>505</v>
      </c>
      <c r="V7" s="295" t="s">
        <v>523</v>
      </c>
      <c r="W7" s="295" t="s">
        <v>524</v>
      </c>
      <c r="X7" s="295" t="s">
        <v>508</v>
      </c>
      <c r="Y7" s="295" t="s">
        <v>509</v>
      </c>
      <c r="Z7" s="295" t="s">
        <v>510</v>
      </c>
      <c r="AA7" s="295" t="s">
        <v>525</v>
      </c>
      <c r="AB7" s="295" t="s">
        <v>526</v>
      </c>
      <c r="AC7" s="295" t="s">
        <v>545</v>
      </c>
      <c r="AD7" s="295" t="s">
        <v>528</v>
      </c>
      <c r="AE7" s="295" t="s">
        <v>546</v>
      </c>
      <c r="AF7" s="295" t="s">
        <v>547</v>
      </c>
      <c r="AG7" s="418">
        <v>36050000</v>
      </c>
      <c r="AH7" s="418">
        <v>1922667</v>
      </c>
      <c r="AI7" s="418">
        <v>0</v>
      </c>
      <c r="AJ7" s="418">
        <v>34127333</v>
      </c>
      <c r="AK7" s="418">
        <v>12497333</v>
      </c>
      <c r="AL7" s="418">
        <v>21630000</v>
      </c>
      <c r="AM7" s="295">
        <v>5000721470</v>
      </c>
      <c r="AN7" s="295">
        <v>1</v>
      </c>
      <c r="AO7" s="295">
        <v>590956</v>
      </c>
      <c r="AP7" s="295">
        <v>1</v>
      </c>
      <c r="AQ7" s="296">
        <v>45512</v>
      </c>
      <c r="AR7" s="298">
        <v>8198</v>
      </c>
      <c r="AS7" s="299">
        <v>7210000</v>
      </c>
      <c r="AT7" s="300">
        <v>45513</v>
      </c>
      <c r="AU7" s="300">
        <v>45657</v>
      </c>
      <c r="AV7" s="301" t="s">
        <v>517</v>
      </c>
      <c r="AW7" s="302">
        <f>+AS7/30*22</f>
        <v>5287333.333333334</v>
      </c>
      <c r="AX7" s="412">
        <v>5287333</v>
      </c>
      <c r="AY7" s="302">
        <f t="shared" si="2"/>
        <v>7210000</v>
      </c>
      <c r="AZ7" s="302">
        <v>7210000</v>
      </c>
      <c r="BA7" s="302">
        <f t="shared" si="3"/>
        <v>7210000</v>
      </c>
      <c r="BB7" s="302"/>
      <c r="BC7" s="302">
        <f t="shared" si="4"/>
        <v>7210000</v>
      </c>
      <c r="BD7" s="302"/>
      <c r="BE7" s="302">
        <f>AS7</f>
        <v>7210000</v>
      </c>
      <c r="BF7" s="303"/>
      <c r="BG7" s="419">
        <f t="shared" si="0"/>
        <v>1922667</v>
      </c>
      <c r="BH7" s="305">
        <f t="shared" si="1"/>
        <v>-0.3333333358168602</v>
      </c>
      <c r="BI7" s="307">
        <v>1922666.6666666667</v>
      </c>
      <c r="BJ7" s="306">
        <v>0</v>
      </c>
      <c r="BK7" s="306">
        <v>0</v>
      </c>
      <c r="BL7" s="306">
        <v>0</v>
      </c>
      <c r="BM7" s="307">
        <f>+AG7</f>
        <v>36050000</v>
      </c>
      <c r="BN7" s="306">
        <v>0</v>
      </c>
      <c r="BP7" s="308"/>
      <c r="BR7" s="310">
        <v>0</v>
      </c>
      <c r="BS7" s="310">
        <v>0</v>
      </c>
      <c r="BT7" s="310">
        <v>0</v>
      </c>
      <c r="BU7" s="310">
        <f>+AX7</f>
        <v>5287333</v>
      </c>
      <c r="BV7" s="310">
        <v>0</v>
      </c>
      <c r="BW7" s="310"/>
      <c r="BX7" s="310">
        <v>0</v>
      </c>
      <c r="BY7" s="310">
        <v>0</v>
      </c>
      <c r="BZ7" s="295">
        <v>0</v>
      </c>
      <c r="CA7" s="310">
        <f>+AK7-BU7</f>
        <v>7210000</v>
      </c>
      <c r="CB7" s="310">
        <v>0</v>
      </c>
    </row>
    <row r="8" spans="1:80" s="424" customFormat="1" x14ac:dyDescent="0.25">
      <c r="A8" s="424">
        <v>2024</v>
      </c>
      <c r="B8" s="424">
        <v>8</v>
      </c>
      <c r="C8" s="425">
        <v>45292</v>
      </c>
      <c r="D8" s="425">
        <v>45535</v>
      </c>
      <c r="E8" s="424" t="s">
        <v>494</v>
      </c>
      <c r="F8" s="425">
        <v>45509</v>
      </c>
      <c r="G8" s="424" t="s">
        <v>519</v>
      </c>
      <c r="H8" s="424" t="s">
        <v>520</v>
      </c>
      <c r="I8" s="424">
        <v>1328</v>
      </c>
      <c r="J8" s="425">
        <v>45509</v>
      </c>
      <c r="K8" s="425">
        <v>45636</v>
      </c>
      <c r="L8" s="424" t="s">
        <v>548</v>
      </c>
      <c r="M8" s="424" t="s">
        <v>499</v>
      </c>
      <c r="N8" s="424" t="s">
        <v>500</v>
      </c>
      <c r="O8" s="424">
        <v>1542</v>
      </c>
      <c r="P8" s="424">
        <v>1527</v>
      </c>
      <c r="Q8" s="424" t="s">
        <v>549</v>
      </c>
      <c r="R8" s="424" t="s">
        <v>502</v>
      </c>
      <c r="S8" s="424" t="s">
        <v>503</v>
      </c>
      <c r="T8" s="424" t="s">
        <v>504</v>
      </c>
      <c r="U8" s="424" t="s">
        <v>505</v>
      </c>
      <c r="V8" s="424" t="s">
        <v>523</v>
      </c>
      <c r="W8" s="424" t="s">
        <v>524</v>
      </c>
      <c r="X8" s="424" t="s">
        <v>508</v>
      </c>
      <c r="Y8" s="424" t="s">
        <v>509</v>
      </c>
      <c r="Z8" s="424" t="s">
        <v>510</v>
      </c>
      <c r="AA8" s="424" t="s">
        <v>525</v>
      </c>
      <c r="AB8" s="424" t="s">
        <v>526</v>
      </c>
      <c r="AC8" s="424" t="s">
        <v>550</v>
      </c>
      <c r="AD8" s="424" t="s">
        <v>528</v>
      </c>
      <c r="AE8" s="424" t="s">
        <v>551</v>
      </c>
      <c r="AF8" s="424" t="s">
        <v>552</v>
      </c>
      <c r="AG8" s="418">
        <v>27586000</v>
      </c>
      <c r="AH8" s="418">
        <v>0</v>
      </c>
      <c r="AI8" s="418">
        <v>0</v>
      </c>
      <c r="AJ8" s="418">
        <v>27586000</v>
      </c>
      <c r="AK8" s="418">
        <v>10397800</v>
      </c>
      <c r="AL8" s="418">
        <v>17188200</v>
      </c>
      <c r="AM8" s="424">
        <v>5000720509</v>
      </c>
      <c r="AN8" s="424">
        <v>1</v>
      </c>
      <c r="AO8" s="424">
        <v>590961</v>
      </c>
      <c r="AP8" s="424">
        <v>1</v>
      </c>
      <c r="AQ8" s="425">
        <v>45509</v>
      </c>
      <c r="AR8" s="426">
        <v>8198</v>
      </c>
      <c r="AS8" s="427">
        <v>6366000</v>
      </c>
      <c r="AT8" s="428">
        <v>45516</v>
      </c>
      <c r="AU8" s="428">
        <v>45647</v>
      </c>
      <c r="AV8" s="429" t="s">
        <v>517</v>
      </c>
      <c r="AW8" s="430">
        <f>+AS8/30*19</f>
        <v>4031800</v>
      </c>
      <c r="AX8" s="431">
        <v>4031800</v>
      </c>
      <c r="AY8" s="430">
        <f t="shared" si="2"/>
        <v>6366000</v>
      </c>
      <c r="AZ8" s="430">
        <v>6366000</v>
      </c>
      <c r="BA8" s="430">
        <f t="shared" si="3"/>
        <v>6366000</v>
      </c>
      <c r="BB8" s="430"/>
      <c r="BC8" s="430">
        <f t="shared" si="4"/>
        <v>6366000</v>
      </c>
      <c r="BD8" s="430"/>
      <c r="BE8" s="430">
        <f>AS8/30*21</f>
        <v>4456200</v>
      </c>
      <c r="BF8" s="432"/>
      <c r="BG8" s="419">
        <f t="shared" si="0"/>
        <v>0</v>
      </c>
      <c r="BH8" s="305">
        <f t="shared" si="1"/>
        <v>0</v>
      </c>
      <c r="BI8" s="307">
        <v>0</v>
      </c>
      <c r="BJ8" s="433">
        <v>0</v>
      </c>
      <c r="BK8" s="433">
        <v>0</v>
      </c>
      <c r="BL8" s="433">
        <v>0</v>
      </c>
      <c r="BM8" s="433">
        <v>0</v>
      </c>
      <c r="BN8" s="423">
        <f>+AG8</f>
        <v>27586000</v>
      </c>
      <c r="BP8" s="434"/>
      <c r="BR8" s="435">
        <v>0</v>
      </c>
      <c r="BS8" s="435">
        <v>0</v>
      </c>
      <c r="BT8" s="435">
        <v>0</v>
      </c>
      <c r="BU8" s="435">
        <v>0</v>
      </c>
      <c r="BV8" s="435">
        <f>+AX8</f>
        <v>4031800</v>
      </c>
      <c r="BW8" s="435"/>
      <c r="BX8" s="435">
        <v>0</v>
      </c>
      <c r="BY8" s="435">
        <v>0</v>
      </c>
      <c r="BZ8" s="435">
        <v>0</v>
      </c>
      <c r="CA8" s="435">
        <v>0</v>
      </c>
      <c r="CB8" s="435">
        <f>AK8-BV8</f>
        <v>6366000</v>
      </c>
    </row>
    <row r="9" spans="1:80" s="295" customFormat="1" x14ac:dyDescent="0.25">
      <c r="A9" s="295">
        <v>2024</v>
      </c>
      <c r="B9" s="295">
        <v>8</v>
      </c>
      <c r="C9" s="296">
        <v>45292</v>
      </c>
      <c r="D9" s="296">
        <v>45535</v>
      </c>
      <c r="E9" s="295" t="s">
        <v>494</v>
      </c>
      <c r="F9" s="296">
        <v>45509</v>
      </c>
      <c r="G9" s="295" t="s">
        <v>519</v>
      </c>
      <c r="H9" s="295" t="s">
        <v>520</v>
      </c>
      <c r="I9" s="295" t="s">
        <v>553</v>
      </c>
      <c r="J9" s="296">
        <v>45509</v>
      </c>
      <c r="K9" s="296">
        <v>45657</v>
      </c>
      <c r="L9" s="295" t="s">
        <v>554</v>
      </c>
      <c r="M9" s="295" t="s">
        <v>499</v>
      </c>
      <c r="N9" s="295" t="s">
        <v>500</v>
      </c>
      <c r="O9" s="295">
        <v>1546</v>
      </c>
      <c r="P9" s="295">
        <v>1529</v>
      </c>
      <c r="Q9" s="295" t="s">
        <v>555</v>
      </c>
      <c r="R9" s="295" t="s">
        <v>502</v>
      </c>
      <c r="S9" s="295" t="s">
        <v>503</v>
      </c>
      <c r="T9" s="295" t="s">
        <v>504</v>
      </c>
      <c r="U9" s="295" t="s">
        <v>505</v>
      </c>
      <c r="V9" s="295" t="s">
        <v>523</v>
      </c>
      <c r="W9" s="295" t="s">
        <v>524</v>
      </c>
      <c r="X9" s="295" t="s">
        <v>508</v>
      </c>
      <c r="Y9" s="295" t="s">
        <v>509</v>
      </c>
      <c r="Z9" s="295" t="s">
        <v>510</v>
      </c>
      <c r="AA9" s="295" t="s">
        <v>525</v>
      </c>
      <c r="AB9" s="295" t="s">
        <v>526</v>
      </c>
      <c r="AC9" s="295" t="s">
        <v>556</v>
      </c>
      <c r="AD9" s="295" t="s">
        <v>528</v>
      </c>
      <c r="AE9" s="295" t="s">
        <v>557</v>
      </c>
      <c r="AF9" s="295" t="s">
        <v>558</v>
      </c>
      <c r="AG9" s="418">
        <v>36050000</v>
      </c>
      <c r="AH9" s="418">
        <v>1682333</v>
      </c>
      <c r="AI9" s="418">
        <v>0</v>
      </c>
      <c r="AJ9" s="418">
        <v>34367667</v>
      </c>
      <c r="AK9" s="418">
        <v>12737667</v>
      </c>
      <c r="AL9" s="418">
        <v>21630000</v>
      </c>
      <c r="AM9" s="295">
        <v>5000720544</v>
      </c>
      <c r="AN9" s="295">
        <v>1</v>
      </c>
      <c r="AO9" s="295">
        <v>590971</v>
      </c>
      <c r="AP9" s="295">
        <v>1</v>
      </c>
      <c r="AQ9" s="296">
        <v>45509</v>
      </c>
      <c r="AR9" s="298">
        <v>8198</v>
      </c>
      <c r="AS9" s="299">
        <v>7210000</v>
      </c>
      <c r="AT9" s="300">
        <v>45512</v>
      </c>
      <c r="AU9" s="300">
        <v>45657</v>
      </c>
      <c r="AV9" s="301" t="s">
        <v>517</v>
      </c>
      <c r="AW9" s="302">
        <f>+AS9/30*23</f>
        <v>5527666.666666667</v>
      </c>
      <c r="AX9" s="412">
        <v>5527667</v>
      </c>
      <c r="AY9" s="302">
        <f t="shared" si="2"/>
        <v>7210000</v>
      </c>
      <c r="AZ9" s="302">
        <v>7210000</v>
      </c>
      <c r="BA9" s="302">
        <f t="shared" si="3"/>
        <v>7210000</v>
      </c>
      <c r="BB9" s="302"/>
      <c r="BC9" s="302">
        <f t="shared" si="4"/>
        <v>7210000</v>
      </c>
      <c r="BD9" s="302"/>
      <c r="BE9" s="302">
        <f>AS9</f>
        <v>7210000</v>
      </c>
      <c r="BF9" s="303"/>
      <c r="BG9" s="419">
        <f t="shared" si="0"/>
        <v>1682333</v>
      </c>
      <c r="BH9" s="305">
        <f t="shared" si="1"/>
        <v>0.3333333283662796</v>
      </c>
      <c r="BI9" s="307">
        <v>1682333.3333333335</v>
      </c>
      <c r="BJ9" s="306">
        <v>0</v>
      </c>
      <c r="BK9" s="306">
        <v>0</v>
      </c>
      <c r="BL9" s="307">
        <f>+AG9</f>
        <v>36050000</v>
      </c>
      <c r="BM9" s="306">
        <v>0</v>
      </c>
      <c r="BN9" s="306">
        <v>0</v>
      </c>
      <c r="BP9" s="308"/>
      <c r="BR9" s="310">
        <v>0</v>
      </c>
      <c r="BS9" s="310">
        <v>0</v>
      </c>
      <c r="BT9" s="310">
        <f>+AX9</f>
        <v>5527667</v>
      </c>
      <c r="BU9" s="310">
        <v>0</v>
      </c>
      <c r="BV9" s="310">
        <v>0</v>
      </c>
      <c r="BW9" s="310"/>
      <c r="BX9" s="310">
        <v>0</v>
      </c>
      <c r="BY9" s="310">
        <v>0</v>
      </c>
      <c r="BZ9" s="310">
        <f>+AK9-BT9</f>
        <v>7210000</v>
      </c>
      <c r="CA9" s="310">
        <v>0</v>
      </c>
      <c r="CB9" s="310">
        <v>0</v>
      </c>
    </row>
    <row r="10" spans="1:80" s="424" customFormat="1" x14ac:dyDescent="0.25">
      <c r="A10" s="424">
        <v>2024</v>
      </c>
      <c r="B10" s="424">
        <v>8</v>
      </c>
      <c r="C10" s="425">
        <v>45292</v>
      </c>
      <c r="D10" s="425">
        <v>45535</v>
      </c>
      <c r="E10" s="424" t="s">
        <v>494</v>
      </c>
      <c r="F10" s="425">
        <v>45509</v>
      </c>
      <c r="G10" s="424" t="s">
        <v>519</v>
      </c>
      <c r="H10" s="424" t="s">
        <v>520</v>
      </c>
      <c r="I10" s="424" t="s">
        <v>559</v>
      </c>
      <c r="J10" s="425">
        <v>45509</v>
      </c>
      <c r="K10" s="425">
        <v>45657</v>
      </c>
      <c r="L10" s="424" t="s">
        <v>554</v>
      </c>
      <c r="M10" s="424" t="s">
        <v>499</v>
      </c>
      <c r="N10" s="424" t="s">
        <v>500</v>
      </c>
      <c r="O10" s="424">
        <v>1548</v>
      </c>
      <c r="P10" s="424">
        <v>1532</v>
      </c>
      <c r="Q10" s="424" t="s">
        <v>560</v>
      </c>
      <c r="R10" s="424" t="s">
        <v>502</v>
      </c>
      <c r="S10" s="424" t="s">
        <v>503</v>
      </c>
      <c r="T10" s="424" t="s">
        <v>504</v>
      </c>
      <c r="U10" s="424" t="s">
        <v>505</v>
      </c>
      <c r="V10" s="424" t="s">
        <v>523</v>
      </c>
      <c r="W10" s="424" t="s">
        <v>524</v>
      </c>
      <c r="X10" s="424" t="s">
        <v>508</v>
      </c>
      <c r="Y10" s="424" t="s">
        <v>509</v>
      </c>
      <c r="Z10" s="424" t="s">
        <v>510</v>
      </c>
      <c r="AA10" s="424" t="s">
        <v>525</v>
      </c>
      <c r="AB10" s="424" t="s">
        <v>526</v>
      </c>
      <c r="AC10" s="424" t="s">
        <v>561</v>
      </c>
      <c r="AD10" s="424" t="s">
        <v>528</v>
      </c>
      <c r="AE10" s="424" t="s">
        <v>562</v>
      </c>
      <c r="AF10" s="424" t="s">
        <v>563</v>
      </c>
      <c r="AG10" s="418">
        <v>17333333</v>
      </c>
      <c r="AH10" s="418">
        <v>0</v>
      </c>
      <c r="AI10" s="418">
        <v>0</v>
      </c>
      <c r="AJ10" s="418">
        <v>17333333</v>
      </c>
      <c r="AK10" s="418">
        <v>7066667</v>
      </c>
      <c r="AL10" s="418">
        <v>10266666</v>
      </c>
      <c r="AM10" s="424">
        <v>5000720566</v>
      </c>
      <c r="AN10" s="424">
        <v>1</v>
      </c>
      <c r="AO10" s="424">
        <v>590977</v>
      </c>
      <c r="AP10" s="424">
        <v>1</v>
      </c>
      <c r="AQ10" s="425">
        <v>45509</v>
      </c>
      <c r="AR10" s="426">
        <v>8198</v>
      </c>
      <c r="AS10" s="427">
        <v>4000000</v>
      </c>
      <c r="AT10" s="428">
        <v>45512</v>
      </c>
      <c r="AU10" s="428">
        <v>45643</v>
      </c>
      <c r="AV10" s="429" t="s">
        <v>517</v>
      </c>
      <c r="AW10" s="430">
        <f>+AS10/30*23</f>
        <v>3066666.666666667</v>
      </c>
      <c r="AX10" s="431">
        <v>3066667</v>
      </c>
      <c r="AY10" s="430">
        <f t="shared" si="2"/>
        <v>4000000</v>
      </c>
      <c r="AZ10" s="430">
        <v>4000000</v>
      </c>
      <c r="BA10" s="430">
        <f t="shared" si="3"/>
        <v>4000000</v>
      </c>
      <c r="BB10" s="430"/>
      <c r="BC10" s="430">
        <f t="shared" si="4"/>
        <v>4000000</v>
      </c>
      <c r="BD10" s="430"/>
      <c r="BE10" s="430">
        <f>AS10/30*17</f>
        <v>2266666.666666667</v>
      </c>
      <c r="BF10" s="432"/>
      <c r="BG10" s="419">
        <f t="shared" si="0"/>
        <v>0</v>
      </c>
      <c r="BH10" s="305">
        <f t="shared" si="1"/>
        <v>-0.3333333358168602</v>
      </c>
      <c r="BI10" s="307">
        <v>0</v>
      </c>
      <c r="BJ10" s="433">
        <v>0</v>
      </c>
      <c r="BK10" s="433">
        <v>0</v>
      </c>
      <c r="BL10" s="433">
        <v>0</v>
      </c>
      <c r="BM10" s="433">
        <v>0</v>
      </c>
      <c r="BN10" s="423">
        <f>+AG10</f>
        <v>17333333</v>
      </c>
      <c r="BP10" s="434"/>
      <c r="BR10" s="435">
        <v>0</v>
      </c>
      <c r="BS10" s="435">
        <v>0</v>
      </c>
      <c r="BT10" s="435">
        <v>0</v>
      </c>
      <c r="BU10" s="435">
        <v>0</v>
      </c>
      <c r="BV10" s="435">
        <f>+AX10</f>
        <v>3066667</v>
      </c>
      <c r="BW10" s="435"/>
      <c r="BX10" s="435">
        <v>0</v>
      </c>
      <c r="BY10" s="435">
        <v>0</v>
      </c>
      <c r="BZ10" s="435">
        <v>0</v>
      </c>
      <c r="CA10" s="435">
        <v>0</v>
      </c>
      <c r="CB10" s="435">
        <f>AK10-BV10</f>
        <v>4000000</v>
      </c>
    </row>
    <row r="11" spans="1:80" s="339" customFormat="1" x14ac:dyDescent="0.25">
      <c r="A11" s="339">
        <v>2024</v>
      </c>
      <c r="B11" s="339">
        <v>8</v>
      </c>
      <c r="C11" s="436">
        <v>45292</v>
      </c>
      <c r="D11" s="436">
        <v>45535</v>
      </c>
      <c r="E11" s="339" t="s">
        <v>494</v>
      </c>
      <c r="F11" s="436">
        <v>45512</v>
      </c>
      <c r="G11" s="339" t="s">
        <v>519</v>
      </c>
      <c r="H11" s="339" t="s">
        <v>520</v>
      </c>
      <c r="I11" s="339">
        <v>1428</v>
      </c>
      <c r="J11" s="436">
        <v>45512</v>
      </c>
      <c r="K11" s="436">
        <v>45657</v>
      </c>
      <c r="L11" s="339" t="s">
        <v>519</v>
      </c>
      <c r="M11" s="339" t="s">
        <v>499</v>
      </c>
      <c r="N11" s="339" t="s">
        <v>500</v>
      </c>
      <c r="O11" s="339">
        <v>1544</v>
      </c>
      <c r="P11" s="339">
        <v>1563</v>
      </c>
      <c r="Q11" s="339" t="s">
        <v>564</v>
      </c>
      <c r="R11" s="295" t="s">
        <v>502</v>
      </c>
      <c r="S11" s="339" t="s">
        <v>503</v>
      </c>
      <c r="T11" s="339" t="s">
        <v>504</v>
      </c>
      <c r="U11" s="339" t="s">
        <v>505</v>
      </c>
      <c r="V11" s="339" t="s">
        <v>523</v>
      </c>
      <c r="W11" s="339" t="s">
        <v>524</v>
      </c>
      <c r="X11" s="339" t="s">
        <v>508</v>
      </c>
      <c r="Y11" s="339" t="s">
        <v>509</v>
      </c>
      <c r="Z11" s="339" t="s">
        <v>510</v>
      </c>
      <c r="AA11" s="339" t="s">
        <v>525</v>
      </c>
      <c r="AB11" s="339" t="s">
        <v>526</v>
      </c>
      <c r="AC11" s="339" t="s">
        <v>565</v>
      </c>
      <c r="AD11" s="339" t="s">
        <v>528</v>
      </c>
      <c r="AE11" s="339" t="s">
        <v>566</v>
      </c>
      <c r="AF11" s="339" t="s">
        <v>567</v>
      </c>
      <c r="AG11" s="418">
        <v>37500000</v>
      </c>
      <c r="AH11" s="418">
        <v>2000000</v>
      </c>
      <c r="AI11" s="418">
        <v>0</v>
      </c>
      <c r="AJ11" s="418">
        <v>35500000</v>
      </c>
      <c r="AK11" s="418">
        <v>13000000</v>
      </c>
      <c r="AL11" s="418">
        <v>22500000</v>
      </c>
      <c r="AM11" s="339">
        <v>5000721160</v>
      </c>
      <c r="AN11" s="339">
        <v>1</v>
      </c>
      <c r="AO11" s="339">
        <v>590965</v>
      </c>
      <c r="AP11" s="339">
        <v>1</v>
      </c>
      <c r="AQ11" s="436">
        <v>45512</v>
      </c>
      <c r="AR11" s="437">
        <v>8198</v>
      </c>
      <c r="AS11" s="438">
        <v>7500000</v>
      </c>
      <c r="AT11" s="439">
        <v>45513</v>
      </c>
      <c r="AU11" s="439">
        <v>45657</v>
      </c>
      <c r="AV11" s="440" t="s">
        <v>517</v>
      </c>
      <c r="AW11" s="441">
        <f>+AS11/30*22</f>
        <v>5500000</v>
      </c>
      <c r="AX11" s="442">
        <v>5500000</v>
      </c>
      <c r="AY11" s="441">
        <f t="shared" si="2"/>
        <v>7500000</v>
      </c>
      <c r="AZ11" s="441">
        <v>7500000</v>
      </c>
      <c r="BA11" s="441">
        <f t="shared" si="3"/>
        <v>7500000</v>
      </c>
      <c r="BB11" s="441"/>
      <c r="BC11" s="441">
        <f t="shared" si="4"/>
        <v>7500000</v>
      </c>
      <c r="BD11" s="441"/>
      <c r="BE11" s="441">
        <f>+AS11</f>
        <v>7500000</v>
      </c>
      <c r="BF11" s="443"/>
      <c r="BG11" s="419">
        <f t="shared" si="0"/>
        <v>2000000</v>
      </c>
      <c r="BH11" s="305">
        <f t="shared" si="1"/>
        <v>0</v>
      </c>
      <c r="BI11" s="307">
        <v>2000000</v>
      </c>
      <c r="BJ11" s="444">
        <v>0</v>
      </c>
      <c r="BK11" s="444">
        <v>0</v>
      </c>
      <c r="BL11" s="445">
        <f>+AG11</f>
        <v>37500000</v>
      </c>
      <c r="BM11" s="444">
        <v>0</v>
      </c>
      <c r="BN11" s="444">
        <v>0</v>
      </c>
      <c r="BP11" s="446"/>
      <c r="BR11" s="447">
        <v>0</v>
      </c>
      <c r="BS11" s="447">
        <v>0</v>
      </c>
      <c r="BT11" s="447">
        <f>+AX11</f>
        <v>5500000</v>
      </c>
      <c r="BU11" s="447">
        <v>0</v>
      </c>
      <c r="BV11" s="447">
        <v>0</v>
      </c>
      <c r="BW11" s="447"/>
      <c r="BX11" s="447">
        <v>0</v>
      </c>
      <c r="BY11" s="447">
        <v>0</v>
      </c>
      <c r="BZ11" s="310">
        <f>+AK11-BT11</f>
        <v>7500000</v>
      </c>
      <c r="CA11" s="447">
        <v>0</v>
      </c>
      <c r="CB11" s="447">
        <v>0</v>
      </c>
    </row>
    <row r="12" spans="1:80" s="295" customFormat="1" x14ac:dyDescent="0.25">
      <c r="A12" s="295">
        <v>2024</v>
      </c>
      <c r="B12" s="295">
        <v>8</v>
      </c>
      <c r="C12" s="296">
        <v>45292</v>
      </c>
      <c r="D12" s="296">
        <v>45535</v>
      </c>
      <c r="E12" s="295" t="s">
        <v>494</v>
      </c>
      <c r="F12" s="296">
        <v>45519</v>
      </c>
      <c r="G12" s="295" t="s">
        <v>519</v>
      </c>
      <c r="H12" s="295" t="s">
        <v>520</v>
      </c>
      <c r="I12" s="295" t="s">
        <v>568</v>
      </c>
      <c r="J12" s="296">
        <v>45520</v>
      </c>
      <c r="K12" s="296">
        <v>45657</v>
      </c>
      <c r="L12" s="295" t="s">
        <v>569</v>
      </c>
      <c r="M12" s="295" t="s">
        <v>499</v>
      </c>
      <c r="N12" s="295" t="s">
        <v>500</v>
      </c>
      <c r="O12" s="295">
        <v>1551</v>
      </c>
      <c r="P12" s="295">
        <v>1772</v>
      </c>
      <c r="Q12" s="295" t="s">
        <v>570</v>
      </c>
      <c r="R12" s="295" t="s">
        <v>502</v>
      </c>
      <c r="S12" s="295" t="s">
        <v>503</v>
      </c>
      <c r="T12" s="295" t="s">
        <v>504</v>
      </c>
      <c r="U12" s="295" t="s">
        <v>505</v>
      </c>
      <c r="V12" s="295" t="s">
        <v>523</v>
      </c>
      <c r="W12" s="295" t="s">
        <v>524</v>
      </c>
      <c r="X12" s="295" t="s">
        <v>508</v>
      </c>
      <c r="Y12" s="295" t="s">
        <v>509</v>
      </c>
      <c r="Z12" s="295" t="s">
        <v>510</v>
      </c>
      <c r="AA12" s="295" t="s">
        <v>525</v>
      </c>
      <c r="AB12" s="295" t="s">
        <v>526</v>
      </c>
      <c r="AC12" s="295" t="s">
        <v>571</v>
      </c>
      <c r="AD12" s="295" t="s">
        <v>528</v>
      </c>
      <c r="AE12" s="295" t="s">
        <v>572</v>
      </c>
      <c r="AF12" s="295" t="s">
        <v>573</v>
      </c>
      <c r="AG12" s="418">
        <v>21158776</v>
      </c>
      <c r="AH12" s="418">
        <v>783659</v>
      </c>
      <c r="AI12" s="418">
        <v>0</v>
      </c>
      <c r="AJ12" s="418">
        <v>20375117</v>
      </c>
      <c r="AK12" s="418">
        <v>6269266</v>
      </c>
      <c r="AL12" s="418">
        <v>14105851</v>
      </c>
      <c r="AM12" s="295">
        <v>5000724814</v>
      </c>
      <c r="AN12" s="295">
        <v>1</v>
      </c>
      <c r="AO12" s="295">
        <v>590985</v>
      </c>
      <c r="AP12" s="295">
        <v>1</v>
      </c>
      <c r="AQ12" s="296">
        <v>45519</v>
      </c>
      <c r="AR12" s="298">
        <v>8198</v>
      </c>
      <c r="AS12" s="299">
        <f>5665000*83%</f>
        <v>4701950</v>
      </c>
      <c r="AT12" s="300">
        <v>45525</v>
      </c>
      <c r="AU12" s="300">
        <v>45657</v>
      </c>
      <c r="AV12" s="301" t="s">
        <v>517</v>
      </c>
      <c r="AW12" s="302">
        <f>AS12/30*10</f>
        <v>1567316.6666666665</v>
      </c>
      <c r="AX12" s="412">
        <v>1567316</v>
      </c>
      <c r="AY12" s="302">
        <f t="shared" si="2"/>
        <v>4701950</v>
      </c>
      <c r="AZ12" s="302">
        <v>4701950</v>
      </c>
      <c r="BA12" s="302">
        <f t="shared" si="3"/>
        <v>4701950</v>
      </c>
      <c r="BB12" s="302"/>
      <c r="BC12" s="302">
        <f t="shared" si="4"/>
        <v>4701950</v>
      </c>
      <c r="BD12" s="302"/>
      <c r="BE12" s="302">
        <f>+AS12</f>
        <v>4701950</v>
      </c>
      <c r="BF12" s="303"/>
      <c r="BG12" s="419">
        <f t="shared" si="0"/>
        <v>783659</v>
      </c>
      <c r="BH12" s="305">
        <f t="shared" si="1"/>
        <v>0.3333333358168602</v>
      </c>
      <c r="BI12" s="307">
        <v>783658.33333333326</v>
      </c>
      <c r="BJ12" s="306">
        <v>0</v>
      </c>
      <c r="BK12" s="306">
        <v>0</v>
      </c>
      <c r="BL12" s="307">
        <f>+AG12</f>
        <v>21158776</v>
      </c>
      <c r="BM12" s="306">
        <v>0</v>
      </c>
      <c r="BN12" s="306">
        <v>0</v>
      </c>
      <c r="BP12" s="308"/>
      <c r="BR12" s="310">
        <v>0</v>
      </c>
      <c r="BS12" s="310">
        <v>0</v>
      </c>
      <c r="BT12" s="310">
        <f>+AX12</f>
        <v>1567316</v>
      </c>
      <c r="BU12" s="310">
        <v>0</v>
      </c>
      <c r="BV12" s="310">
        <v>0</v>
      </c>
      <c r="BW12" s="310"/>
      <c r="BX12" s="310">
        <v>0</v>
      </c>
      <c r="BY12" s="310">
        <v>0</v>
      </c>
      <c r="BZ12" s="310">
        <f>+AK12-BT12</f>
        <v>4701950</v>
      </c>
      <c r="CA12" s="310">
        <v>0</v>
      </c>
      <c r="CB12" s="310">
        <v>0</v>
      </c>
    </row>
    <row r="13" spans="1:80" s="295" customFormat="1" x14ac:dyDescent="0.25">
      <c r="A13" s="295">
        <v>2024</v>
      </c>
      <c r="B13" s="295">
        <v>8</v>
      </c>
      <c r="C13" s="296">
        <v>45292</v>
      </c>
      <c r="D13" s="296">
        <v>45535</v>
      </c>
      <c r="E13" s="295" t="s">
        <v>494</v>
      </c>
      <c r="F13" s="296">
        <v>45519</v>
      </c>
      <c r="G13" s="295" t="s">
        <v>519</v>
      </c>
      <c r="H13" s="295" t="s">
        <v>520</v>
      </c>
      <c r="I13" s="295" t="s">
        <v>568</v>
      </c>
      <c r="J13" s="296">
        <v>45520</v>
      </c>
      <c r="K13" s="296">
        <v>45657</v>
      </c>
      <c r="L13" s="295" t="s">
        <v>569</v>
      </c>
      <c r="M13" s="295" t="s">
        <v>499</v>
      </c>
      <c r="N13" s="295" t="s">
        <v>500</v>
      </c>
      <c r="O13" s="295">
        <v>1551</v>
      </c>
      <c r="P13" s="295">
        <v>1772</v>
      </c>
      <c r="Q13" s="295" t="s">
        <v>570</v>
      </c>
      <c r="R13" s="295" t="s">
        <v>502</v>
      </c>
      <c r="S13" s="295" t="s">
        <v>503</v>
      </c>
      <c r="T13" s="295" t="s">
        <v>504</v>
      </c>
      <c r="U13" s="295" t="s">
        <v>505</v>
      </c>
      <c r="V13" s="295" t="s">
        <v>523</v>
      </c>
      <c r="W13" s="295" t="s">
        <v>524</v>
      </c>
      <c r="X13" s="295" t="s">
        <v>508</v>
      </c>
      <c r="Y13" s="295" t="s">
        <v>509</v>
      </c>
      <c r="Z13" s="295" t="s">
        <v>510</v>
      </c>
      <c r="AA13" s="295" t="s">
        <v>525</v>
      </c>
      <c r="AB13" s="295" t="s">
        <v>526</v>
      </c>
      <c r="AC13" s="295" t="s">
        <v>571</v>
      </c>
      <c r="AD13" s="295" t="s">
        <v>528</v>
      </c>
      <c r="AE13" s="295" t="s">
        <v>572</v>
      </c>
      <c r="AF13" s="295" t="s">
        <v>573</v>
      </c>
      <c r="AG13" s="418">
        <v>4333724</v>
      </c>
      <c r="AH13" s="418">
        <v>160508</v>
      </c>
      <c r="AI13" s="418">
        <v>0</v>
      </c>
      <c r="AJ13" s="418">
        <v>4173216</v>
      </c>
      <c r="AK13" s="418">
        <v>1284067</v>
      </c>
      <c r="AL13" s="418">
        <v>2889149</v>
      </c>
      <c r="AM13" s="295">
        <v>5000724814</v>
      </c>
      <c r="AN13" s="295">
        <v>2</v>
      </c>
      <c r="AO13" s="295">
        <v>590985</v>
      </c>
      <c r="AP13" s="295">
        <v>2</v>
      </c>
      <c r="AQ13" s="296">
        <v>45519</v>
      </c>
      <c r="AR13" s="298">
        <v>8198</v>
      </c>
      <c r="AS13" s="299">
        <f>5665000*17%</f>
        <v>963050.00000000012</v>
      </c>
      <c r="AT13" s="300">
        <v>45525</v>
      </c>
      <c r="AU13" s="300">
        <v>45657</v>
      </c>
      <c r="AV13" s="301" t="s">
        <v>517</v>
      </c>
      <c r="AW13" s="302">
        <f>AS13/30*10</f>
        <v>321016.66666666674</v>
      </c>
      <c r="AX13" s="412">
        <v>321017</v>
      </c>
      <c r="AY13" s="302">
        <f t="shared" si="2"/>
        <v>963050.00000000012</v>
      </c>
      <c r="AZ13" s="302">
        <v>963050.00000000012</v>
      </c>
      <c r="BA13" s="302">
        <f t="shared" si="3"/>
        <v>963050.00000000012</v>
      </c>
      <c r="BB13" s="302"/>
      <c r="BC13" s="302">
        <f t="shared" si="4"/>
        <v>963050.00000000012</v>
      </c>
      <c r="BD13" s="302"/>
      <c r="BE13" s="302">
        <f>+AS13</f>
        <v>963050.00000000012</v>
      </c>
      <c r="BF13" s="303"/>
      <c r="BG13" s="419">
        <f t="shared" si="0"/>
        <v>160508</v>
      </c>
      <c r="BH13" s="305">
        <f t="shared" si="1"/>
        <v>-0.66666666697710752</v>
      </c>
      <c r="BI13" s="307">
        <v>160508.33333333337</v>
      </c>
      <c r="BJ13" s="306">
        <v>0</v>
      </c>
      <c r="BK13" s="306">
        <v>0</v>
      </c>
      <c r="BL13" s="306">
        <v>0</v>
      </c>
      <c r="BM13" s="307">
        <f>+AG13</f>
        <v>4333724</v>
      </c>
      <c r="BN13" s="306">
        <v>0</v>
      </c>
      <c r="BO13" s="422"/>
      <c r="BP13" s="308"/>
      <c r="BR13" s="310">
        <v>0</v>
      </c>
      <c r="BS13" s="310">
        <v>0</v>
      </c>
      <c r="BT13" s="310">
        <v>0</v>
      </c>
      <c r="BU13" s="310">
        <f>+AX13</f>
        <v>321017</v>
      </c>
      <c r="BV13" s="310">
        <v>0</v>
      </c>
      <c r="BW13" s="310"/>
      <c r="BX13" s="310">
        <v>0</v>
      </c>
      <c r="BY13" s="310">
        <v>0</v>
      </c>
      <c r="BZ13" s="310">
        <v>0</v>
      </c>
      <c r="CA13" s="310">
        <f>AK13-BU13</f>
        <v>963050</v>
      </c>
      <c r="CB13" s="310">
        <v>0</v>
      </c>
    </row>
    <row r="14" spans="1:80" s="295" customFormat="1" x14ac:dyDescent="0.25">
      <c r="A14" s="295">
        <v>2024</v>
      </c>
      <c r="B14" s="295">
        <v>8</v>
      </c>
      <c r="C14" s="296">
        <v>45292</v>
      </c>
      <c r="D14" s="296">
        <v>45535</v>
      </c>
      <c r="E14" s="295" t="s">
        <v>494</v>
      </c>
      <c r="F14" s="296">
        <v>45524</v>
      </c>
      <c r="G14" s="295" t="s">
        <v>519</v>
      </c>
      <c r="H14" s="295" t="s">
        <v>520</v>
      </c>
      <c r="I14" s="295" t="s">
        <v>574</v>
      </c>
      <c r="J14" s="296">
        <v>45524</v>
      </c>
      <c r="K14" s="296">
        <v>45657</v>
      </c>
      <c r="L14" s="295" t="s">
        <v>575</v>
      </c>
      <c r="M14" s="295" t="s">
        <v>499</v>
      </c>
      <c r="N14" s="295" t="s">
        <v>500</v>
      </c>
      <c r="O14" s="295">
        <v>1566</v>
      </c>
      <c r="P14" s="295">
        <v>1811</v>
      </c>
      <c r="Q14" s="295" t="s">
        <v>576</v>
      </c>
      <c r="R14" s="295" t="s">
        <v>502</v>
      </c>
      <c r="S14" s="295" t="s">
        <v>503</v>
      </c>
      <c r="T14" s="295" t="s">
        <v>504</v>
      </c>
      <c r="U14" s="295" t="s">
        <v>505</v>
      </c>
      <c r="V14" s="295" t="s">
        <v>523</v>
      </c>
      <c r="W14" s="295" t="s">
        <v>524</v>
      </c>
      <c r="X14" s="295" t="s">
        <v>508</v>
      </c>
      <c r="Y14" s="295" t="s">
        <v>509</v>
      </c>
      <c r="Z14" s="295" t="s">
        <v>510</v>
      </c>
      <c r="AA14" s="295" t="s">
        <v>525</v>
      </c>
      <c r="AB14" s="295" t="s">
        <v>526</v>
      </c>
      <c r="AC14" s="295" t="s">
        <v>577</v>
      </c>
      <c r="AD14" s="295" t="s">
        <v>528</v>
      </c>
      <c r="AE14" s="295" t="s">
        <v>578</v>
      </c>
      <c r="AF14" s="295" t="s">
        <v>579</v>
      </c>
      <c r="AG14" s="418">
        <v>15946667</v>
      </c>
      <c r="AH14" s="418">
        <v>245333</v>
      </c>
      <c r="AI14" s="418">
        <v>0</v>
      </c>
      <c r="AJ14" s="418">
        <v>15701334</v>
      </c>
      <c r="AK14" s="418">
        <v>4661334</v>
      </c>
      <c r="AL14" s="418">
        <v>11040000</v>
      </c>
      <c r="AM14" s="295">
        <v>5000726899</v>
      </c>
      <c r="AN14" s="295">
        <v>1</v>
      </c>
      <c r="AO14" s="295">
        <v>591064</v>
      </c>
      <c r="AP14" s="295">
        <v>1</v>
      </c>
      <c r="AQ14" s="296">
        <v>45524</v>
      </c>
      <c r="AR14" s="298">
        <v>8198</v>
      </c>
      <c r="AS14" s="299">
        <f>4600000*80%</f>
        <v>3680000</v>
      </c>
      <c r="AT14" s="300">
        <v>45527</v>
      </c>
      <c r="AU14" s="300">
        <v>45657</v>
      </c>
      <c r="AV14" s="301" t="s">
        <v>517</v>
      </c>
      <c r="AW14" s="302">
        <f>AS14/30*8</f>
        <v>981333.33333333337</v>
      </c>
      <c r="AX14" s="412">
        <v>981334</v>
      </c>
      <c r="AY14" s="302">
        <f t="shared" si="2"/>
        <v>3680000</v>
      </c>
      <c r="AZ14" s="302">
        <v>3680000</v>
      </c>
      <c r="BA14" s="302">
        <f t="shared" si="3"/>
        <v>3680000</v>
      </c>
      <c r="BB14" s="302"/>
      <c r="BC14" s="302">
        <f t="shared" si="4"/>
        <v>3680000</v>
      </c>
      <c r="BD14" s="302"/>
      <c r="BE14" s="302">
        <f t="shared" ref="BE14:BE29" si="5">AS14</f>
        <v>3680000</v>
      </c>
      <c r="BF14" s="303"/>
      <c r="BG14" s="419">
        <f t="shared" si="0"/>
        <v>245333</v>
      </c>
      <c r="BH14" s="305">
        <f t="shared" si="1"/>
        <v>0.6666666679084301</v>
      </c>
      <c r="BI14" s="307">
        <v>245333.33333333334</v>
      </c>
      <c r="BJ14" s="306">
        <v>0</v>
      </c>
      <c r="BK14" s="306">
        <v>0</v>
      </c>
      <c r="BL14" s="307">
        <f>+AJ14</f>
        <v>15701334</v>
      </c>
      <c r="BM14" s="306">
        <v>0</v>
      </c>
      <c r="BN14" s="306">
        <v>0</v>
      </c>
      <c r="BO14" s="308"/>
      <c r="BP14" s="308"/>
      <c r="BR14" s="310">
        <v>0</v>
      </c>
      <c r="BS14" s="310">
        <v>0</v>
      </c>
      <c r="BT14" s="310">
        <f t="shared" ref="BT14" si="6">+AX14</f>
        <v>981334</v>
      </c>
      <c r="BU14" s="310">
        <v>0</v>
      </c>
      <c r="BV14" s="310">
        <v>0</v>
      </c>
      <c r="BW14" s="310"/>
      <c r="BX14" s="310">
        <v>0</v>
      </c>
      <c r="BY14" s="310">
        <v>0</v>
      </c>
      <c r="BZ14" s="310">
        <f>+AK14-BT14</f>
        <v>3680000</v>
      </c>
      <c r="CA14" s="310">
        <v>0</v>
      </c>
      <c r="CB14" s="310">
        <v>0</v>
      </c>
    </row>
    <row r="15" spans="1:80" s="295" customFormat="1" x14ac:dyDescent="0.25">
      <c r="A15" s="295">
        <v>2024</v>
      </c>
      <c r="B15" s="295">
        <v>8</v>
      </c>
      <c r="C15" s="296">
        <v>45292</v>
      </c>
      <c r="D15" s="296">
        <v>45535</v>
      </c>
      <c r="E15" s="295" t="s">
        <v>494</v>
      </c>
      <c r="F15" s="296">
        <v>45524</v>
      </c>
      <c r="G15" s="295" t="s">
        <v>519</v>
      </c>
      <c r="H15" s="295" t="s">
        <v>520</v>
      </c>
      <c r="I15" s="295" t="s">
        <v>574</v>
      </c>
      <c r="J15" s="296">
        <v>45524</v>
      </c>
      <c r="K15" s="296">
        <v>45657</v>
      </c>
      <c r="L15" s="295" t="s">
        <v>575</v>
      </c>
      <c r="M15" s="295" t="s">
        <v>499</v>
      </c>
      <c r="N15" s="295" t="s">
        <v>500</v>
      </c>
      <c r="O15" s="295">
        <v>1566</v>
      </c>
      <c r="P15" s="295">
        <v>1811</v>
      </c>
      <c r="Q15" s="295" t="s">
        <v>576</v>
      </c>
      <c r="R15" s="295" t="s">
        <v>502</v>
      </c>
      <c r="S15" s="295" t="s">
        <v>503</v>
      </c>
      <c r="T15" s="295" t="s">
        <v>504</v>
      </c>
      <c r="U15" s="295" t="s">
        <v>505</v>
      </c>
      <c r="V15" s="295" t="s">
        <v>523</v>
      </c>
      <c r="W15" s="295" t="s">
        <v>524</v>
      </c>
      <c r="X15" s="295" t="s">
        <v>508</v>
      </c>
      <c r="Y15" s="295" t="s">
        <v>509</v>
      </c>
      <c r="Z15" s="295" t="s">
        <v>510</v>
      </c>
      <c r="AA15" s="295" t="s">
        <v>525</v>
      </c>
      <c r="AB15" s="295" t="s">
        <v>526</v>
      </c>
      <c r="AC15" s="295" t="s">
        <v>577</v>
      </c>
      <c r="AD15" s="295" t="s">
        <v>528</v>
      </c>
      <c r="AE15" s="295" t="s">
        <v>578</v>
      </c>
      <c r="AF15" s="295" t="s">
        <v>579</v>
      </c>
      <c r="AG15" s="418">
        <v>3986666</v>
      </c>
      <c r="AH15" s="418">
        <v>61333</v>
      </c>
      <c r="AI15" s="418">
        <v>0</v>
      </c>
      <c r="AJ15" s="418">
        <v>3925333</v>
      </c>
      <c r="AK15" s="418">
        <v>1165333</v>
      </c>
      <c r="AL15" s="418">
        <v>2760000</v>
      </c>
      <c r="AM15" s="295">
        <v>5000726899</v>
      </c>
      <c r="AN15" s="295">
        <v>2</v>
      </c>
      <c r="AO15" s="295">
        <v>591064</v>
      </c>
      <c r="AP15" s="295">
        <v>2</v>
      </c>
      <c r="AQ15" s="296">
        <v>45524</v>
      </c>
      <c r="AR15" s="298">
        <v>8198</v>
      </c>
      <c r="AS15" s="299">
        <f>4600000*20%</f>
        <v>920000</v>
      </c>
      <c r="AT15" s="300">
        <v>45527</v>
      </c>
      <c r="AU15" s="300">
        <v>45657</v>
      </c>
      <c r="AV15" s="301" t="s">
        <v>517</v>
      </c>
      <c r="AW15" s="302">
        <f>AS15/30*8</f>
        <v>245333.33333333334</v>
      </c>
      <c r="AX15" s="412">
        <v>245333</v>
      </c>
      <c r="AY15" s="302">
        <f t="shared" si="2"/>
        <v>920000</v>
      </c>
      <c r="AZ15" s="302">
        <v>920000</v>
      </c>
      <c r="BA15" s="302">
        <f t="shared" si="3"/>
        <v>920000</v>
      </c>
      <c r="BB15" s="302"/>
      <c r="BC15" s="302">
        <f t="shared" si="4"/>
        <v>920000</v>
      </c>
      <c r="BD15" s="302"/>
      <c r="BE15" s="302">
        <f t="shared" si="5"/>
        <v>920000</v>
      </c>
      <c r="BF15" s="303"/>
      <c r="BG15" s="419">
        <f t="shared" si="0"/>
        <v>61333</v>
      </c>
      <c r="BH15" s="305">
        <f t="shared" si="1"/>
        <v>-0.33333333302289248</v>
      </c>
      <c r="BI15" s="307">
        <v>61333.333333333336</v>
      </c>
      <c r="BJ15" s="306">
        <v>0</v>
      </c>
      <c r="BK15" s="306">
        <v>0</v>
      </c>
      <c r="BL15" s="306">
        <v>0</v>
      </c>
      <c r="BM15" s="307">
        <f>+AJ15</f>
        <v>3925333</v>
      </c>
      <c r="BN15" s="306">
        <v>0</v>
      </c>
      <c r="BO15" s="420"/>
      <c r="BP15" s="308"/>
      <c r="BR15" s="310">
        <v>0</v>
      </c>
      <c r="BS15" s="310">
        <v>0</v>
      </c>
      <c r="BT15" s="310">
        <v>0</v>
      </c>
      <c r="BU15" s="310">
        <f t="shared" ref="BU15" si="7">+AX15</f>
        <v>245333</v>
      </c>
      <c r="BV15" s="310">
        <v>0</v>
      </c>
      <c r="BW15" s="310"/>
      <c r="BX15" s="310">
        <v>0</v>
      </c>
      <c r="BY15" s="310">
        <v>0</v>
      </c>
      <c r="BZ15" s="310">
        <v>0</v>
      </c>
      <c r="CA15" s="310">
        <f>AK15-BU15</f>
        <v>920000</v>
      </c>
      <c r="CB15" s="310">
        <v>0</v>
      </c>
    </row>
    <row r="16" spans="1:80" s="295" customFormat="1" x14ac:dyDescent="0.25">
      <c r="A16" s="295">
        <v>2024</v>
      </c>
      <c r="B16" s="295">
        <v>8</v>
      </c>
      <c r="C16" s="296">
        <v>45292</v>
      </c>
      <c r="D16" s="296">
        <v>45535</v>
      </c>
      <c r="E16" s="295" t="s">
        <v>494</v>
      </c>
      <c r="F16" s="296">
        <v>45524</v>
      </c>
      <c r="G16" s="295" t="s">
        <v>519</v>
      </c>
      <c r="H16" s="295" t="s">
        <v>520</v>
      </c>
      <c r="I16" s="295" t="s">
        <v>580</v>
      </c>
      <c r="J16" s="296">
        <v>45524</v>
      </c>
      <c r="K16" s="296">
        <v>45657</v>
      </c>
      <c r="L16" s="295" t="s">
        <v>575</v>
      </c>
      <c r="M16" s="295" t="s">
        <v>499</v>
      </c>
      <c r="N16" s="295" t="s">
        <v>500</v>
      </c>
      <c r="O16" s="295">
        <v>1562</v>
      </c>
      <c r="P16" s="295">
        <v>1813</v>
      </c>
      <c r="Q16" s="295" t="s">
        <v>576</v>
      </c>
      <c r="R16" s="295" t="s">
        <v>502</v>
      </c>
      <c r="S16" s="295" t="s">
        <v>503</v>
      </c>
      <c r="T16" s="295" t="s">
        <v>504</v>
      </c>
      <c r="U16" s="295" t="s">
        <v>505</v>
      </c>
      <c r="V16" s="295" t="s">
        <v>523</v>
      </c>
      <c r="W16" s="295" t="s">
        <v>524</v>
      </c>
      <c r="X16" s="295" t="s">
        <v>508</v>
      </c>
      <c r="Y16" s="295" t="s">
        <v>509</v>
      </c>
      <c r="Z16" s="295" t="s">
        <v>510</v>
      </c>
      <c r="AA16" s="295" t="s">
        <v>525</v>
      </c>
      <c r="AB16" s="295" t="s">
        <v>526</v>
      </c>
      <c r="AC16" s="295" t="s">
        <v>581</v>
      </c>
      <c r="AD16" s="295" t="s">
        <v>528</v>
      </c>
      <c r="AE16" s="295" t="s">
        <v>582</v>
      </c>
      <c r="AF16" s="295" t="s">
        <v>583</v>
      </c>
      <c r="AG16" s="418">
        <v>15946667</v>
      </c>
      <c r="AH16" s="418">
        <v>613333</v>
      </c>
      <c r="AI16" s="418">
        <v>0</v>
      </c>
      <c r="AJ16" s="418">
        <v>15333334</v>
      </c>
      <c r="AK16" s="418">
        <v>4293334</v>
      </c>
      <c r="AL16" s="418">
        <v>11040000</v>
      </c>
      <c r="AM16" s="295">
        <v>5000726902</v>
      </c>
      <c r="AN16" s="295">
        <v>1</v>
      </c>
      <c r="AO16" s="295">
        <v>591024</v>
      </c>
      <c r="AP16" s="295">
        <v>1</v>
      </c>
      <c r="AQ16" s="296">
        <v>45524</v>
      </c>
      <c r="AR16" s="298">
        <v>8198</v>
      </c>
      <c r="AS16" s="299">
        <f>4600000*80%</f>
        <v>3680000</v>
      </c>
      <c r="AT16" s="300">
        <v>45530</v>
      </c>
      <c r="AU16" s="300">
        <v>45657</v>
      </c>
      <c r="AV16" s="301" t="s">
        <v>517</v>
      </c>
      <c r="AW16" s="302">
        <f>AS16/30*5</f>
        <v>613333.33333333337</v>
      </c>
      <c r="AX16" s="412">
        <v>613334</v>
      </c>
      <c r="AY16" s="302">
        <f t="shared" si="2"/>
        <v>3680000</v>
      </c>
      <c r="AZ16" s="302">
        <v>3680000</v>
      </c>
      <c r="BA16" s="302">
        <f t="shared" si="3"/>
        <v>3680000</v>
      </c>
      <c r="BB16" s="302"/>
      <c r="BC16" s="302">
        <f t="shared" si="4"/>
        <v>3680000</v>
      </c>
      <c r="BD16" s="302"/>
      <c r="BE16" s="302">
        <f t="shared" si="5"/>
        <v>3680000</v>
      </c>
      <c r="BF16" s="303"/>
      <c r="BG16" s="419">
        <f t="shared" si="0"/>
        <v>613333</v>
      </c>
      <c r="BH16" s="305">
        <f t="shared" si="1"/>
        <v>0.6666666679084301</v>
      </c>
      <c r="BI16" s="307">
        <v>613333.33333333337</v>
      </c>
      <c r="BJ16" s="306">
        <v>0</v>
      </c>
      <c r="BK16" s="306">
        <v>0</v>
      </c>
      <c r="BL16" s="307">
        <f>+AJ16</f>
        <v>15333334</v>
      </c>
      <c r="BM16" s="306">
        <v>0</v>
      </c>
      <c r="BN16" s="306">
        <v>0</v>
      </c>
      <c r="BP16" s="308"/>
      <c r="BR16" s="310">
        <v>0</v>
      </c>
      <c r="BS16" s="310">
        <v>0</v>
      </c>
      <c r="BT16" s="310">
        <f t="shared" ref="BT16" si="8">+AX16</f>
        <v>613334</v>
      </c>
      <c r="BU16" s="310">
        <v>0</v>
      </c>
      <c r="BV16" s="310">
        <v>0</v>
      </c>
      <c r="BW16" s="310"/>
      <c r="BX16" s="310">
        <v>0</v>
      </c>
      <c r="BY16" s="310">
        <v>0</v>
      </c>
      <c r="BZ16" s="310">
        <f>+AK16-BT16</f>
        <v>3680000</v>
      </c>
      <c r="CA16" s="310">
        <v>0</v>
      </c>
      <c r="CB16" s="310">
        <v>0</v>
      </c>
    </row>
    <row r="17" spans="1:81" s="295" customFormat="1" x14ac:dyDescent="0.25">
      <c r="A17" s="295">
        <v>2024</v>
      </c>
      <c r="B17" s="295">
        <v>8</v>
      </c>
      <c r="C17" s="296">
        <v>45292</v>
      </c>
      <c r="D17" s="296">
        <v>45535</v>
      </c>
      <c r="E17" s="295" t="s">
        <v>494</v>
      </c>
      <c r="F17" s="296">
        <v>45524</v>
      </c>
      <c r="G17" s="295" t="s">
        <v>519</v>
      </c>
      <c r="H17" s="295" t="s">
        <v>520</v>
      </c>
      <c r="I17" s="295" t="s">
        <v>580</v>
      </c>
      <c r="J17" s="296">
        <v>45524</v>
      </c>
      <c r="K17" s="296">
        <v>45657</v>
      </c>
      <c r="L17" s="295" t="s">
        <v>575</v>
      </c>
      <c r="M17" s="295" t="s">
        <v>499</v>
      </c>
      <c r="N17" s="295" t="s">
        <v>500</v>
      </c>
      <c r="O17" s="295">
        <v>1562</v>
      </c>
      <c r="P17" s="295">
        <v>1813</v>
      </c>
      <c r="Q17" s="295" t="s">
        <v>576</v>
      </c>
      <c r="R17" s="295" t="s">
        <v>502</v>
      </c>
      <c r="S17" s="295" t="s">
        <v>503</v>
      </c>
      <c r="T17" s="295" t="s">
        <v>504</v>
      </c>
      <c r="U17" s="295" t="s">
        <v>505</v>
      </c>
      <c r="V17" s="295" t="s">
        <v>523</v>
      </c>
      <c r="W17" s="295" t="s">
        <v>524</v>
      </c>
      <c r="X17" s="295" t="s">
        <v>508</v>
      </c>
      <c r="Y17" s="295" t="s">
        <v>509</v>
      </c>
      <c r="Z17" s="295" t="s">
        <v>510</v>
      </c>
      <c r="AA17" s="295" t="s">
        <v>525</v>
      </c>
      <c r="AB17" s="295" t="s">
        <v>526</v>
      </c>
      <c r="AC17" s="295" t="s">
        <v>581</v>
      </c>
      <c r="AD17" s="295" t="s">
        <v>528</v>
      </c>
      <c r="AE17" s="295" t="s">
        <v>582</v>
      </c>
      <c r="AF17" s="295" t="s">
        <v>583</v>
      </c>
      <c r="AG17" s="418">
        <v>3986666</v>
      </c>
      <c r="AH17" s="418">
        <v>153333</v>
      </c>
      <c r="AI17" s="418">
        <v>0</v>
      </c>
      <c r="AJ17" s="418">
        <v>3833333</v>
      </c>
      <c r="AK17" s="418">
        <v>1073333</v>
      </c>
      <c r="AL17" s="418">
        <v>2760000</v>
      </c>
      <c r="AM17" s="295">
        <v>5000726902</v>
      </c>
      <c r="AN17" s="295">
        <v>2</v>
      </c>
      <c r="AO17" s="295">
        <v>591024</v>
      </c>
      <c r="AP17" s="295">
        <v>2</v>
      </c>
      <c r="AQ17" s="296">
        <v>45524</v>
      </c>
      <c r="AR17" s="298">
        <v>8198</v>
      </c>
      <c r="AS17" s="299">
        <f>4600000*20%</f>
        <v>920000</v>
      </c>
      <c r="AT17" s="300">
        <v>45530</v>
      </c>
      <c r="AU17" s="300">
        <v>45657</v>
      </c>
      <c r="AV17" s="301" t="s">
        <v>517</v>
      </c>
      <c r="AW17" s="302">
        <f>AS17/30*5</f>
        <v>153333.33333333334</v>
      </c>
      <c r="AX17" s="412">
        <v>153333</v>
      </c>
      <c r="AY17" s="302">
        <f t="shared" si="2"/>
        <v>920000</v>
      </c>
      <c r="AZ17" s="302">
        <v>920000</v>
      </c>
      <c r="BA17" s="302">
        <f t="shared" si="3"/>
        <v>920000</v>
      </c>
      <c r="BB17" s="302"/>
      <c r="BC17" s="302">
        <f t="shared" si="4"/>
        <v>920000</v>
      </c>
      <c r="BD17" s="302"/>
      <c r="BE17" s="302">
        <f t="shared" si="5"/>
        <v>920000</v>
      </c>
      <c r="BF17" s="303"/>
      <c r="BG17" s="419">
        <f t="shared" si="0"/>
        <v>153333</v>
      </c>
      <c r="BH17" s="305">
        <f t="shared" si="1"/>
        <v>-0.33333333302289248</v>
      </c>
      <c r="BI17" s="307">
        <v>153333.33333333334</v>
      </c>
      <c r="BJ17" s="306">
        <v>0</v>
      </c>
      <c r="BK17" s="306">
        <v>0</v>
      </c>
      <c r="BL17" s="306">
        <v>0</v>
      </c>
      <c r="BM17" s="307">
        <f>+AJ17</f>
        <v>3833333</v>
      </c>
      <c r="BN17" s="306">
        <v>0</v>
      </c>
      <c r="BP17" s="308"/>
      <c r="BR17" s="310">
        <v>0</v>
      </c>
      <c r="BS17" s="310">
        <v>0</v>
      </c>
      <c r="BT17" s="310">
        <v>0</v>
      </c>
      <c r="BU17" s="310">
        <f t="shared" ref="BU17" si="9">+AX17</f>
        <v>153333</v>
      </c>
      <c r="BV17" s="310">
        <v>0</v>
      </c>
      <c r="BW17" s="310"/>
      <c r="BX17" s="310">
        <v>0</v>
      </c>
      <c r="BY17" s="310">
        <v>0</v>
      </c>
      <c r="BZ17" s="310">
        <v>0</v>
      </c>
      <c r="CA17" s="310">
        <f>AK17-BU17</f>
        <v>920000</v>
      </c>
      <c r="CB17" s="310">
        <v>0</v>
      </c>
    </row>
    <row r="18" spans="1:81" s="295" customFormat="1" x14ac:dyDescent="0.25">
      <c r="A18" s="295">
        <v>2024</v>
      </c>
      <c r="B18" s="295">
        <v>8</v>
      </c>
      <c r="C18" s="296">
        <v>45292</v>
      </c>
      <c r="D18" s="296">
        <v>45535</v>
      </c>
      <c r="E18" s="295" t="s">
        <v>494</v>
      </c>
      <c r="F18" s="296">
        <v>45524</v>
      </c>
      <c r="G18" s="295" t="s">
        <v>519</v>
      </c>
      <c r="H18" s="295" t="s">
        <v>520</v>
      </c>
      <c r="I18" s="295" t="s">
        <v>584</v>
      </c>
      <c r="J18" s="296">
        <v>45524</v>
      </c>
      <c r="K18" s="296">
        <v>45657</v>
      </c>
      <c r="L18" s="295" t="s">
        <v>575</v>
      </c>
      <c r="M18" s="295" t="s">
        <v>499</v>
      </c>
      <c r="N18" s="295" t="s">
        <v>500</v>
      </c>
      <c r="O18" s="295">
        <v>1553</v>
      </c>
      <c r="P18" s="295">
        <v>1815</v>
      </c>
      <c r="Q18" s="295" t="s">
        <v>576</v>
      </c>
      <c r="R18" s="295" t="s">
        <v>502</v>
      </c>
      <c r="S18" s="295" t="s">
        <v>503</v>
      </c>
      <c r="T18" s="295" t="s">
        <v>504</v>
      </c>
      <c r="U18" s="295" t="s">
        <v>505</v>
      </c>
      <c r="V18" s="295" t="s">
        <v>523</v>
      </c>
      <c r="W18" s="295" t="s">
        <v>524</v>
      </c>
      <c r="X18" s="295" t="s">
        <v>508</v>
      </c>
      <c r="Y18" s="295" t="s">
        <v>509</v>
      </c>
      <c r="Z18" s="295" t="s">
        <v>510</v>
      </c>
      <c r="AA18" s="295" t="s">
        <v>525</v>
      </c>
      <c r="AB18" s="295" t="s">
        <v>526</v>
      </c>
      <c r="AC18" s="295" t="s">
        <v>585</v>
      </c>
      <c r="AD18" s="295" t="s">
        <v>528</v>
      </c>
      <c r="AE18" s="295" t="s">
        <v>586</v>
      </c>
      <c r="AF18" s="295" t="s">
        <v>587</v>
      </c>
      <c r="AG18" s="418">
        <v>15946667</v>
      </c>
      <c r="AH18" s="418">
        <v>858666</v>
      </c>
      <c r="AI18" s="418">
        <v>0</v>
      </c>
      <c r="AJ18" s="418">
        <v>15088001</v>
      </c>
      <c r="AK18" s="418">
        <v>4048000</v>
      </c>
      <c r="AL18" s="418">
        <v>11040001</v>
      </c>
      <c r="AM18" s="295">
        <v>5000726904</v>
      </c>
      <c r="AN18" s="295">
        <v>1</v>
      </c>
      <c r="AO18" s="295">
        <v>590991</v>
      </c>
      <c r="AP18" s="295">
        <v>1</v>
      </c>
      <c r="AQ18" s="296">
        <v>45524</v>
      </c>
      <c r="AR18" s="298">
        <v>8198</v>
      </c>
      <c r="AS18" s="299">
        <f>4600000*80%</f>
        <v>3680000</v>
      </c>
      <c r="AT18" s="300">
        <v>45532</v>
      </c>
      <c r="AU18" s="300">
        <v>45657</v>
      </c>
      <c r="AV18" s="301" t="s">
        <v>517</v>
      </c>
      <c r="AW18" s="302">
        <f>AS18/30*3</f>
        <v>368000</v>
      </c>
      <c r="AX18" s="412">
        <v>368000</v>
      </c>
      <c r="AY18" s="302">
        <f t="shared" si="2"/>
        <v>3680000</v>
      </c>
      <c r="AZ18" s="302">
        <v>3680000</v>
      </c>
      <c r="BA18" s="302">
        <f t="shared" si="3"/>
        <v>3680000</v>
      </c>
      <c r="BB18" s="302"/>
      <c r="BC18" s="302">
        <f t="shared" si="4"/>
        <v>3680000</v>
      </c>
      <c r="BD18" s="302"/>
      <c r="BE18" s="302">
        <f t="shared" si="5"/>
        <v>3680000</v>
      </c>
      <c r="BF18" s="303"/>
      <c r="BG18" s="419">
        <f t="shared" si="0"/>
        <v>858666</v>
      </c>
      <c r="BH18" s="305">
        <f t="shared" si="1"/>
        <v>1</v>
      </c>
      <c r="BI18" s="307">
        <v>858666.66666666674</v>
      </c>
      <c r="BJ18" s="306">
        <v>0</v>
      </c>
      <c r="BK18" s="306">
        <v>0</v>
      </c>
      <c r="BL18" s="307">
        <f>+AJ18</f>
        <v>15088001</v>
      </c>
      <c r="BM18" s="306">
        <v>0</v>
      </c>
      <c r="BN18" s="306">
        <v>0</v>
      </c>
      <c r="BP18" s="308"/>
      <c r="BR18" s="310">
        <v>0</v>
      </c>
      <c r="BS18" s="310">
        <v>0</v>
      </c>
      <c r="BT18" s="310">
        <f t="shared" ref="BT18" si="10">+AX18</f>
        <v>368000</v>
      </c>
      <c r="BU18" s="310">
        <v>0</v>
      </c>
      <c r="BV18" s="310">
        <v>0</v>
      </c>
      <c r="BW18" s="310"/>
      <c r="BX18" s="310">
        <v>0</v>
      </c>
      <c r="BY18" s="310">
        <v>0</v>
      </c>
      <c r="BZ18" s="310">
        <f>+AK18-BT18</f>
        <v>3680000</v>
      </c>
      <c r="CA18" s="310">
        <v>0</v>
      </c>
      <c r="CB18" s="310">
        <v>0</v>
      </c>
    </row>
    <row r="19" spans="1:81" s="295" customFormat="1" x14ac:dyDescent="0.25">
      <c r="A19" s="295">
        <v>2024</v>
      </c>
      <c r="B19" s="295">
        <v>8</v>
      </c>
      <c r="C19" s="296">
        <v>45292</v>
      </c>
      <c r="D19" s="296">
        <v>45535</v>
      </c>
      <c r="E19" s="295" t="s">
        <v>494</v>
      </c>
      <c r="F19" s="296">
        <v>45524</v>
      </c>
      <c r="G19" s="295" t="s">
        <v>519</v>
      </c>
      <c r="H19" s="295" t="s">
        <v>520</v>
      </c>
      <c r="I19" s="295" t="s">
        <v>584</v>
      </c>
      <c r="J19" s="296">
        <v>45524</v>
      </c>
      <c r="K19" s="296">
        <v>45657</v>
      </c>
      <c r="L19" s="295" t="s">
        <v>575</v>
      </c>
      <c r="M19" s="295" t="s">
        <v>499</v>
      </c>
      <c r="N19" s="295" t="s">
        <v>500</v>
      </c>
      <c r="O19" s="295">
        <v>1553</v>
      </c>
      <c r="P19" s="295">
        <v>1815</v>
      </c>
      <c r="Q19" s="295" t="s">
        <v>576</v>
      </c>
      <c r="R19" s="295" t="s">
        <v>502</v>
      </c>
      <c r="S19" s="295" t="s">
        <v>503</v>
      </c>
      <c r="T19" s="295" t="s">
        <v>504</v>
      </c>
      <c r="U19" s="295" t="s">
        <v>505</v>
      </c>
      <c r="V19" s="295" t="s">
        <v>523</v>
      </c>
      <c r="W19" s="295" t="s">
        <v>524</v>
      </c>
      <c r="X19" s="295" t="s">
        <v>508</v>
      </c>
      <c r="Y19" s="295" t="s">
        <v>509</v>
      </c>
      <c r="Z19" s="295" t="s">
        <v>510</v>
      </c>
      <c r="AA19" s="295" t="s">
        <v>525</v>
      </c>
      <c r="AB19" s="295" t="s">
        <v>526</v>
      </c>
      <c r="AC19" s="295" t="s">
        <v>585</v>
      </c>
      <c r="AD19" s="295" t="s">
        <v>528</v>
      </c>
      <c r="AE19" s="295" t="s">
        <v>586</v>
      </c>
      <c r="AF19" s="295" t="s">
        <v>587</v>
      </c>
      <c r="AG19" s="418">
        <v>3986666</v>
      </c>
      <c r="AH19" s="418">
        <v>214667</v>
      </c>
      <c r="AI19" s="418">
        <v>0</v>
      </c>
      <c r="AJ19" s="418">
        <v>3771999</v>
      </c>
      <c r="AK19" s="418">
        <v>1012000</v>
      </c>
      <c r="AL19" s="418">
        <v>2759999</v>
      </c>
      <c r="AM19" s="295">
        <v>5000726904</v>
      </c>
      <c r="AN19" s="295">
        <v>2</v>
      </c>
      <c r="AO19" s="295">
        <v>590991</v>
      </c>
      <c r="AP19" s="295">
        <v>2</v>
      </c>
      <c r="AQ19" s="296">
        <v>45524</v>
      </c>
      <c r="AR19" s="298">
        <v>8198</v>
      </c>
      <c r="AS19" s="299">
        <f>4600000*20%</f>
        <v>920000</v>
      </c>
      <c r="AT19" s="300">
        <v>45532</v>
      </c>
      <c r="AU19" s="300">
        <v>45657</v>
      </c>
      <c r="AV19" s="301" t="s">
        <v>517</v>
      </c>
      <c r="AW19" s="302">
        <f>AS19/30*3</f>
        <v>92000</v>
      </c>
      <c r="AX19" s="412">
        <v>92000</v>
      </c>
      <c r="AY19" s="302">
        <f t="shared" si="2"/>
        <v>920000</v>
      </c>
      <c r="AZ19" s="302">
        <v>920000</v>
      </c>
      <c r="BA19" s="302">
        <f t="shared" si="3"/>
        <v>920000</v>
      </c>
      <c r="BB19" s="302"/>
      <c r="BC19" s="302">
        <f t="shared" si="4"/>
        <v>920000</v>
      </c>
      <c r="BD19" s="302"/>
      <c r="BE19" s="302">
        <f t="shared" si="5"/>
        <v>920000</v>
      </c>
      <c r="BF19" s="303"/>
      <c r="BG19" s="419">
        <f t="shared" si="0"/>
        <v>214667</v>
      </c>
      <c r="BH19" s="305">
        <f t="shared" si="1"/>
        <v>-1</v>
      </c>
      <c r="BI19" s="307">
        <v>214666.66666666669</v>
      </c>
      <c r="BJ19" s="306">
        <v>0</v>
      </c>
      <c r="BK19" s="306">
        <v>0</v>
      </c>
      <c r="BL19" s="306">
        <v>0</v>
      </c>
      <c r="BM19" s="307">
        <f>+AJ19</f>
        <v>3771999</v>
      </c>
      <c r="BN19" s="306">
        <v>0</v>
      </c>
      <c r="BP19" s="308"/>
      <c r="BR19" s="310">
        <v>0</v>
      </c>
      <c r="BS19" s="310">
        <v>0</v>
      </c>
      <c r="BT19" s="310">
        <v>0</v>
      </c>
      <c r="BU19" s="310">
        <f t="shared" ref="BU19" si="11">+AX19</f>
        <v>92000</v>
      </c>
      <c r="BV19" s="310">
        <v>0</v>
      </c>
      <c r="BW19" s="310"/>
      <c r="BX19" s="310">
        <v>0</v>
      </c>
      <c r="BY19" s="310">
        <v>0</v>
      </c>
      <c r="BZ19" s="310">
        <v>0</v>
      </c>
      <c r="CA19" s="310">
        <f>AK19-BU19</f>
        <v>920000</v>
      </c>
      <c r="CB19" s="310">
        <v>0</v>
      </c>
    </row>
    <row r="20" spans="1:81" s="295" customFormat="1" x14ac:dyDescent="0.25">
      <c r="A20" s="295">
        <v>2024</v>
      </c>
      <c r="B20" s="295">
        <v>8</v>
      </c>
      <c r="C20" s="296">
        <v>45292</v>
      </c>
      <c r="D20" s="296">
        <v>45535</v>
      </c>
      <c r="E20" s="295" t="s">
        <v>494</v>
      </c>
      <c r="F20" s="296">
        <v>45524</v>
      </c>
      <c r="G20" s="295" t="s">
        <v>519</v>
      </c>
      <c r="H20" s="295" t="s">
        <v>520</v>
      </c>
      <c r="I20" s="295" t="s">
        <v>588</v>
      </c>
      <c r="J20" s="296">
        <v>45524</v>
      </c>
      <c r="K20" s="296">
        <v>45657</v>
      </c>
      <c r="L20" s="295" t="s">
        <v>575</v>
      </c>
      <c r="M20" s="295" t="s">
        <v>499</v>
      </c>
      <c r="N20" s="295" t="s">
        <v>500</v>
      </c>
      <c r="O20" s="295">
        <v>1559</v>
      </c>
      <c r="P20" s="295">
        <v>1817</v>
      </c>
      <c r="Q20" s="295" t="s">
        <v>576</v>
      </c>
      <c r="R20" s="295" t="s">
        <v>502</v>
      </c>
      <c r="S20" s="295" t="s">
        <v>503</v>
      </c>
      <c r="T20" s="295" t="s">
        <v>504</v>
      </c>
      <c r="U20" s="295" t="s">
        <v>505</v>
      </c>
      <c r="V20" s="295" t="s">
        <v>523</v>
      </c>
      <c r="W20" s="295" t="s">
        <v>524</v>
      </c>
      <c r="X20" s="295" t="s">
        <v>508</v>
      </c>
      <c r="Y20" s="295" t="s">
        <v>509</v>
      </c>
      <c r="Z20" s="295" t="s">
        <v>510</v>
      </c>
      <c r="AA20" s="295" t="s">
        <v>525</v>
      </c>
      <c r="AB20" s="295" t="s">
        <v>526</v>
      </c>
      <c r="AC20" s="295" t="s">
        <v>589</v>
      </c>
      <c r="AD20" s="295" t="s">
        <v>528</v>
      </c>
      <c r="AE20" s="295" t="s">
        <v>590</v>
      </c>
      <c r="AF20" s="295" t="s">
        <v>591</v>
      </c>
      <c r="AG20" s="418">
        <v>15946667</v>
      </c>
      <c r="AH20" s="418">
        <v>858666</v>
      </c>
      <c r="AI20" s="418">
        <v>0</v>
      </c>
      <c r="AJ20" s="418">
        <v>15088001</v>
      </c>
      <c r="AK20" s="418">
        <v>4048000</v>
      </c>
      <c r="AL20" s="418">
        <v>11040001</v>
      </c>
      <c r="AM20" s="295">
        <v>5000726908</v>
      </c>
      <c r="AN20" s="295">
        <v>1</v>
      </c>
      <c r="AO20" s="295">
        <v>591006</v>
      </c>
      <c r="AP20" s="295">
        <v>1</v>
      </c>
      <c r="AQ20" s="296">
        <v>45524</v>
      </c>
      <c r="AR20" s="298">
        <v>8198</v>
      </c>
      <c r="AS20" s="299">
        <f>4600000*80%</f>
        <v>3680000</v>
      </c>
      <c r="AT20" s="300">
        <v>45532</v>
      </c>
      <c r="AU20" s="300">
        <v>45657</v>
      </c>
      <c r="AV20" s="301" t="s">
        <v>517</v>
      </c>
      <c r="AW20" s="302">
        <f>AS20/30*3</f>
        <v>368000</v>
      </c>
      <c r="AX20" s="412">
        <v>368000</v>
      </c>
      <c r="AY20" s="302">
        <f t="shared" si="2"/>
        <v>3680000</v>
      </c>
      <c r="AZ20" s="302">
        <v>3680000</v>
      </c>
      <c r="BA20" s="302">
        <f t="shared" si="3"/>
        <v>3680000</v>
      </c>
      <c r="BB20" s="302"/>
      <c r="BC20" s="302">
        <f t="shared" si="4"/>
        <v>3680000</v>
      </c>
      <c r="BD20" s="302"/>
      <c r="BE20" s="302">
        <f t="shared" si="5"/>
        <v>3680000</v>
      </c>
      <c r="BF20" s="303"/>
      <c r="BG20" s="419">
        <f t="shared" si="0"/>
        <v>858666</v>
      </c>
      <c r="BH20" s="305">
        <f t="shared" si="1"/>
        <v>1</v>
      </c>
      <c r="BI20" s="307">
        <v>858666.66666666674</v>
      </c>
      <c r="BJ20" s="306">
        <v>0</v>
      </c>
      <c r="BK20" s="306">
        <v>0</v>
      </c>
      <c r="BL20" s="307">
        <f>+AJ20</f>
        <v>15088001</v>
      </c>
      <c r="BM20" s="306">
        <v>0</v>
      </c>
      <c r="BN20" s="306">
        <v>0</v>
      </c>
      <c r="BP20" s="308"/>
      <c r="BR20" s="310">
        <v>0</v>
      </c>
      <c r="BS20" s="310">
        <v>0</v>
      </c>
      <c r="BT20" s="310">
        <f t="shared" ref="BT20" si="12">+AX20</f>
        <v>368000</v>
      </c>
      <c r="BU20" s="310">
        <v>0</v>
      </c>
      <c r="BV20" s="310">
        <v>0</v>
      </c>
      <c r="BW20" s="310"/>
      <c r="BX20" s="310">
        <v>0</v>
      </c>
      <c r="BY20" s="310">
        <v>0</v>
      </c>
      <c r="BZ20" s="310">
        <f>+AK20-BT20</f>
        <v>3680000</v>
      </c>
      <c r="CA20" s="310">
        <v>0</v>
      </c>
      <c r="CB20" s="310">
        <v>0</v>
      </c>
    </row>
    <row r="21" spans="1:81" s="295" customFormat="1" x14ac:dyDescent="0.25">
      <c r="A21" s="295">
        <v>2024</v>
      </c>
      <c r="B21" s="295">
        <v>8</v>
      </c>
      <c r="C21" s="296">
        <v>45292</v>
      </c>
      <c r="D21" s="296">
        <v>45535</v>
      </c>
      <c r="E21" s="295" t="s">
        <v>494</v>
      </c>
      <c r="F21" s="296">
        <v>45524</v>
      </c>
      <c r="G21" s="295" t="s">
        <v>519</v>
      </c>
      <c r="H21" s="295" t="s">
        <v>520</v>
      </c>
      <c r="I21" s="295" t="s">
        <v>588</v>
      </c>
      <c r="J21" s="296">
        <v>45524</v>
      </c>
      <c r="K21" s="296">
        <v>45657</v>
      </c>
      <c r="L21" s="295" t="s">
        <v>575</v>
      </c>
      <c r="M21" s="295" t="s">
        <v>499</v>
      </c>
      <c r="N21" s="295" t="s">
        <v>500</v>
      </c>
      <c r="O21" s="295">
        <v>1559</v>
      </c>
      <c r="P21" s="295">
        <v>1817</v>
      </c>
      <c r="Q21" s="295" t="s">
        <v>576</v>
      </c>
      <c r="R21" s="295" t="s">
        <v>502</v>
      </c>
      <c r="S21" s="295" t="s">
        <v>503</v>
      </c>
      <c r="T21" s="295" t="s">
        <v>504</v>
      </c>
      <c r="U21" s="295" t="s">
        <v>505</v>
      </c>
      <c r="V21" s="295" t="s">
        <v>523</v>
      </c>
      <c r="W21" s="295" t="s">
        <v>524</v>
      </c>
      <c r="X21" s="295" t="s">
        <v>508</v>
      </c>
      <c r="Y21" s="295" t="s">
        <v>509</v>
      </c>
      <c r="Z21" s="295" t="s">
        <v>510</v>
      </c>
      <c r="AA21" s="295" t="s">
        <v>525</v>
      </c>
      <c r="AB21" s="295" t="s">
        <v>526</v>
      </c>
      <c r="AC21" s="295" t="s">
        <v>589</v>
      </c>
      <c r="AD21" s="295" t="s">
        <v>528</v>
      </c>
      <c r="AE21" s="295" t="s">
        <v>590</v>
      </c>
      <c r="AF21" s="295" t="s">
        <v>591</v>
      </c>
      <c r="AG21" s="418">
        <v>3986666</v>
      </c>
      <c r="AH21" s="418">
        <v>214667</v>
      </c>
      <c r="AI21" s="418">
        <v>0</v>
      </c>
      <c r="AJ21" s="418">
        <v>3771999</v>
      </c>
      <c r="AK21" s="418">
        <v>1012000</v>
      </c>
      <c r="AL21" s="418">
        <v>2759999</v>
      </c>
      <c r="AM21" s="295">
        <v>5000726908</v>
      </c>
      <c r="AN21" s="295">
        <v>2</v>
      </c>
      <c r="AO21" s="295">
        <v>591006</v>
      </c>
      <c r="AP21" s="295">
        <v>2</v>
      </c>
      <c r="AQ21" s="296">
        <v>45524</v>
      </c>
      <c r="AR21" s="298">
        <v>8198</v>
      </c>
      <c r="AS21" s="299">
        <f>4600000*20%</f>
        <v>920000</v>
      </c>
      <c r="AT21" s="300">
        <v>45532</v>
      </c>
      <c r="AU21" s="300">
        <v>45657</v>
      </c>
      <c r="AV21" s="301" t="s">
        <v>517</v>
      </c>
      <c r="AW21" s="302">
        <f>AS21/30*3</f>
        <v>92000</v>
      </c>
      <c r="AX21" s="412">
        <v>92000</v>
      </c>
      <c r="AY21" s="302">
        <f t="shared" si="2"/>
        <v>920000</v>
      </c>
      <c r="AZ21" s="302">
        <v>920000</v>
      </c>
      <c r="BA21" s="302">
        <f t="shared" si="3"/>
        <v>920000</v>
      </c>
      <c r="BB21" s="302"/>
      <c r="BC21" s="302">
        <f t="shared" si="4"/>
        <v>920000</v>
      </c>
      <c r="BD21" s="302"/>
      <c r="BE21" s="302">
        <f t="shared" si="5"/>
        <v>920000</v>
      </c>
      <c r="BF21" s="303"/>
      <c r="BG21" s="419">
        <f t="shared" si="0"/>
        <v>214667</v>
      </c>
      <c r="BH21" s="305">
        <f t="shared" si="1"/>
        <v>-1</v>
      </c>
      <c r="BI21" s="307">
        <v>214666.66666666669</v>
      </c>
      <c r="BJ21" s="306">
        <v>0</v>
      </c>
      <c r="BK21" s="306">
        <v>0</v>
      </c>
      <c r="BL21" s="306">
        <v>0</v>
      </c>
      <c r="BM21" s="307">
        <f>+AJ21</f>
        <v>3771999</v>
      </c>
      <c r="BN21" s="306">
        <v>0</v>
      </c>
      <c r="BP21" s="308"/>
      <c r="BR21" s="310">
        <v>0</v>
      </c>
      <c r="BS21" s="310">
        <v>0</v>
      </c>
      <c r="BT21" s="310">
        <v>0</v>
      </c>
      <c r="BU21" s="310">
        <f t="shared" ref="BU21" si="13">+AX21</f>
        <v>92000</v>
      </c>
      <c r="BV21" s="310">
        <v>0</v>
      </c>
      <c r="BW21" s="310"/>
      <c r="BX21" s="310">
        <v>0</v>
      </c>
      <c r="BY21" s="310">
        <v>0</v>
      </c>
      <c r="BZ21" s="310">
        <v>0</v>
      </c>
      <c r="CA21" s="310">
        <f>AK21-BU21</f>
        <v>920000</v>
      </c>
      <c r="CB21" s="310">
        <v>0</v>
      </c>
    </row>
    <row r="22" spans="1:81" s="295" customFormat="1" x14ac:dyDescent="0.25">
      <c r="A22" s="295">
        <v>2024</v>
      </c>
      <c r="B22" s="295">
        <v>8</v>
      </c>
      <c r="C22" s="296">
        <v>45292</v>
      </c>
      <c r="D22" s="296">
        <v>45535</v>
      </c>
      <c r="E22" s="295" t="s">
        <v>494</v>
      </c>
      <c r="F22" s="296">
        <v>45524</v>
      </c>
      <c r="G22" s="295" t="s">
        <v>519</v>
      </c>
      <c r="H22" s="295" t="s">
        <v>520</v>
      </c>
      <c r="I22" s="295" t="s">
        <v>592</v>
      </c>
      <c r="J22" s="296">
        <v>45524</v>
      </c>
      <c r="K22" s="296">
        <v>45657</v>
      </c>
      <c r="L22" s="295" t="s">
        <v>575</v>
      </c>
      <c r="M22" s="295" t="s">
        <v>499</v>
      </c>
      <c r="N22" s="295" t="s">
        <v>500</v>
      </c>
      <c r="O22" s="295">
        <v>1555</v>
      </c>
      <c r="P22" s="295">
        <v>1819</v>
      </c>
      <c r="Q22" s="295" t="s">
        <v>576</v>
      </c>
      <c r="R22" s="295" t="s">
        <v>502</v>
      </c>
      <c r="S22" s="295" t="s">
        <v>503</v>
      </c>
      <c r="T22" s="295" t="s">
        <v>504</v>
      </c>
      <c r="U22" s="295" t="s">
        <v>505</v>
      </c>
      <c r="V22" s="295" t="s">
        <v>523</v>
      </c>
      <c r="W22" s="295" t="s">
        <v>524</v>
      </c>
      <c r="X22" s="295" t="s">
        <v>508</v>
      </c>
      <c r="Y22" s="295" t="s">
        <v>509</v>
      </c>
      <c r="Z22" s="295" t="s">
        <v>510</v>
      </c>
      <c r="AA22" s="295" t="s">
        <v>525</v>
      </c>
      <c r="AB22" s="295" t="s">
        <v>526</v>
      </c>
      <c r="AC22" s="295" t="s">
        <v>593</v>
      </c>
      <c r="AD22" s="295" t="s">
        <v>528</v>
      </c>
      <c r="AE22" s="295" t="s">
        <v>594</v>
      </c>
      <c r="AF22" s="295" t="s">
        <v>595</v>
      </c>
      <c r="AG22" s="418">
        <v>15946667</v>
      </c>
      <c r="AH22" s="418">
        <v>0</v>
      </c>
      <c r="AI22" s="418">
        <v>0</v>
      </c>
      <c r="AJ22" s="418">
        <v>15946667</v>
      </c>
      <c r="AK22" s="418">
        <v>4906666</v>
      </c>
      <c r="AL22" s="418">
        <v>11040001</v>
      </c>
      <c r="AM22" s="295">
        <v>5000726915</v>
      </c>
      <c r="AN22" s="295">
        <v>1</v>
      </c>
      <c r="AO22" s="295">
        <v>590996</v>
      </c>
      <c r="AP22" s="295">
        <v>1</v>
      </c>
      <c r="AQ22" s="296">
        <v>45524</v>
      </c>
      <c r="AR22" s="298">
        <v>8198</v>
      </c>
      <c r="AS22" s="299">
        <f>4600000*80%</f>
        <v>3680000</v>
      </c>
      <c r="AT22" s="300">
        <v>45525</v>
      </c>
      <c r="AU22" s="300">
        <v>45657</v>
      </c>
      <c r="AV22" s="301" t="s">
        <v>517</v>
      </c>
      <c r="AW22" s="302">
        <f>AS22/30*10</f>
        <v>1226666.6666666667</v>
      </c>
      <c r="AX22" s="412">
        <v>1226666</v>
      </c>
      <c r="AY22" s="302">
        <f t="shared" si="2"/>
        <v>3680000</v>
      </c>
      <c r="AZ22" s="302">
        <v>3680000</v>
      </c>
      <c r="BA22" s="302">
        <f t="shared" si="3"/>
        <v>3680000</v>
      </c>
      <c r="BB22" s="302"/>
      <c r="BC22" s="302">
        <f t="shared" si="4"/>
        <v>3680000</v>
      </c>
      <c r="BD22" s="302"/>
      <c r="BE22" s="302">
        <f t="shared" si="5"/>
        <v>3680000</v>
      </c>
      <c r="BF22" s="303"/>
      <c r="BG22" s="419">
        <f t="shared" si="0"/>
        <v>0</v>
      </c>
      <c r="BH22" s="305">
        <f t="shared" si="1"/>
        <v>0.3333333320915699</v>
      </c>
      <c r="BI22" s="307">
        <v>0</v>
      </c>
      <c r="BJ22" s="306">
        <v>0</v>
      </c>
      <c r="BK22" s="306">
        <v>0</v>
      </c>
      <c r="BL22" s="307">
        <f>+AJ22</f>
        <v>15946667</v>
      </c>
      <c r="BM22" s="306">
        <v>0</v>
      </c>
      <c r="BN22" s="306">
        <v>0</v>
      </c>
      <c r="BP22" s="308"/>
      <c r="BR22" s="310">
        <v>0</v>
      </c>
      <c r="BS22" s="310">
        <v>0</v>
      </c>
      <c r="BT22" s="310">
        <f t="shared" ref="BT22" si="14">+AX22</f>
        <v>1226666</v>
      </c>
      <c r="BU22" s="310">
        <v>0</v>
      </c>
      <c r="BV22" s="310">
        <v>0</v>
      </c>
      <c r="BW22" s="310"/>
      <c r="BX22" s="310">
        <v>0</v>
      </c>
      <c r="BY22" s="310">
        <v>0</v>
      </c>
      <c r="BZ22" s="310">
        <f>+AK22-BT22</f>
        <v>3680000</v>
      </c>
      <c r="CA22" s="310">
        <v>0</v>
      </c>
      <c r="CB22" s="310">
        <v>0</v>
      </c>
    </row>
    <row r="23" spans="1:81" s="295" customFormat="1" x14ac:dyDescent="0.25">
      <c r="A23" s="295">
        <v>2024</v>
      </c>
      <c r="B23" s="295">
        <v>8</v>
      </c>
      <c r="C23" s="296">
        <v>45292</v>
      </c>
      <c r="D23" s="296">
        <v>45535</v>
      </c>
      <c r="E23" s="295" t="s">
        <v>494</v>
      </c>
      <c r="F23" s="296">
        <v>45524</v>
      </c>
      <c r="G23" s="295" t="s">
        <v>519</v>
      </c>
      <c r="H23" s="295" t="s">
        <v>520</v>
      </c>
      <c r="I23" s="295" t="s">
        <v>592</v>
      </c>
      <c r="J23" s="296">
        <v>45524</v>
      </c>
      <c r="K23" s="296">
        <v>45657</v>
      </c>
      <c r="L23" s="295" t="s">
        <v>575</v>
      </c>
      <c r="M23" s="295" t="s">
        <v>499</v>
      </c>
      <c r="N23" s="295" t="s">
        <v>500</v>
      </c>
      <c r="O23" s="295">
        <v>1555</v>
      </c>
      <c r="P23" s="295">
        <v>1819</v>
      </c>
      <c r="Q23" s="295" t="s">
        <v>576</v>
      </c>
      <c r="R23" s="295" t="s">
        <v>502</v>
      </c>
      <c r="S23" s="295" t="s">
        <v>503</v>
      </c>
      <c r="T23" s="295" t="s">
        <v>504</v>
      </c>
      <c r="U23" s="295" t="s">
        <v>505</v>
      </c>
      <c r="V23" s="295" t="s">
        <v>523</v>
      </c>
      <c r="W23" s="295" t="s">
        <v>524</v>
      </c>
      <c r="X23" s="295" t="s">
        <v>508</v>
      </c>
      <c r="Y23" s="295" t="s">
        <v>509</v>
      </c>
      <c r="Z23" s="295" t="s">
        <v>510</v>
      </c>
      <c r="AA23" s="295" t="s">
        <v>525</v>
      </c>
      <c r="AB23" s="295" t="s">
        <v>526</v>
      </c>
      <c r="AC23" s="295" t="s">
        <v>593</v>
      </c>
      <c r="AD23" s="295" t="s">
        <v>528</v>
      </c>
      <c r="AE23" s="295" t="s">
        <v>594</v>
      </c>
      <c r="AF23" s="295" t="s">
        <v>595</v>
      </c>
      <c r="AG23" s="418">
        <v>3986666</v>
      </c>
      <c r="AH23" s="418">
        <v>0</v>
      </c>
      <c r="AI23" s="418">
        <v>0</v>
      </c>
      <c r="AJ23" s="418">
        <v>3986666</v>
      </c>
      <c r="AK23" s="418">
        <v>1226667</v>
      </c>
      <c r="AL23" s="418">
        <v>2759999</v>
      </c>
      <c r="AM23" s="295">
        <v>5000726915</v>
      </c>
      <c r="AN23" s="295">
        <v>2</v>
      </c>
      <c r="AO23" s="295">
        <v>590996</v>
      </c>
      <c r="AP23" s="295">
        <v>2</v>
      </c>
      <c r="AQ23" s="296">
        <v>45524</v>
      </c>
      <c r="AR23" s="298">
        <v>8198</v>
      </c>
      <c r="AS23" s="299">
        <f>4600000*20%</f>
        <v>920000</v>
      </c>
      <c r="AT23" s="300">
        <v>45525</v>
      </c>
      <c r="AU23" s="300">
        <v>45657</v>
      </c>
      <c r="AV23" s="301" t="s">
        <v>517</v>
      </c>
      <c r="AW23" s="302">
        <f>AS23/30*10</f>
        <v>306666.66666666669</v>
      </c>
      <c r="AX23" s="412">
        <v>306667</v>
      </c>
      <c r="AY23" s="302">
        <f t="shared" si="2"/>
        <v>920000</v>
      </c>
      <c r="AZ23" s="302">
        <v>920000</v>
      </c>
      <c r="BA23" s="302">
        <f t="shared" si="3"/>
        <v>920000</v>
      </c>
      <c r="BB23" s="302"/>
      <c r="BC23" s="302">
        <f t="shared" si="4"/>
        <v>920000</v>
      </c>
      <c r="BD23" s="302"/>
      <c r="BE23" s="302">
        <f t="shared" si="5"/>
        <v>920000</v>
      </c>
      <c r="BF23" s="303"/>
      <c r="BG23" s="419">
        <f t="shared" si="0"/>
        <v>0</v>
      </c>
      <c r="BH23" s="305">
        <f t="shared" si="1"/>
        <v>-0.66666666697710752</v>
      </c>
      <c r="BI23" s="307">
        <v>0</v>
      </c>
      <c r="BJ23" s="306">
        <v>0</v>
      </c>
      <c r="BK23" s="306">
        <v>0</v>
      </c>
      <c r="BL23" s="306">
        <v>0</v>
      </c>
      <c r="BM23" s="307">
        <f>+AJ23</f>
        <v>3986666</v>
      </c>
      <c r="BN23" s="306">
        <v>0</v>
      </c>
      <c r="BP23" s="308"/>
      <c r="BR23" s="310">
        <v>0</v>
      </c>
      <c r="BS23" s="310">
        <v>0</v>
      </c>
      <c r="BT23" s="310">
        <v>0</v>
      </c>
      <c r="BU23" s="310">
        <f t="shared" ref="BU23" si="15">+AX23</f>
        <v>306667</v>
      </c>
      <c r="BV23" s="310">
        <v>0</v>
      </c>
      <c r="BW23" s="310"/>
      <c r="BX23" s="310">
        <v>0</v>
      </c>
      <c r="BY23" s="310">
        <v>0</v>
      </c>
      <c r="BZ23" s="310">
        <v>0</v>
      </c>
      <c r="CA23" s="310">
        <f>AK23-BU23</f>
        <v>920000</v>
      </c>
      <c r="CB23" s="310">
        <v>0</v>
      </c>
    </row>
    <row r="24" spans="1:81" s="295" customFormat="1" x14ac:dyDescent="0.25">
      <c r="A24" s="295">
        <v>2024</v>
      </c>
      <c r="B24" s="295">
        <v>8</v>
      </c>
      <c r="C24" s="296">
        <v>45292</v>
      </c>
      <c r="D24" s="296">
        <v>45535</v>
      </c>
      <c r="E24" s="295" t="s">
        <v>494</v>
      </c>
      <c r="F24" s="296">
        <v>45524</v>
      </c>
      <c r="G24" s="295" t="s">
        <v>519</v>
      </c>
      <c r="H24" s="295" t="s">
        <v>520</v>
      </c>
      <c r="I24" s="295" t="s">
        <v>596</v>
      </c>
      <c r="J24" s="296">
        <v>45525</v>
      </c>
      <c r="K24" s="296">
        <v>45655</v>
      </c>
      <c r="L24" s="295" t="s">
        <v>597</v>
      </c>
      <c r="M24" s="295" t="s">
        <v>499</v>
      </c>
      <c r="N24" s="295" t="s">
        <v>500</v>
      </c>
      <c r="O24" s="295">
        <v>1560</v>
      </c>
      <c r="P24" s="295">
        <v>1834</v>
      </c>
      <c r="Q24" s="295" t="s">
        <v>576</v>
      </c>
      <c r="R24" s="295" t="s">
        <v>502</v>
      </c>
      <c r="S24" s="295" t="s">
        <v>503</v>
      </c>
      <c r="T24" s="295" t="s">
        <v>504</v>
      </c>
      <c r="U24" s="295" t="s">
        <v>505</v>
      </c>
      <c r="V24" s="295" t="s">
        <v>523</v>
      </c>
      <c r="W24" s="295" t="s">
        <v>524</v>
      </c>
      <c r="X24" s="295" t="s">
        <v>508</v>
      </c>
      <c r="Y24" s="295" t="s">
        <v>509</v>
      </c>
      <c r="Z24" s="295" t="s">
        <v>510</v>
      </c>
      <c r="AA24" s="295" t="s">
        <v>525</v>
      </c>
      <c r="AB24" s="295" t="s">
        <v>526</v>
      </c>
      <c r="AC24" s="295" t="s">
        <v>598</v>
      </c>
      <c r="AD24" s="295" t="s">
        <v>528</v>
      </c>
      <c r="AE24" s="295" t="s">
        <v>599</v>
      </c>
      <c r="AF24" s="295" t="s">
        <v>600</v>
      </c>
      <c r="AG24" s="418">
        <v>15946667</v>
      </c>
      <c r="AH24" s="418">
        <v>0</v>
      </c>
      <c r="AI24" s="418">
        <v>0</v>
      </c>
      <c r="AJ24" s="418">
        <v>15946667</v>
      </c>
      <c r="AK24" s="418">
        <v>4906666</v>
      </c>
      <c r="AL24" s="418">
        <v>11040001</v>
      </c>
      <c r="AM24" s="295">
        <v>5000727533</v>
      </c>
      <c r="AN24" s="295">
        <v>1</v>
      </c>
      <c r="AO24" s="295">
        <v>591018</v>
      </c>
      <c r="AP24" s="295">
        <v>1</v>
      </c>
      <c r="AQ24" s="296">
        <v>45524</v>
      </c>
      <c r="AR24" s="298">
        <v>8198</v>
      </c>
      <c r="AS24" s="299">
        <f>4600000*80%</f>
        <v>3680000</v>
      </c>
      <c r="AT24" s="300">
        <v>45525</v>
      </c>
      <c r="AU24" s="300">
        <v>45657</v>
      </c>
      <c r="AV24" s="301" t="s">
        <v>517</v>
      </c>
      <c r="AW24" s="302">
        <f>AS24/30*10</f>
        <v>1226666.6666666667</v>
      </c>
      <c r="AX24" s="412">
        <v>1226666</v>
      </c>
      <c r="AY24" s="302">
        <f t="shared" si="2"/>
        <v>3680000</v>
      </c>
      <c r="AZ24" s="302">
        <v>3680000</v>
      </c>
      <c r="BA24" s="302">
        <f t="shared" si="3"/>
        <v>3680000</v>
      </c>
      <c r="BB24" s="302"/>
      <c r="BC24" s="302">
        <f t="shared" si="4"/>
        <v>3680000</v>
      </c>
      <c r="BD24" s="302"/>
      <c r="BE24" s="302">
        <f t="shared" si="5"/>
        <v>3680000</v>
      </c>
      <c r="BF24" s="303"/>
      <c r="BG24" s="419">
        <f t="shared" si="0"/>
        <v>0</v>
      </c>
      <c r="BH24" s="305">
        <f t="shared" si="1"/>
        <v>0.3333333320915699</v>
      </c>
      <c r="BI24" s="307">
        <v>0</v>
      </c>
      <c r="BJ24" s="306">
        <v>0</v>
      </c>
      <c r="BK24" s="306">
        <v>0</v>
      </c>
      <c r="BL24" s="307">
        <f>+AJ24</f>
        <v>15946667</v>
      </c>
      <c r="BM24" s="306">
        <v>0</v>
      </c>
      <c r="BN24" s="306">
        <v>0</v>
      </c>
      <c r="BP24" s="308"/>
      <c r="BR24" s="310">
        <v>0</v>
      </c>
      <c r="BS24" s="310">
        <v>0</v>
      </c>
      <c r="BT24" s="310">
        <f t="shared" ref="BT24" si="16">+AX24</f>
        <v>1226666</v>
      </c>
      <c r="BU24" s="310">
        <v>0</v>
      </c>
      <c r="BV24" s="310">
        <v>0</v>
      </c>
      <c r="BW24" s="310"/>
      <c r="BX24" s="310">
        <v>0</v>
      </c>
      <c r="BY24" s="310">
        <v>0</v>
      </c>
      <c r="BZ24" s="310">
        <f>+AK24-BT24</f>
        <v>3680000</v>
      </c>
      <c r="CA24" s="310">
        <v>0</v>
      </c>
      <c r="CB24" s="310">
        <v>0</v>
      </c>
    </row>
    <row r="25" spans="1:81" s="295" customFormat="1" x14ac:dyDescent="0.25">
      <c r="A25" s="295">
        <v>2024</v>
      </c>
      <c r="B25" s="295">
        <v>8</v>
      </c>
      <c r="C25" s="296">
        <v>45292</v>
      </c>
      <c r="D25" s="296">
        <v>45535</v>
      </c>
      <c r="E25" s="295" t="s">
        <v>494</v>
      </c>
      <c r="F25" s="296">
        <v>45524</v>
      </c>
      <c r="G25" s="295" t="s">
        <v>519</v>
      </c>
      <c r="H25" s="295" t="s">
        <v>520</v>
      </c>
      <c r="I25" s="295" t="s">
        <v>596</v>
      </c>
      <c r="J25" s="296">
        <v>45525</v>
      </c>
      <c r="K25" s="296">
        <v>45655</v>
      </c>
      <c r="L25" s="295" t="s">
        <v>597</v>
      </c>
      <c r="M25" s="295" t="s">
        <v>499</v>
      </c>
      <c r="N25" s="295" t="s">
        <v>500</v>
      </c>
      <c r="O25" s="295">
        <v>1560</v>
      </c>
      <c r="P25" s="295">
        <v>1834</v>
      </c>
      <c r="Q25" s="295" t="s">
        <v>576</v>
      </c>
      <c r="R25" s="295" t="s">
        <v>502</v>
      </c>
      <c r="S25" s="295" t="s">
        <v>503</v>
      </c>
      <c r="T25" s="295" t="s">
        <v>504</v>
      </c>
      <c r="U25" s="295" t="s">
        <v>505</v>
      </c>
      <c r="V25" s="295" t="s">
        <v>523</v>
      </c>
      <c r="W25" s="295" t="s">
        <v>524</v>
      </c>
      <c r="X25" s="295" t="s">
        <v>508</v>
      </c>
      <c r="Y25" s="295" t="s">
        <v>509</v>
      </c>
      <c r="Z25" s="295" t="s">
        <v>510</v>
      </c>
      <c r="AA25" s="295" t="s">
        <v>525</v>
      </c>
      <c r="AB25" s="295" t="s">
        <v>526</v>
      </c>
      <c r="AC25" s="295" t="s">
        <v>598</v>
      </c>
      <c r="AD25" s="295" t="s">
        <v>528</v>
      </c>
      <c r="AE25" s="295" t="s">
        <v>599</v>
      </c>
      <c r="AF25" s="295" t="s">
        <v>600</v>
      </c>
      <c r="AG25" s="418">
        <v>3986666</v>
      </c>
      <c r="AH25" s="418">
        <v>0</v>
      </c>
      <c r="AI25" s="418">
        <v>0</v>
      </c>
      <c r="AJ25" s="418">
        <v>3986666</v>
      </c>
      <c r="AK25" s="418">
        <v>1226667</v>
      </c>
      <c r="AL25" s="418">
        <v>2759999</v>
      </c>
      <c r="AM25" s="295">
        <v>5000727533</v>
      </c>
      <c r="AN25" s="295">
        <v>2</v>
      </c>
      <c r="AO25" s="295">
        <v>591018</v>
      </c>
      <c r="AP25" s="295">
        <v>2</v>
      </c>
      <c r="AQ25" s="296">
        <v>45524</v>
      </c>
      <c r="AR25" s="298">
        <v>8198</v>
      </c>
      <c r="AS25" s="299">
        <f>4600000*20%</f>
        <v>920000</v>
      </c>
      <c r="AT25" s="300">
        <v>45525</v>
      </c>
      <c r="AU25" s="300">
        <v>45657</v>
      </c>
      <c r="AV25" s="301" t="s">
        <v>517</v>
      </c>
      <c r="AW25" s="302">
        <f>AS25/30*10</f>
        <v>306666.66666666669</v>
      </c>
      <c r="AX25" s="412">
        <v>306667</v>
      </c>
      <c r="AY25" s="302">
        <f t="shared" si="2"/>
        <v>920000</v>
      </c>
      <c r="AZ25" s="302">
        <v>920000</v>
      </c>
      <c r="BA25" s="302">
        <f t="shared" si="3"/>
        <v>920000</v>
      </c>
      <c r="BB25" s="302"/>
      <c r="BC25" s="302">
        <f t="shared" si="4"/>
        <v>920000</v>
      </c>
      <c r="BD25" s="302"/>
      <c r="BE25" s="302">
        <f t="shared" si="5"/>
        <v>920000</v>
      </c>
      <c r="BF25" s="303"/>
      <c r="BG25" s="419">
        <f t="shared" si="0"/>
        <v>0</v>
      </c>
      <c r="BH25" s="305">
        <f t="shared" si="1"/>
        <v>-0.66666666697710752</v>
      </c>
      <c r="BI25" s="307">
        <v>0</v>
      </c>
      <c r="BJ25" s="306">
        <v>0</v>
      </c>
      <c r="BK25" s="306">
        <v>0</v>
      </c>
      <c r="BL25" s="306">
        <v>0</v>
      </c>
      <c r="BM25" s="307">
        <f>+AJ25</f>
        <v>3986666</v>
      </c>
      <c r="BN25" s="306">
        <v>0</v>
      </c>
      <c r="BP25" s="308"/>
      <c r="BR25" s="310">
        <v>0</v>
      </c>
      <c r="BS25" s="310">
        <v>0</v>
      </c>
      <c r="BT25" s="310">
        <v>0</v>
      </c>
      <c r="BU25" s="310">
        <f t="shared" ref="BU25" si="17">+AX25</f>
        <v>306667</v>
      </c>
      <c r="BV25" s="310">
        <v>0</v>
      </c>
      <c r="BW25" s="310"/>
      <c r="BX25" s="310">
        <v>0</v>
      </c>
      <c r="BY25" s="310">
        <v>0</v>
      </c>
      <c r="BZ25" s="310">
        <v>0</v>
      </c>
      <c r="CA25" s="310">
        <f>AK25-BU25</f>
        <v>920000</v>
      </c>
      <c r="CB25" s="310">
        <v>0</v>
      </c>
    </row>
    <row r="26" spans="1:81" s="295" customFormat="1" x14ac:dyDescent="0.25">
      <c r="A26" s="295">
        <v>2024</v>
      </c>
      <c r="B26" s="295">
        <v>8</v>
      </c>
      <c r="C26" s="296">
        <v>45292</v>
      </c>
      <c r="D26" s="296">
        <v>45535</v>
      </c>
      <c r="E26" s="295" t="s">
        <v>494</v>
      </c>
      <c r="F26" s="296">
        <v>45524</v>
      </c>
      <c r="G26" s="295" t="s">
        <v>519</v>
      </c>
      <c r="H26" s="295" t="s">
        <v>520</v>
      </c>
      <c r="I26" s="295" t="s">
        <v>601</v>
      </c>
      <c r="J26" s="296">
        <v>45525</v>
      </c>
      <c r="K26" s="296">
        <v>45657</v>
      </c>
      <c r="L26" s="295" t="s">
        <v>602</v>
      </c>
      <c r="M26" s="295" t="s">
        <v>499</v>
      </c>
      <c r="N26" s="295" t="s">
        <v>500</v>
      </c>
      <c r="O26" s="295">
        <v>1558</v>
      </c>
      <c r="P26" s="295">
        <v>1835</v>
      </c>
      <c r="Q26" s="295" t="s">
        <v>576</v>
      </c>
      <c r="R26" s="295" t="s">
        <v>502</v>
      </c>
      <c r="S26" s="295" t="s">
        <v>503</v>
      </c>
      <c r="T26" s="295" t="s">
        <v>504</v>
      </c>
      <c r="U26" s="295" t="s">
        <v>505</v>
      </c>
      <c r="V26" s="295" t="s">
        <v>523</v>
      </c>
      <c r="W26" s="295" t="s">
        <v>524</v>
      </c>
      <c r="X26" s="295" t="s">
        <v>508</v>
      </c>
      <c r="Y26" s="295" t="s">
        <v>509</v>
      </c>
      <c r="Z26" s="295" t="s">
        <v>510</v>
      </c>
      <c r="AA26" s="295" t="s">
        <v>525</v>
      </c>
      <c r="AB26" s="295" t="s">
        <v>526</v>
      </c>
      <c r="AC26" s="295" t="s">
        <v>603</v>
      </c>
      <c r="AD26" s="295" t="s">
        <v>528</v>
      </c>
      <c r="AE26" s="295" t="s">
        <v>604</v>
      </c>
      <c r="AF26" s="295" t="s">
        <v>605</v>
      </c>
      <c r="AG26" s="418">
        <v>15946667</v>
      </c>
      <c r="AH26" s="418">
        <v>245333</v>
      </c>
      <c r="AI26" s="418">
        <v>0</v>
      </c>
      <c r="AJ26" s="418">
        <v>15701334</v>
      </c>
      <c r="AK26" s="418">
        <v>4661334</v>
      </c>
      <c r="AL26" s="418">
        <v>11040000</v>
      </c>
      <c r="AM26" s="295">
        <v>5000727535</v>
      </c>
      <c r="AN26" s="295">
        <v>1</v>
      </c>
      <c r="AO26" s="295">
        <v>591001</v>
      </c>
      <c r="AP26" s="295">
        <v>1</v>
      </c>
      <c r="AQ26" s="296">
        <v>45524</v>
      </c>
      <c r="AR26" s="298">
        <v>8198</v>
      </c>
      <c r="AS26" s="299">
        <f>4600000*80%</f>
        <v>3680000</v>
      </c>
      <c r="AT26" s="300">
        <v>45527</v>
      </c>
      <c r="AU26" s="300">
        <v>45657</v>
      </c>
      <c r="AV26" s="301" t="s">
        <v>517</v>
      </c>
      <c r="AW26" s="302">
        <f>AS26/30*8</f>
        <v>981333.33333333337</v>
      </c>
      <c r="AX26" s="412">
        <v>981334</v>
      </c>
      <c r="AY26" s="302">
        <f t="shared" si="2"/>
        <v>3680000</v>
      </c>
      <c r="AZ26" s="302">
        <v>3680000</v>
      </c>
      <c r="BA26" s="302">
        <f t="shared" si="3"/>
        <v>3680000</v>
      </c>
      <c r="BB26" s="302"/>
      <c r="BC26" s="302">
        <f t="shared" si="4"/>
        <v>3680000</v>
      </c>
      <c r="BD26" s="302"/>
      <c r="BE26" s="302">
        <f t="shared" si="5"/>
        <v>3680000</v>
      </c>
      <c r="BF26" s="303"/>
      <c r="BG26" s="419">
        <f t="shared" si="0"/>
        <v>245333</v>
      </c>
      <c r="BH26" s="305">
        <f t="shared" si="1"/>
        <v>0.6666666679084301</v>
      </c>
      <c r="BI26" s="307">
        <v>245333.33333333334</v>
      </c>
      <c r="BJ26" s="306">
        <v>0</v>
      </c>
      <c r="BK26" s="306">
        <v>0</v>
      </c>
      <c r="BL26" s="307">
        <f>+AJ26</f>
        <v>15701334</v>
      </c>
      <c r="BM26" s="306">
        <v>0</v>
      </c>
      <c r="BN26" s="306">
        <v>0</v>
      </c>
      <c r="BP26" s="308"/>
      <c r="BR26" s="310">
        <v>0</v>
      </c>
      <c r="BS26" s="310">
        <v>0</v>
      </c>
      <c r="BT26" s="310">
        <f t="shared" ref="BT26" si="18">+AX26</f>
        <v>981334</v>
      </c>
      <c r="BU26" s="310">
        <v>0</v>
      </c>
      <c r="BV26" s="310">
        <v>0</v>
      </c>
      <c r="BW26" s="310"/>
      <c r="BX26" s="310">
        <v>0</v>
      </c>
      <c r="BY26" s="310">
        <v>0</v>
      </c>
      <c r="BZ26" s="310">
        <f>+AK26-BT26</f>
        <v>3680000</v>
      </c>
      <c r="CA26" s="310">
        <v>0</v>
      </c>
      <c r="CB26" s="310">
        <v>0</v>
      </c>
    </row>
    <row r="27" spans="1:81" s="295" customFormat="1" x14ac:dyDescent="0.25">
      <c r="A27" s="295">
        <v>2024</v>
      </c>
      <c r="B27" s="295">
        <v>8</v>
      </c>
      <c r="C27" s="296">
        <v>45292</v>
      </c>
      <c r="D27" s="296">
        <v>45535</v>
      </c>
      <c r="E27" s="295" t="s">
        <v>494</v>
      </c>
      <c r="F27" s="296">
        <v>45524</v>
      </c>
      <c r="G27" s="295" t="s">
        <v>519</v>
      </c>
      <c r="H27" s="295" t="s">
        <v>520</v>
      </c>
      <c r="I27" s="295" t="s">
        <v>601</v>
      </c>
      <c r="J27" s="296">
        <v>45525</v>
      </c>
      <c r="K27" s="296">
        <v>45657</v>
      </c>
      <c r="L27" s="295" t="s">
        <v>602</v>
      </c>
      <c r="M27" s="295" t="s">
        <v>499</v>
      </c>
      <c r="N27" s="295" t="s">
        <v>500</v>
      </c>
      <c r="O27" s="295">
        <v>1558</v>
      </c>
      <c r="P27" s="295">
        <v>1835</v>
      </c>
      <c r="Q27" s="295" t="s">
        <v>576</v>
      </c>
      <c r="R27" s="295" t="s">
        <v>502</v>
      </c>
      <c r="S27" s="295" t="s">
        <v>503</v>
      </c>
      <c r="T27" s="295" t="s">
        <v>504</v>
      </c>
      <c r="U27" s="295" t="s">
        <v>505</v>
      </c>
      <c r="V27" s="295" t="s">
        <v>523</v>
      </c>
      <c r="W27" s="295" t="s">
        <v>524</v>
      </c>
      <c r="X27" s="295" t="s">
        <v>508</v>
      </c>
      <c r="Y27" s="295" t="s">
        <v>509</v>
      </c>
      <c r="Z27" s="295" t="s">
        <v>510</v>
      </c>
      <c r="AA27" s="295" t="s">
        <v>525</v>
      </c>
      <c r="AB27" s="295" t="s">
        <v>526</v>
      </c>
      <c r="AC27" s="295" t="s">
        <v>603</v>
      </c>
      <c r="AD27" s="295" t="s">
        <v>528</v>
      </c>
      <c r="AE27" s="295" t="s">
        <v>604</v>
      </c>
      <c r="AF27" s="295" t="s">
        <v>605</v>
      </c>
      <c r="AG27" s="418">
        <v>3986666</v>
      </c>
      <c r="AH27" s="418">
        <v>61333</v>
      </c>
      <c r="AI27" s="418">
        <v>0</v>
      </c>
      <c r="AJ27" s="418">
        <v>3925333</v>
      </c>
      <c r="AK27" s="418">
        <v>1165333</v>
      </c>
      <c r="AL27" s="418">
        <v>2760000</v>
      </c>
      <c r="AM27" s="295">
        <v>5000727535</v>
      </c>
      <c r="AN27" s="295">
        <v>2</v>
      </c>
      <c r="AO27" s="295">
        <v>591001</v>
      </c>
      <c r="AP27" s="295">
        <v>2</v>
      </c>
      <c r="AQ27" s="296">
        <v>45524</v>
      </c>
      <c r="AR27" s="298">
        <v>8198</v>
      </c>
      <c r="AS27" s="299">
        <f>4600000*20%</f>
        <v>920000</v>
      </c>
      <c r="AT27" s="300">
        <v>45527</v>
      </c>
      <c r="AU27" s="300">
        <v>45657</v>
      </c>
      <c r="AV27" s="301" t="s">
        <v>517</v>
      </c>
      <c r="AW27" s="302">
        <f>AS27/30*8</f>
        <v>245333.33333333334</v>
      </c>
      <c r="AX27" s="412">
        <v>245333</v>
      </c>
      <c r="AY27" s="302">
        <f t="shared" si="2"/>
        <v>920000</v>
      </c>
      <c r="AZ27" s="302">
        <v>920000</v>
      </c>
      <c r="BA27" s="302">
        <f t="shared" si="3"/>
        <v>920000</v>
      </c>
      <c r="BB27" s="302"/>
      <c r="BC27" s="302">
        <f t="shared" si="4"/>
        <v>920000</v>
      </c>
      <c r="BD27" s="302"/>
      <c r="BE27" s="302">
        <f t="shared" si="5"/>
        <v>920000</v>
      </c>
      <c r="BF27" s="303"/>
      <c r="BG27" s="419">
        <f t="shared" si="0"/>
        <v>61333</v>
      </c>
      <c r="BH27" s="305">
        <f t="shared" si="1"/>
        <v>-0.33333333302289248</v>
      </c>
      <c r="BI27" s="307">
        <v>61333.333333333336</v>
      </c>
      <c r="BJ27" s="306">
        <v>0</v>
      </c>
      <c r="BK27" s="306">
        <v>0</v>
      </c>
      <c r="BL27" s="306">
        <v>0</v>
      </c>
      <c r="BM27" s="307">
        <f>+AJ27</f>
        <v>3925333</v>
      </c>
      <c r="BN27" s="306">
        <v>0</v>
      </c>
      <c r="BP27" s="308"/>
      <c r="BR27" s="310">
        <v>0</v>
      </c>
      <c r="BS27" s="310">
        <v>0</v>
      </c>
      <c r="BT27" s="310">
        <v>0</v>
      </c>
      <c r="BU27" s="310">
        <f t="shared" ref="BU27" si="19">+AX27</f>
        <v>245333</v>
      </c>
      <c r="BV27" s="310">
        <v>0</v>
      </c>
      <c r="BW27" s="310"/>
      <c r="BX27" s="310">
        <v>0</v>
      </c>
      <c r="BY27" s="310">
        <v>0</v>
      </c>
      <c r="BZ27" s="310">
        <v>0</v>
      </c>
      <c r="CA27" s="310">
        <f>AK27-BU27</f>
        <v>920000</v>
      </c>
      <c r="CB27" s="310">
        <v>0</v>
      </c>
    </row>
    <row r="28" spans="1:81" s="295" customFormat="1" x14ac:dyDescent="0.25">
      <c r="A28" s="295">
        <v>2024</v>
      </c>
      <c r="B28" s="295">
        <v>8</v>
      </c>
      <c r="C28" s="296">
        <v>45292</v>
      </c>
      <c r="D28" s="296">
        <v>45535</v>
      </c>
      <c r="E28" s="295" t="s">
        <v>494</v>
      </c>
      <c r="F28" s="296">
        <v>45524</v>
      </c>
      <c r="G28" s="295" t="s">
        <v>519</v>
      </c>
      <c r="H28" s="295" t="s">
        <v>520</v>
      </c>
      <c r="I28" s="295" t="s">
        <v>606</v>
      </c>
      <c r="J28" s="296">
        <v>45525</v>
      </c>
      <c r="K28" s="296">
        <v>45657</v>
      </c>
      <c r="L28" s="295" t="s">
        <v>602</v>
      </c>
      <c r="M28" s="295" t="s">
        <v>499</v>
      </c>
      <c r="N28" s="295" t="s">
        <v>500</v>
      </c>
      <c r="O28" s="295">
        <v>1564</v>
      </c>
      <c r="P28" s="295">
        <v>1836</v>
      </c>
      <c r="Q28" s="295" t="s">
        <v>576</v>
      </c>
      <c r="R28" s="295" t="s">
        <v>502</v>
      </c>
      <c r="S28" s="295" t="s">
        <v>503</v>
      </c>
      <c r="T28" s="295" t="s">
        <v>504</v>
      </c>
      <c r="U28" s="295" t="s">
        <v>505</v>
      </c>
      <c r="V28" s="295" t="s">
        <v>523</v>
      </c>
      <c r="W28" s="295" t="s">
        <v>524</v>
      </c>
      <c r="X28" s="295" t="s">
        <v>508</v>
      </c>
      <c r="Y28" s="295" t="s">
        <v>509</v>
      </c>
      <c r="Z28" s="295" t="s">
        <v>510</v>
      </c>
      <c r="AA28" s="295" t="s">
        <v>525</v>
      </c>
      <c r="AB28" s="295" t="s">
        <v>526</v>
      </c>
      <c r="AC28" s="295" t="s">
        <v>607</v>
      </c>
      <c r="AD28" s="295" t="s">
        <v>528</v>
      </c>
      <c r="AE28" s="295" t="s">
        <v>608</v>
      </c>
      <c r="AF28" s="295" t="s">
        <v>609</v>
      </c>
      <c r="AG28" s="418">
        <v>15946667</v>
      </c>
      <c r="AH28" s="418">
        <v>613333</v>
      </c>
      <c r="AI28" s="418">
        <v>0</v>
      </c>
      <c r="AJ28" s="418">
        <v>15333334</v>
      </c>
      <c r="AK28" s="418">
        <v>4293334</v>
      </c>
      <c r="AL28" s="418">
        <v>11040000</v>
      </c>
      <c r="AM28" s="295">
        <v>5000727546</v>
      </c>
      <c r="AN28" s="295">
        <v>1</v>
      </c>
      <c r="AO28" s="295">
        <v>591051</v>
      </c>
      <c r="AP28" s="295">
        <v>1</v>
      </c>
      <c r="AQ28" s="296">
        <v>45524</v>
      </c>
      <c r="AR28" s="298">
        <v>8198</v>
      </c>
      <c r="AS28" s="299">
        <f>4600000*80%</f>
        <v>3680000</v>
      </c>
      <c r="AT28" s="300">
        <v>45530</v>
      </c>
      <c r="AU28" s="300">
        <v>45657</v>
      </c>
      <c r="AV28" s="301" t="s">
        <v>517</v>
      </c>
      <c r="AW28" s="302">
        <f>AS28/30*5</f>
        <v>613333.33333333337</v>
      </c>
      <c r="AX28" s="412">
        <v>613334</v>
      </c>
      <c r="AY28" s="302">
        <f t="shared" si="2"/>
        <v>3680000</v>
      </c>
      <c r="AZ28" s="302">
        <v>3680000</v>
      </c>
      <c r="BA28" s="302">
        <f t="shared" si="3"/>
        <v>3680000</v>
      </c>
      <c r="BB28" s="302"/>
      <c r="BC28" s="302">
        <f t="shared" si="4"/>
        <v>3680000</v>
      </c>
      <c r="BD28" s="302"/>
      <c r="BE28" s="302">
        <f t="shared" si="5"/>
        <v>3680000</v>
      </c>
      <c r="BF28" s="303"/>
      <c r="BG28" s="419">
        <f t="shared" si="0"/>
        <v>613333</v>
      </c>
      <c r="BH28" s="305">
        <f t="shared" si="1"/>
        <v>0.6666666679084301</v>
      </c>
      <c r="BI28" s="307">
        <v>613333.33333333337</v>
      </c>
      <c r="BJ28" s="306">
        <v>0</v>
      </c>
      <c r="BK28" s="306">
        <v>0</v>
      </c>
      <c r="BL28" s="307">
        <f>+AJ28</f>
        <v>15333334</v>
      </c>
      <c r="BM28" s="306">
        <v>0</v>
      </c>
      <c r="BN28" s="306">
        <v>0</v>
      </c>
      <c r="BP28" s="308"/>
      <c r="BR28" s="310">
        <v>0</v>
      </c>
      <c r="BS28" s="310">
        <v>0</v>
      </c>
      <c r="BT28" s="310">
        <f t="shared" ref="BT28" si="20">+AX28</f>
        <v>613334</v>
      </c>
      <c r="BU28" s="310">
        <v>0</v>
      </c>
      <c r="BV28" s="310">
        <v>0</v>
      </c>
      <c r="BW28" s="310"/>
      <c r="BX28" s="310">
        <v>0</v>
      </c>
      <c r="BY28" s="310">
        <v>0</v>
      </c>
      <c r="BZ28" s="310">
        <f>+AK28-BT28</f>
        <v>3680000</v>
      </c>
      <c r="CA28" s="310">
        <v>0</v>
      </c>
      <c r="CB28" s="310">
        <v>0</v>
      </c>
    </row>
    <row r="29" spans="1:81" s="295" customFormat="1" x14ac:dyDescent="0.25">
      <c r="A29" s="295">
        <v>2024</v>
      </c>
      <c r="B29" s="295">
        <v>8</v>
      </c>
      <c r="C29" s="296">
        <v>45292</v>
      </c>
      <c r="D29" s="296">
        <v>45535</v>
      </c>
      <c r="E29" s="295" t="s">
        <v>494</v>
      </c>
      <c r="F29" s="296">
        <v>45524</v>
      </c>
      <c r="G29" s="295" t="s">
        <v>519</v>
      </c>
      <c r="H29" s="295" t="s">
        <v>520</v>
      </c>
      <c r="I29" s="295" t="s">
        <v>606</v>
      </c>
      <c r="J29" s="296">
        <v>45525</v>
      </c>
      <c r="K29" s="296">
        <v>45657</v>
      </c>
      <c r="L29" s="295" t="s">
        <v>602</v>
      </c>
      <c r="M29" s="295" t="s">
        <v>499</v>
      </c>
      <c r="N29" s="295" t="s">
        <v>500</v>
      </c>
      <c r="O29" s="295">
        <v>1564</v>
      </c>
      <c r="P29" s="295">
        <v>1836</v>
      </c>
      <c r="Q29" s="295" t="s">
        <v>576</v>
      </c>
      <c r="R29" s="295" t="s">
        <v>502</v>
      </c>
      <c r="S29" s="295" t="s">
        <v>503</v>
      </c>
      <c r="T29" s="295" t="s">
        <v>504</v>
      </c>
      <c r="U29" s="295" t="s">
        <v>505</v>
      </c>
      <c r="V29" s="295" t="s">
        <v>523</v>
      </c>
      <c r="W29" s="295" t="s">
        <v>524</v>
      </c>
      <c r="X29" s="295" t="s">
        <v>508</v>
      </c>
      <c r="Y29" s="295" t="s">
        <v>509</v>
      </c>
      <c r="Z29" s="295" t="s">
        <v>510</v>
      </c>
      <c r="AA29" s="295" t="s">
        <v>525</v>
      </c>
      <c r="AB29" s="295" t="s">
        <v>526</v>
      </c>
      <c r="AC29" s="295" t="s">
        <v>607</v>
      </c>
      <c r="AD29" s="295" t="s">
        <v>528</v>
      </c>
      <c r="AE29" s="295" t="s">
        <v>608</v>
      </c>
      <c r="AF29" s="295" t="s">
        <v>609</v>
      </c>
      <c r="AG29" s="418">
        <v>3986666</v>
      </c>
      <c r="AH29" s="418">
        <v>153333</v>
      </c>
      <c r="AI29" s="418">
        <v>0</v>
      </c>
      <c r="AJ29" s="418">
        <v>3833333</v>
      </c>
      <c r="AK29" s="418">
        <v>1073333</v>
      </c>
      <c r="AL29" s="418">
        <v>2760000</v>
      </c>
      <c r="AM29" s="295">
        <v>5000727546</v>
      </c>
      <c r="AN29" s="295">
        <v>2</v>
      </c>
      <c r="AO29" s="295">
        <v>591051</v>
      </c>
      <c r="AP29" s="295">
        <v>2</v>
      </c>
      <c r="AQ29" s="296">
        <v>45524</v>
      </c>
      <c r="AR29" s="298">
        <v>8198</v>
      </c>
      <c r="AS29" s="299">
        <f>4600000*20%</f>
        <v>920000</v>
      </c>
      <c r="AT29" s="300">
        <v>45530</v>
      </c>
      <c r="AU29" s="300">
        <v>45657</v>
      </c>
      <c r="AV29" s="301" t="s">
        <v>517</v>
      </c>
      <c r="AW29" s="302">
        <f>AS29/30*5</f>
        <v>153333.33333333334</v>
      </c>
      <c r="AX29" s="412">
        <v>153333</v>
      </c>
      <c r="AY29" s="302">
        <f t="shared" si="2"/>
        <v>920000</v>
      </c>
      <c r="AZ29" s="302">
        <v>920000</v>
      </c>
      <c r="BA29" s="302">
        <f t="shared" si="3"/>
        <v>920000</v>
      </c>
      <c r="BB29" s="302"/>
      <c r="BC29" s="302">
        <f t="shared" si="4"/>
        <v>920000</v>
      </c>
      <c r="BD29" s="302"/>
      <c r="BE29" s="302">
        <f t="shared" si="5"/>
        <v>920000</v>
      </c>
      <c r="BF29" s="303"/>
      <c r="BG29" s="419">
        <f t="shared" si="0"/>
        <v>153333</v>
      </c>
      <c r="BH29" s="305">
        <f t="shared" si="1"/>
        <v>-0.33333333302289248</v>
      </c>
      <c r="BI29" s="307">
        <v>153333.33333333334</v>
      </c>
      <c r="BJ29" s="306">
        <v>0</v>
      </c>
      <c r="BK29" s="306">
        <v>0</v>
      </c>
      <c r="BL29" s="306">
        <v>0</v>
      </c>
      <c r="BM29" s="307">
        <f>+AJ29</f>
        <v>3833333</v>
      </c>
      <c r="BN29" s="306">
        <v>0</v>
      </c>
      <c r="BP29" s="308"/>
      <c r="BR29" s="310">
        <v>0</v>
      </c>
      <c r="BS29" s="310">
        <v>0</v>
      </c>
      <c r="BT29" s="310">
        <v>0</v>
      </c>
      <c r="BU29" s="310">
        <f t="shared" ref="BU29" si="21">+AX29</f>
        <v>153333</v>
      </c>
      <c r="BV29" s="310">
        <v>0</v>
      </c>
      <c r="BW29" s="310"/>
      <c r="BX29" s="310">
        <v>0</v>
      </c>
      <c r="BY29" s="310">
        <v>0</v>
      </c>
      <c r="BZ29" s="310">
        <v>0</v>
      </c>
      <c r="CA29" s="310">
        <f>AK29-BU29</f>
        <v>920000</v>
      </c>
      <c r="CB29" s="310">
        <v>0</v>
      </c>
    </row>
    <row r="30" spans="1:81" s="295" customFormat="1" x14ac:dyDescent="0.25">
      <c r="A30" s="448" t="s">
        <v>610</v>
      </c>
      <c r="B30" s="448" t="s">
        <v>525</v>
      </c>
      <c r="C30" s="449">
        <v>45292</v>
      </c>
      <c r="D30" s="449">
        <v>45596</v>
      </c>
      <c r="E30" s="448" t="s">
        <v>494</v>
      </c>
      <c r="F30" s="449">
        <v>45572</v>
      </c>
      <c r="G30" s="448" t="s">
        <v>519</v>
      </c>
      <c r="H30" s="448" t="s">
        <v>520</v>
      </c>
      <c r="I30" s="448" t="s">
        <v>611</v>
      </c>
      <c r="J30" s="449">
        <v>45572</v>
      </c>
      <c r="K30" s="449">
        <v>45657</v>
      </c>
      <c r="L30" s="448" t="s">
        <v>612</v>
      </c>
      <c r="M30" s="448" t="s">
        <v>499</v>
      </c>
      <c r="N30" s="448" t="s">
        <v>500</v>
      </c>
      <c r="O30" s="448">
        <v>1478</v>
      </c>
      <c r="P30" s="448">
        <v>2101</v>
      </c>
      <c r="Q30" s="448" t="s">
        <v>613</v>
      </c>
      <c r="R30" s="448" t="s">
        <v>502</v>
      </c>
      <c r="S30" s="448" t="s">
        <v>503</v>
      </c>
      <c r="T30" s="448" t="s">
        <v>504</v>
      </c>
      <c r="U30" s="448" t="s">
        <v>614</v>
      </c>
      <c r="V30" s="448" t="s">
        <v>532</v>
      </c>
      <c r="W30" s="448" t="s">
        <v>533</v>
      </c>
      <c r="X30" s="448" t="s">
        <v>508</v>
      </c>
      <c r="Y30" s="295" t="s">
        <v>509</v>
      </c>
      <c r="Z30" s="448" t="s">
        <v>510</v>
      </c>
      <c r="AA30" s="295" t="s">
        <v>525</v>
      </c>
      <c r="AB30" s="295" t="s">
        <v>526</v>
      </c>
      <c r="AD30" s="448" t="s">
        <v>528</v>
      </c>
      <c r="AE30" s="448" t="s">
        <v>615</v>
      </c>
      <c r="AF30" s="448" t="s">
        <v>616</v>
      </c>
      <c r="AG30" s="418">
        <v>28500000</v>
      </c>
      <c r="AH30" s="418">
        <v>0</v>
      </c>
      <c r="AI30" s="418">
        <v>0</v>
      </c>
      <c r="AJ30" s="418">
        <v>28500000</v>
      </c>
      <c r="AK30" s="418">
        <v>0</v>
      </c>
      <c r="AL30" s="418">
        <v>28500000</v>
      </c>
      <c r="AM30" s="448">
        <v>5000748465</v>
      </c>
      <c r="AN30" s="448">
        <v>1</v>
      </c>
      <c r="AO30" s="448">
        <v>590577</v>
      </c>
      <c r="AP30" s="448">
        <v>1</v>
      </c>
      <c r="AQ30" s="449">
        <v>45572</v>
      </c>
      <c r="AR30" s="298">
        <v>8198</v>
      </c>
      <c r="AS30" s="299">
        <v>9500000</v>
      </c>
      <c r="AT30" s="300">
        <v>45576</v>
      </c>
      <c r="AU30" s="300">
        <v>45657</v>
      </c>
      <c r="AV30" s="301" t="s">
        <v>517</v>
      </c>
      <c r="AW30" s="302">
        <v>0</v>
      </c>
      <c r="AX30" s="412">
        <v>0</v>
      </c>
      <c r="AY30" s="302">
        <v>0</v>
      </c>
      <c r="AZ30" s="302"/>
      <c r="BA30" s="302">
        <f>9500000/30*20</f>
        <v>6333333.333333334</v>
      </c>
      <c r="BB30" s="302"/>
      <c r="BC30" s="302">
        <v>9500000</v>
      </c>
      <c r="BD30" s="302"/>
      <c r="BE30" s="302">
        <v>9500000</v>
      </c>
      <c r="BF30" s="303"/>
      <c r="BG30" s="419">
        <f>9500000/30*10</f>
        <v>3166666.666666667</v>
      </c>
      <c r="BH30" s="305">
        <f t="shared" si="1"/>
        <v>0</v>
      </c>
      <c r="BI30" s="307"/>
      <c r="BJ30" s="306">
        <v>0</v>
      </c>
      <c r="BK30" s="306">
        <v>0</v>
      </c>
      <c r="BL30" s="307">
        <f>+AJ30</f>
        <v>28500000</v>
      </c>
      <c r="BM30" s="307">
        <v>0</v>
      </c>
      <c r="BN30" s="306">
        <v>0</v>
      </c>
      <c r="BP30" s="308"/>
      <c r="BR30" s="310">
        <v>0</v>
      </c>
      <c r="BS30" s="310">
        <v>0</v>
      </c>
      <c r="BT30" s="310">
        <v>0</v>
      </c>
      <c r="BU30" s="310">
        <v>0</v>
      </c>
      <c r="BV30" s="310">
        <v>0</v>
      </c>
      <c r="BW30" s="310"/>
      <c r="BX30" s="310">
        <v>0</v>
      </c>
      <c r="BY30" s="310">
        <v>0</v>
      </c>
      <c r="BZ30" s="310">
        <f>+AK30-BT30</f>
        <v>0</v>
      </c>
      <c r="CA30" s="310">
        <v>0</v>
      </c>
      <c r="CB30" s="310">
        <v>0</v>
      </c>
    </row>
    <row r="31" spans="1:81" s="295" customFormat="1" x14ac:dyDescent="0.25">
      <c r="C31" s="296"/>
      <c r="D31" s="296"/>
      <c r="F31" s="296"/>
      <c r="J31" s="296"/>
      <c r="K31" s="296"/>
      <c r="AG31" s="297"/>
      <c r="AH31" s="297"/>
      <c r="AI31" s="297"/>
      <c r="AJ31" s="297"/>
      <c r="AK31" s="412"/>
      <c r="AL31" s="297"/>
      <c r="AQ31" s="296"/>
      <c r="AR31" s="298"/>
      <c r="AS31" s="299"/>
      <c r="AT31" s="300"/>
      <c r="AU31" s="300"/>
      <c r="AV31" s="301"/>
      <c r="AW31" s="302"/>
      <c r="AX31" s="412"/>
      <c r="AY31" s="302"/>
      <c r="AZ31" s="302"/>
      <c r="BA31" s="302"/>
      <c r="BB31" s="302"/>
      <c r="BC31" s="302"/>
      <c r="BD31" s="302"/>
      <c r="BE31" s="302"/>
      <c r="BF31" s="303"/>
      <c r="BG31" s="419"/>
      <c r="BH31" s="305"/>
      <c r="BI31" s="297"/>
      <c r="BJ31" s="306"/>
      <c r="BK31" s="306"/>
      <c r="BL31" s="306"/>
      <c r="BM31" s="307"/>
      <c r="BN31" s="306"/>
      <c r="BP31" s="308"/>
      <c r="BR31" s="435">
        <f>SUM(BR2:BR30)</f>
        <v>9654190</v>
      </c>
      <c r="BS31" s="435">
        <f>SUM(BS2:BS30)</f>
        <v>0</v>
      </c>
      <c r="BT31" s="435">
        <f>SUM(BT2:BT30)</f>
        <v>32741317</v>
      </c>
      <c r="BU31" s="435">
        <f>SUM(BU2:BU30)</f>
        <v>7203016</v>
      </c>
      <c r="BV31" s="435">
        <f>SUM(BV2:BV30)</f>
        <v>7098467</v>
      </c>
      <c r="BW31" s="450">
        <f>BR31+BS31+BT31+BU31+BV31</f>
        <v>56696990</v>
      </c>
      <c r="BX31" s="435">
        <f>SUM(BX2:BX30)</f>
        <v>11139450</v>
      </c>
      <c r="BY31" s="435">
        <f>SUM(BY2:BY30)</f>
        <v>0</v>
      </c>
      <c r="BZ31" s="435">
        <f>SUM(BZ2:BZ30)</f>
        <v>65846950</v>
      </c>
      <c r="CA31" s="435">
        <f>SUM(CA2:CA30)</f>
        <v>15533050</v>
      </c>
      <c r="CB31" s="435">
        <f>SUM(CB2:CB30)</f>
        <v>10366000</v>
      </c>
      <c r="CC31" s="450">
        <f>BX31+BY31+BZ31+CA31+CB31</f>
        <v>102885450</v>
      </c>
    </row>
    <row r="32" spans="1:81" s="295" customFormat="1" x14ac:dyDescent="0.25">
      <c r="C32" s="296"/>
      <c r="D32" s="296"/>
      <c r="F32" s="296"/>
      <c r="J32" s="296"/>
      <c r="K32" s="296"/>
      <c r="AG32" s="297"/>
      <c r="AH32" s="297"/>
      <c r="AI32" s="297"/>
      <c r="AJ32" s="297"/>
      <c r="AK32" s="412"/>
      <c r="AL32" s="297"/>
      <c r="AQ32" s="296"/>
      <c r="AR32" s="298"/>
      <c r="AS32" s="299"/>
      <c r="AT32" s="300"/>
      <c r="AU32" s="300"/>
      <c r="AV32" s="301"/>
      <c r="AW32" s="302"/>
      <c r="AX32" s="412"/>
      <c r="AY32" s="302"/>
      <c r="AZ32" s="302"/>
      <c r="BA32" s="302"/>
      <c r="BB32" s="302"/>
      <c r="BC32" s="302"/>
      <c r="BD32" s="302"/>
      <c r="BE32" s="302"/>
      <c r="BF32" s="303"/>
      <c r="BG32" s="419"/>
      <c r="BH32" s="305"/>
      <c r="BI32" s="297"/>
      <c r="BJ32" s="306"/>
      <c r="BK32" s="306"/>
      <c r="BL32" s="306"/>
      <c r="BM32" s="307"/>
      <c r="BN32" s="306"/>
      <c r="BP32" s="308"/>
      <c r="BR32" s="310"/>
      <c r="BS32" s="310"/>
      <c r="BT32" s="310"/>
      <c r="BU32" s="310"/>
      <c r="BV32" s="310"/>
      <c r="BW32" s="310"/>
    </row>
    <row r="33" spans="1:75" s="295" customFormat="1" ht="12" x14ac:dyDescent="0.25">
      <c r="C33" s="296"/>
      <c r="D33" s="296"/>
      <c r="F33" s="296"/>
      <c r="J33" s="296"/>
      <c r="K33" s="296"/>
      <c r="AF33" s="295" t="s">
        <v>617</v>
      </c>
      <c r="AG33" s="297">
        <f>7210000*3</f>
        <v>21630000</v>
      </c>
      <c r="AH33" s="297"/>
      <c r="AI33" s="297"/>
      <c r="AJ33" s="297"/>
      <c r="AK33" s="297"/>
      <c r="AL33" s="297">
        <f>5665000*2</f>
        <v>11330000</v>
      </c>
      <c r="AQ33" s="296"/>
      <c r="AR33" s="298"/>
      <c r="AS33" s="299"/>
      <c r="AT33" s="300"/>
      <c r="AU33" s="300"/>
      <c r="AV33" s="301"/>
      <c r="AW33" s="302"/>
      <c r="AX33" s="302"/>
      <c r="AY33" s="302">
        <v>0</v>
      </c>
      <c r="AZ33" s="302"/>
      <c r="BA33" s="302">
        <v>0</v>
      </c>
      <c r="BB33" s="302"/>
      <c r="BC33" s="302">
        <f>5665000/30*20</f>
        <v>3776666.666666667</v>
      </c>
      <c r="BD33" s="302"/>
      <c r="BE33" s="302">
        <v>5665000</v>
      </c>
      <c r="BF33" s="303"/>
      <c r="BG33" s="419">
        <f>5665000/30*10</f>
        <v>1888333.3333333335</v>
      </c>
      <c r="BH33" s="305">
        <f>AL33-SUM(AW33+AY33+BA33+BC33+BE33+BG33)</f>
        <v>0</v>
      </c>
      <c r="BI33" s="297"/>
      <c r="BJ33" s="306"/>
      <c r="BK33" s="306"/>
      <c r="BL33" s="306"/>
      <c r="BM33" s="307"/>
      <c r="BN33" s="306"/>
      <c r="BO33" s="295">
        <v>573562104</v>
      </c>
      <c r="BP33" s="308"/>
      <c r="BR33" s="310">
        <v>0</v>
      </c>
      <c r="BS33" s="310">
        <v>0</v>
      </c>
      <c r="BT33" s="310">
        <v>0</v>
      </c>
      <c r="BU33" s="310">
        <v>0</v>
      </c>
      <c r="BV33" s="310">
        <v>0</v>
      </c>
      <c r="BW33" s="310"/>
    </row>
    <row r="34" spans="1:75" s="295" customFormat="1" ht="12" x14ac:dyDescent="0.25">
      <c r="C34" s="296"/>
      <c r="D34" s="296"/>
      <c r="F34" s="296"/>
      <c r="J34" s="296"/>
      <c r="K34" s="296"/>
      <c r="AF34" s="295" t="s">
        <v>618</v>
      </c>
      <c r="AG34" s="297">
        <f>9000000*2</f>
        <v>18000000</v>
      </c>
      <c r="AH34" s="297"/>
      <c r="AI34" s="297"/>
      <c r="AJ34" s="297"/>
      <c r="AK34" s="297"/>
      <c r="AL34" s="297">
        <f>9000000*2</f>
        <v>18000000</v>
      </c>
      <c r="AQ34" s="296"/>
      <c r="AR34" s="298"/>
      <c r="AS34" s="299"/>
      <c r="AT34" s="300"/>
      <c r="AU34" s="300"/>
      <c r="AV34" s="301"/>
      <c r="AW34" s="302"/>
      <c r="AX34" s="302"/>
      <c r="AY34" s="302">
        <v>0</v>
      </c>
      <c r="AZ34" s="302"/>
      <c r="BA34" s="302">
        <v>0</v>
      </c>
      <c r="BB34" s="302"/>
      <c r="BC34" s="302">
        <f>9000000/30*20</f>
        <v>6000000</v>
      </c>
      <c r="BD34" s="302"/>
      <c r="BE34" s="302">
        <v>9000000</v>
      </c>
      <c r="BF34" s="303"/>
      <c r="BG34" s="451">
        <f>9000000/30*10</f>
        <v>3000000</v>
      </c>
      <c r="BH34" s="305">
        <f>AL34-SUM(AW34+AY34+BA34+BC34+BE34+BG34)</f>
        <v>0</v>
      </c>
      <c r="BI34" s="297"/>
      <c r="BJ34" s="306"/>
      <c r="BK34" s="306"/>
      <c r="BL34" s="306"/>
      <c r="BM34" s="307"/>
      <c r="BN34" s="306"/>
      <c r="BP34" s="308"/>
      <c r="BR34" s="310">
        <v>0</v>
      </c>
      <c r="BS34" s="310">
        <v>0</v>
      </c>
      <c r="BT34" s="310">
        <v>0</v>
      </c>
      <c r="BU34" s="310">
        <v>0</v>
      </c>
      <c r="BV34" s="310">
        <v>0</v>
      </c>
      <c r="BW34" s="310"/>
    </row>
    <row r="35" spans="1:75" s="295" customFormat="1" ht="12" x14ac:dyDescent="0.25">
      <c r="C35" s="296"/>
      <c r="D35" s="296"/>
      <c r="F35" s="296"/>
      <c r="J35" s="296"/>
      <c r="K35" s="296"/>
      <c r="AF35" s="295" t="s">
        <v>619</v>
      </c>
      <c r="AG35" s="297">
        <f>4165000</f>
        <v>4165000</v>
      </c>
      <c r="AH35" s="297"/>
      <c r="AI35" s="297"/>
      <c r="AJ35" s="297"/>
      <c r="AK35" s="297"/>
      <c r="AL35" s="297">
        <v>0</v>
      </c>
      <c r="AQ35" s="296"/>
      <c r="AR35" s="298"/>
      <c r="AS35" s="299"/>
      <c r="AT35" s="300"/>
      <c r="AU35" s="300"/>
      <c r="AV35" s="301"/>
      <c r="AW35" s="302"/>
      <c r="AX35" s="302"/>
      <c r="AY35" s="302">
        <v>0</v>
      </c>
      <c r="AZ35" s="302"/>
      <c r="BA35" s="302">
        <v>0</v>
      </c>
      <c r="BB35" s="302"/>
      <c r="BC35" s="302">
        <v>0</v>
      </c>
      <c r="BD35" s="302"/>
      <c r="BE35" s="302">
        <v>0</v>
      </c>
      <c r="BF35" s="303"/>
      <c r="BG35" s="304">
        <v>0</v>
      </c>
      <c r="BH35" s="305">
        <f>AJ35-SUM(AW35+AY35+BA35+BC35+BE35+BG35)</f>
        <v>0</v>
      </c>
      <c r="BI35" s="297"/>
      <c r="BJ35" s="306"/>
      <c r="BK35" s="306"/>
      <c r="BL35" s="306"/>
      <c r="BM35" s="307"/>
      <c r="BN35" s="306"/>
      <c r="BP35" s="308"/>
      <c r="BR35" s="310"/>
      <c r="BS35" s="310"/>
      <c r="BT35" s="310"/>
      <c r="BU35" s="310"/>
      <c r="BV35" s="310"/>
      <c r="BW35" s="310"/>
    </row>
    <row r="36" spans="1:75" x14ac:dyDescent="0.25">
      <c r="AY36" s="312"/>
      <c r="AZ36" s="312"/>
      <c r="BA36" s="312"/>
      <c r="BB36" s="312"/>
      <c r="BC36" s="312"/>
      <c r="BD36" s="312"/>
      <c r="BE36" s="312"/>
      <c r="BF36" s="312"/>
      <c r="BO36" s="314"/>
      <c r="BR36" s="310"/>
      <c r="BS36" s="310"/>
      <c r="BT36" s="310"/>
      <c r="BU36" s="310"/>
      <c r="BV36" s="310"/>
      <c r="BW36" s="310"/>
    </row>
    <row r="37" spans="1:75" s="316" customFormat="1" ht="12" x14ac:dyDescent="0.25">
      <c r="A37" s="315"/>
      <c r="I37" s="315"/>
      <c r="Q37" s="315"/>
      <c r="R37" s="315"/>
      <c r="S37" s="315"/>
      <c r="X37" s="315"/>
      <c r="AF37" s="315">
        <v>8198</v>
      </c>
      <c r="AG37" s="317">
        <f t="shared" ref="AG37:AL37" si="22">+AG2+AG3+AG4+AG5+AG6+AG7+AG8+AG9+AG10+AG11+AG12+AG13+AG14+AG15+AG16+AG17+AG18+AG19+AG20+AG21+AG22+AG23+AG24+AG25+AG26+AG27+AG28+AG29+AG30</f>
        <v>542433318</v>
      </c>
      <c r="AH37" s="317">
        <f t="shared" si="22"/>
        <v>15555091</v>
      </c>
      <c r="AI37" s="317">
        <f t="shared" si="22"/>
        <v>0</v>
      </c>
      <c r="AJ37" s="317">
        <f t="shared" si="22"/>
        <v>526878227</v>
      </c>
      <c r="AK37" s="317">
        <f t="shared" si="22"/>
        <v>159582440</v>
      </c>
      <c r="AL37" s="317">
        <f t="shared" si="22"/>
        <v>367295787</v>
      </c>
      <c r="AM37" s="317"/>
      <c r="AR37" s="318"/>
      <c r="AS37" s="319"/>
      <c r="AT37" s="320"/>
      <c r="AU37" s="320"/>
      <c r="AV37" s="315"/>
      <c r="AW37" s="317">
        <f>+AW2+AW3+AW4+AW5+AW6+AW7+AW8+AW9+AW10+AW11+AW12+AW13+AW14+AW15+AW16+AW17+AW18+AW19+AW20+AW21+AW22+AW23+AW24+AW25+AW26+AW27+AW28+AW29+AW33+AW34+AW35</f>
        <v>56696990.000000007</v>
      </c>
      <c r="AX37" s="452">
        <f>SUM(AX2:AX35)</f>
        <v>56696990</v>
      </c>
      <c r="AY37" s="317">
        <f>+AY2+AY3+AY4+AY5+AY6+AY7+AY8+AY9+AY10+AY11+AY12+AY13+AY14+AY15+AY16+AY17+AY18+AY19+AY20+AY21+AY22+AY23+AY24+AY25+AY26+AY27+AY28+AY29+AY33+AY34+AY35</f>
        <v>112424396</v>
      </c>
      <c r="AZ37" s="452">
        <f>SUM(AZ2:AZ35)</f>
        <v>102885450</v>
      </c>
      <c r="BA37" s="317">
        <f>+BA2+BA3+BA4+BA5+BA6+BA7+BA8+BA9+BA10+BA11+BA12+BA13+BA14+BA15+BA16+BA17+BA18+BA19+BA20+BA21+BA22+BA23+BA24+BA25+BA26+BA27+BA28+BA29+BA33+BA34+BA35</f>
        <v>107885450</v>
      </c>
      <c r="BB37" s="317"/>
      <c r="BC37" s="317">
        <f>+BC2+BC3+BC4+BC5+BC6+BC7+BC8+BC9+BC10+BC11+BC12+BC13+BC14+BC15+BC16+BC17+BC18+BC19+BC20+BC21+BC22+BC23+BC24+BC25+BC26+BC27+BC28+BC29+BC33+BC34+BC35</f>
        <v>117662116.66666667</v>
      </c>
      <c r="BD37" s="317"/>
      <c r="BE37" s="317">
        <f>+BE2+BE3+BE4+BE5+BE6+BE7+BE8+BE9+BE10+BE11+BE12+BE13+BE14+BE15+BE16+BE17+BE18+BE19+BE20+BE21+BE22+BE23+BE24+BE25+BE26+BE27+BE28+BE29+BE33+BE34+BE35</f>
        <v>128150941.66666666</v>
      </c>
      <c r="BF37" s="317"/>
      <c r="BG37" s="321">
        <f>+BG2+BG3+BG4+BG5+BG6+BG7+BG8+BG9+BG10+BG11+BG12+BG13+BG14+BG15+BG16+BG17+BG18+BG19+BG20+BG21+BG22+BG23+BG24+BG25+BG26+BG27+BG28+BG29+BG30+BG33+BG34+BG35</f>
        <v>23610091</v>
      </c>
      <c r="BH37" s="317">
        <f>+BH2+BH3+BH4+BH5+BH6+BH7+BH8+BH9+BH10+BH11+BH12+BH13+BH14+BH15+BH16+BH17+BH18+BH19+BH20+BH21+BH22+BH23+BH24+BH25+BH26+BH27+BH28+BH29</f>
        <v>-0.66666667629033327</v>
      </c>
      <c r="BI37" s="317">
        <f>+AW37+AY37+BA37+BC37+BE37</f>
        <v>522819894.33333337</v>
      </c>
      <c r="BJ37" s="322">
        <f>+BJ2+BJ3+BJ4+BJ5+BJ6+BJ7+BJ8+BJ9+BJ10+BJ11+BJ12+BJ13+BJ14+BJ15+BJ16+BJ17+BJ18+BJ19+BJ20+BJ21+BJ22+BJ23+BJ24+BJ25+BJ26+BJ27+BJ28+BJ29</f>
        <v>55697250</v>
      </c>
      <c r="BK37" s="322">
        <f>+BK2+BK3+BK4+BK5+BK6+BK7+BK8+BK9+BK10+BK11+BK12+BK13+BK14+BK15+BK16+BK17+BK18+BK19+BK20+BK21+BK22+BK23+BK24+BK25+BK26+BK27+BK28+BK29</f>
        <v>0</v>
      </c>
      <c r="BL37" s="322">
        <f>+BL2+BL3+BL4+BL5+BL6+BL7+BL8+BL9+BL10+BL11+BL12+BL13+BL14+BL15+BL16+BL17+BL18+BL19+BL20+BL21+BL22+BL23+BL24+BL25+BL26+BL27+BL28+BL29</f>
        <v>331199352</v>
      </c>
      <c r="BM37" s="322">
        <f>+BM2+BM3+BM4+BM5+BM6+BM7+BM8+BM9+BM10+BM11+BM12+BM13+BM14+BM15+BM16+BM17+BM18+BM19+BM20+BM21+BM22+BM23+BM24+BM25+BM26+BM27+BM28+BM29</f>
        <v>71418386</v>
      </c>
      <c r="BN37" s="322">
        <f>+BN2+BN3+BN4+BN5+BN6+BN7+BN8+BN9+BN10+BN11+BN12+BN13+BN14+BN15+BN16+BN17+BN18+BN19+BN20+BN21+BN22+BN23+BN24+BN25+BN26+BN27+BN28+BN29</f>
        <v>51325000</v>
      </c>
      <c r="BO37" s="314">
        <f>+BJ37+BK37+BL37+BM37+BN37</f>
        <v>509639988</v>
      </c>
      <c r="BP37" s="323"/>
      <c r="BR37" s="310">
        <f>SUM(BR2:BR36)</f>
        <v>19308380</v>
      </c>
      <c r="BS37" s="310">
        <f>SUM(BS2:BS36)</f>
        <v>0</v>
      </c>
      <c r="BT37" s="310">
        <f>SUM(BT2:BT36)</f>
        <v>65482634</v>
      </c>
      <c r="BU37" s="310">
        <f>SUM(BU2:BU36)</f>
        <v>14406032</v>
      </c>
      <c r="BV37" s="310">
        <f>SUM(BV2:BV36)</f>
        <v>14196934</v>
      </c>
      <c r="BW37" s="310">
        <f>SUM(BR37:BV37)</f>
        <v>113393980</v>
      </c>
    </row>
    <row r="38" spans="1:75" x14ac:dyDescent="0.25">
      <c r="AW38" s="324" t="s">
        <v>620</v>
      </c>
      <c r="AX38" s="453">
        <f>+AW37/AX37</f>
        <v>1.0000000000000002</v>
      </c>
      <c r="AZ38" s="454">
        <f>+AZ37/AY37</f>
        <v>0.91515234825010761</v>
      </c>
      <c r="BG38" s="312">
        <f>+BG37-BG34-BG33-BG30</f>
        <v>15555091</v>
      </c>
      <c r="BO38" s="312">
        <f>+BO33-BO37</f>
        <v>63922116</v>
      </c>
      <c r="BR38" s="310"/>
      <c r="BS38" s="310"/>
      <c r="BT38" s="310"/>
      <c r="BU38" s="310"/>
      <c r="BV38" s="310"/>
      <c r="BW38" s="310">
        <f>+BW37-AW37</f>
        <v>56696989.999999993</v>
      </c>
    </row>
    <row r="39" spans="1:75" ht="15" x14ac:dyDescent="0.25">
      <c r="AW39" s="312"/>
      <c r="AX39" s="312"/>
      <c r="BA39" s="312">
        <f>+AX37+AY37+BA37+BC37+BE37</f>
        <v>522819894.33333337</v>
      </c>
      <c r="BB39" s="351">
        <f>+BA39/(BP50+BP58)</f>
        <v>0.86212263919359411</v>
      </c>
      <c r="BI39" s="312">
        <f>+BH41+BH42+BE43+BE44</f>
        <v>1733333.3333333335</v>
      </c>
      <c r="BO39" s="455">
        <f>+BO6+BO15+BO2</f>
        <v>0</v>
      </c>
      <c r="BP39" s="455">
        <f>+BO39/4</f>
        <v>0</v>
      </c>
    </row>
    <row r="41" spans="1:75" s="456" customFormat="1" ht="12" x14ac:dyDescent="0.25">
      <c r="A41" s="456">
        <v>2024</v>
      </c>
      <c r="B41" s="456">
        <v>7</v>
      </c>
      <c r="C41" s="457">
        <v>45292</v>
      </c>
      <c r="D41" s="457">
        <v>45535</v>
      </c>
      <c r="E41" s="456" t="s">
        <v>494</v>
      </c>
      <c r="F41" s="457">
        <v>45504</v>
      </c>
      <c r="G41" s="456" t="s">
        <v>495</v>
      </c>
      <c r="H41" s="456" t="s">
        <v>496</v>
      </c>
      <c r="I41" s="456" t="s">
        <v>497</v>
      </c>
      <c r="J41" s="457">
        <v>45498</v>
      </c>
      <c r="K41" s="457">
        <v>45657</v>
      </c>
      <c r="L41" s="456" t="s">
        <v>498</v>
      </c>
      <c r="M41" s="456" t="s">
        <v>499</v>
      </c>
      <c r="N41" s="456" t="s">
        <v>500</v>
      </c>
      <c r="O41" s="456">
        <v>1171</v>
      </c>
      <c r="P41" s="456">
        <v>1289</v>
      </c>
      <c r="Q41" s="456" t="s">
        <v>501</v>
      </c>
      <c r="R41" s="456" t="s">
        <v>502</v>
      </c>
      <c r="S41" s="456" t="s">
        <v>503</v>
      </c>
      <c r="T41" s="456" t="s">
        <v>504</v>
      </c>
      <c r="U41" s="456" t="s">
        <v>505</v>
      </c>
      <c r="V41" s="456" t="s">
        <v>518</v>
      </c>
      <c r="W41" s="456" t="s">
        <v>507</v>
      </c>
      <c r="X41" s="456" t="s">
        <v>508</v>
      </c>
      <c r="Y41" s="456" t="s">
        <v>509</v>
      </c>
      <c r="Z41" s="456" t="s">
        <v>510</v>
      </c>
      <c r="AA41" s="456" t="s">
        <v>511</v>
      </c>
      <c r="AB41" s="456" t="s">
        <v>512</v>
      </c>
      <c r="AC41" s="456" t="s">
        <v>513</v>
      </c>
      <c r="AD41" s="456" t="s">
        <v>514</v>
      </c>
      <c r="AE41" s="456" t="s">
        <v>515</v>
      </c>
      <c r="AF41" s="456" t="s">
        <v>516</v>
      </c>
      <c r="AG41" s="458">
        <v>27376904</v>
      </c>
      <c r="AH41" s="458">
        <v>0</v>
      </c>
      <c r="AI41" s="458">
        <v>0</v>
      </c>
      <c r="AJ41" s="458">
        <v>27376904</v>
      </c>
      <c r="AK41" s="458">
        <v>0</v>
      </c>
      <c r="AL41" s="458">
        <v>27376904</v>
      </c>
      <c r="AM41" s="456">
        <v>5000717080</v>
      </c>
      <c r="AN41" s="456">
        <v>1</v>
      </c>
      <c r="AO41" s="456">
        <v>587548</v>
      </c>
      <c r="AP41" s="456">
        <v>3</v>
      </c>
      <c r="AQ41" s="457">
        <v>45504</v>
      </c>
      <c r="AR41" s="459">
        <v>8198</v>
      </c>
      <c r="AS41" s="460"/>
      <c r="AT41" s="461"/>
      <c r="AU41" s="461"/>
      <c r="AV41" s="462" t="s">
        <v>517</v>
      </c>
      <c r="AW41" s="463">
        <v>0</v>
      </c>
      <c r="AX41" s="463"/>
      <c r="AY41" s="463">
        <v>0</v>
      </c>
      <c r="AZ41" s="463"/>
      <c r="BA41" s="463">
        <v>0</v>
      </c>
      <c r="BB41" s="463"/>
      <c r="BC41" s="463">
        <v>0</v>
      </c>
      <c r="BD41" s="463"/>
      <c r="BE41" s="463">
        <f>27376904/2</f>
        <v>13688452</v>
      </c>
      <c r="BF41" s="464"/>
      <c r="BG41" s="464">
        <v>0</v>
      </c>
      <c r="BH41" s="463">
        <v>0</v>
      </c>
      <c r="BI41" s="458"/>
      <c r="BJ41" s="465">
        <v>0</v>
      </c>
      <c r="BK41" s="465">
        <v>0</v>
      </c>
      <c r="BL41" s="466">
        <f>+AG41/2</f>
        <v>13688452</v>
      </c>
      <c r="BM41" s="465">
        <v>0</v>
      </c>
      <c r="BN41" s="465">
        <v>0</v>
      </c>
      <c r="BO41" s="456" t="s">
        <v>621</v>
      </c>
      <c r="BP41" s="467">
        <f t="shared" ref="BP41" si="23">+AJ41-SUM(BJ41:BN41)</f>
        <v>13688452</v>
      </c>
      <c r="BQ41" s="468"/>
      <c r="BR41" s="469"/>
      <c r="BS41" s="470"/>
      <c r="BT41" s="469"/>
      <c r="BU41" s="469"/>
      <c r="BV41" s="469"/>
    </row>
    <row r="42" spans="1:75" s="456" customFormat="1" ht="12" x14ac:dyDescent="0.25">
      <c r="A42" s="456">
        <v>2024</v>
      </c>
      <c r="B42" s="456">
        <v>7</v>
      </c>
      <c r="C42" s="457">
        <v>45292</v>
      </c>
      <c r="D42" s="457">
        <v>45535</v>
      </c>
      <c r="E42" s="456" t="s">
        <v>494</v>
      </c>
      <c r="F42" s="457">
        <v>45504</v>
      </c>
      <c r="G42" s="456" t="s">
        <v>495</v>
      </c>
      <c r="H42" s="456" t="s">
        <v>496</v>
      </c>
      <c r="I42" s="456" t="s">
        <v>497</v>
      </c>
      <c r="J42" s="457">
        <v>45498</v>
      </c>
      <c r="K42" s="457">
        <v>45657</v>
      </c>
      <c r="L42" s="456" t="s">
        <v>498</v>
      </c>
      <c r="M42" s="456" t="s">
        <v>499</v>
      </c>
      <c r="N42" s="456" t="s">
        <v>500</v>
      </c>
      <c r="O42" s="456">
        <v>1171</v>
      </c>
      <c r="P42" s="456">
        <v>1289</v>
      </c>
      <c r="Q42" s="456" t="s">
        <v>501</v>
      </c>
      <c r="R42" s="456" t="s">
        <v>502</v>
      </c>
      <c r="S42" s="456" t="s">
        <v>503</v>
      </c>
      <c r="T42" s="456" t="s">
        <v>504</v>
      </c>
      <c r="U42" s="456" t="s">
        <v>505</v>
      </c>
      <c r="V42" s="456" t="s">
        <v>518</v>
      </c>
      <c r="W42" s="456" t="s">
        <v>507</v>
      </c>
      <c r="X42" s="456" t="s">
        <v>508</v>
      </c>
      <c r="Y42" s="456" t="s">
        <v>509</v>
      </c>
      <c r="Z42" s="456" t="s">
        <v>510</v>
      </c>
      <c r="AA42" s="456" t="s">
        <v>511</v>
      </c>
      <c r="AB42" s="456" t="s">
        <v>512</v>
      </c>
      <c r="AC42" s="456" t="s">
        <v>513</v>
      </c>
      <c r="AD42" s="456" t="s">
        <v>514</v>
      </c>
      <c r="AE42" s="456" t="s">
        <v>515</v>
      </c>
      <c r="AF42" s="456" t="s">
        <v>516</v>
      </c>
      <c r="AG42" s="458">
        <v>6405667</v>
      </c>
      <c r="AH42" s="458">
        <v>0</v>
      </c>
      <c r="AI42" s="458">
        <v>0</v>
      </c>
      <c r="AJ42" s="458">
        <v>6405667</v>
      </c>
      <c r="AK42" s="458">
        <v>0</v>
      </c>
      <c r="AL42" s="458">
        <v>6405667</v>
      </c>
      <c r="AM42" s="456">
        <v>5000717080</v>
      </c>
      <c r="AN42" s="456">
        <v>2</v>
      </c>
      <c r="AO42" s="456">
        <v>587548</v>
      </c>
      <c r="AP42" s="456">
        <v>4</v>
      </c>
      <c r="AQ42" s="457">
        <v>45504</v>
      </c>
      <c r="AR42" s="459">
        <v>8198</v>
      </c>
      <c r="AS42" s="460"/>
      <c r="AT42" s="461"/>
      <c r="AU42" s="461"/>
      <c r="AV42" s="462" t="s">
        <v>517</v>
      </c>
      <c r="AW42" s="463">
        <v>0</v>
      </c>
      <c r="AX42" s="463"/>
      <c r="AY42" s="463">
        <v>0</v>
      </c>
      <c r="AZ42" s="463"/>
      <c r="BA42" s="463">
        <v>0</v>
      </c>
      <c r="BB42" s="463"/>
      <c r="BC42" s="463">
        <v>0</v>
      </c>
      <c r="BD42" s="463"/>
      <c r="BE42" s="463">
        <f>6405667/2</f>
        <v>3202833.5</v>
      </c>
      <c r="BF42" s="464"/>
      <c r="BG42" s="464">
        <v>0</v>
      </c>
      <c r="BH42" s="463">
        <v>0</v>
      </c>
      <c r="BI42" s="458"/>
      <c r="BJ42" s="465">
        <v>0</v>
      </c>
      <c r="BK42" s="465">
        <v>0</v>
      </c>
      <c r="BL42" s="465">
        <v>0</v>
      </c>
      <c r="BM42" s="465">
        <v>0</v>
      </c>
      <c r="BN42" s="466">
        <f>(AG42/2)-1</f>
        <v>3202832.5</v>
      </c>
      <c r="BO42" s="456" t="s">
        <v>621</v>
      </c>
      <c r="BP42" s="467">
        <f>+AJ42-SUM(BJ42:BN42)</f>
        <v>3202834.5</v>
      </c>
      <c r="BQ42" s="468"/>
      <c r="BR42" s="469"/>
      <c r="BS42" s="470"/>
      <c r="BT42" s="469"/>
      <c r="BU42" s="469"/>
      <c r="BV42" s="469"/>
    </row>
    <row r="43" spans="1:75" s="337" customFormat="1" ht="12" x14ac:dyDescent="0.25">
      <c r="A43" s="327">
        <v>2024</v>
      </c>
      <c r="B43" s="337">
        <v>8</v>
      </c>
      <c r="C43" s="471">
        <v>45292</v>
      </c>
      <c r="D43" s="471">
        <v>45535</v>
      </c>
      <c r="E43" s="337" t="s">
        <v>494</v>
      </c>
      <c r="F43" s="471">
        <v>45509</v>
      </c>
      <c r="G43" s="337" t="s">
        <v>519</v>
      </c>
      <c r="H43" s="337" t="s">
        <v>520</v>
      </c>
      <c r="I43" s="327" t="s">
        <v>622</v>
      </c>
      <c r="J43" s="471">
        <v>45509</v>
      </c>
      <c r="K43" s="471">
        <v>45636</v>
      </c>
      <c r="L43" s="337" t="s">
        <v>548</v>
      </c>
      <c r="M43" s="337" t="s">
        <v>499</v>
      </c>
      <c r="N43" s="337" t="s">
        <v>500</v>
      </c>
      <c r="O43" s="337">
        <v>1542</v>
      </c>
      <c r="P43" s="337">
        <v>1527</v>
      </c>
      <c r="Q43" s="327" t="s">
        <v>549</v>
      </c>
      <c r="R43" s="327" t="s">
        <v>502</v>
      </c>
      <c r="S43" s="327" t="s">
        <v>503</v>
      </c>
      <c r="T43" s="337" t="s">
        <v>504</v>
      </c>
      <c r="U43" s="337" t="s">
        <v>505</v>
      </c>
      <c r="V43" s="337" t="s">
        <v>523</v>
      </c>
      <c r="W43" s="337" t="s">
        <v>524</v>
      </c>
      <c r="X43" s="327" t="s">
        <v>508</v>
      </c>
      <c r="Y43" s="337" t="s">
        <v>509</v>
      </c>
      <c r="Z43" s="337" t="s">
        <v>510</v>
      </c>
      <c r="AA43" s="337" t="s">
        <v>525</v>
      </c>
      <c r="AB43" s="337" t="s">
        <v>526</v>
      </c>
      <c r="AC43" s="337" t="s">
        <v>550</v>
      </c>
      <c r="AD43" s="337" t="s">
        <v>528</v>
      </c>
      <c r="AE43" s="337" t="s">
        <v>551</v>
      </c>
      <c r="AF43" s="327" t="s">
        <v>552</v>
      </c>
      <c r="AG43" s="329">
        <v>0</v>
      </c>
      <c r="AH43" s="329">
        <v>0</v>
      </c>
      <c r="AI43" s="329">
        <v>0</v>
      </c>
      <c r="AJ43" s="329">
        <v>0</v>
      </c>
      <c r="AK43" s="329">
        <v>0</v>
      </c>
      <c r="AL43" s="329">
        <v>0</v>
      </c>
      <c r="AM43" s="337">
        <v>5000720509</v>
      </c>
      <c r="AN43" s="337">
        <v>1</v>
      </c>
      <c r="AO43" s="337">
        <v>590961</v>
      </c>
      <c r="AP43" s="337">
        <v>1</v>
      </c>
      <c r="AQ43" s="471">
        <v>45509</v>
      </c>
      <c r="AR43" s="330">
        <v>8198</v>
      </c>
      <c r="AS43" s="331">
        <v>6366000</v>
      </c>
      <c r="AT43" s="332">
        <v>45648</v>
      </c>
      <c r="AU43" s="332">
        <v>45657</v>
      </c>
      <c r="AV43" s="333" t="s">
        <v>517</v>
      </c>
      <c r="AW43" s="334">
        <v>0</v>
      </c>
      <c r="AX43" s="334"/>
      <c r="AY43" s="334">
        <v>0</v>
      </c>
      <c r="AZ43" s="334"/>
      <c r="BA43" s="334">
        <v>0</v>
      </c>
      <c r="BB43" s="334"/>
      <c r="BC43" s="334">
        <v>0</v>
      </c>
      <c r="BD43" s="334"/>
      <c r="BE43" s="334"/>
      <c r="BF43" s="335"/>
      <c r="BG43" s="335">
        <v>0</v>
      </c>
      <c r="BH43" s="334">
        <v>0</v>
      </c>
      <c r="BI43" s="329"/>
      <c r="BJ43" s="336">
        <v>0</v>
      </c>
      <c r="BK43" s="336">
        <v>0</v>
      </c>
      <c r="BL43" s="336">
        <v>0</v>
      </c>
      <c r="BM43" s="336">
        <v>0</v>
      </c>
      <c r="BN43" s="472"/>
      <c r="BO43" s="337" t="s">
        <v>623</v>
      </c>
      <c r="BP43" s="473"/>
      <c r="BR43" s="338"/>
      <c r="BS43" s="338"/>
      <c r="BT43" s="338"/>
      <c r="BU43" s="338"/>
      <c r="BV43" s="338"/>
    </row>
    <row r="44" spans="1:75" s="337" customFormat="1" ht="12" x14ac:dyDescent="0.25">
      <c r="A44" s="327">
        <v>2024</v>
      </c>
      <c r="B44" s="337">
        <v>8</v>
      </c>
      <c r="C44" s="471">
        <v>45292</v>
      </c>
      <c r="D44" s="471">
        <v>45535</v>
      </c>
      <c r="E44" s="337" t="s">
        <v>494</v>
      </c>
      <c r="F44" s="471">
        <v>45509</v>
      </c>
      <c r="G44" s="337" t="s">
        <v>519</v>
      </c>
      <c r="H44" s="337" t="s">
        <v>520</v>
      </c>
      <c r="I44" s="327" t="s">
        <v>559</v>
      </c>
      <c r="J44" s="471">
        <v>45509</v>
      </c>
      <c r="K44" s="471">
        <v>45657</v>
      </c>
      <c r="L44" s="337" t="s">
        <v>554</v>
      </c>
      <c r="M44" s="337" t="s">
        <v>499</v>
      </c>
      <c r="N44" s="337" t="s">
        <v>500</v>
      </c>
      <c r="O44" s="337">
        <v>1548</v>
      </c>
      <c r="P44" s="337">
        <v>1532</v>
      </c>
      <c r="Q44" s="327" t="s">
        <v>560</v>
      </c>
      <c r="R44" s="327" t="s">
        <v>502</v>
      </c>
      <c r="S44" s="327" t="s">
        <v>503</v>
      </c>
      <c r="T44" s="337" t="s">
        <v>504</v>
      </c>
      <c r="U44" s="337" t="s">
        <v>505</v>
      </c>
      <c r="V44" s="337" t="s">
        <v>523</v>
      </c>
      <c r="W44" s="337" t="s">
        <v>524</v>
      </c>
      <c r="X44" s="327" t="s">
        <v>508</v>
      </c>
      <c r="Y44" s="337" t="s">
        <v>509</v>
      </c>
      <c r="Z44" s="337" t="s">
        <v>510</v>
      </c>
      <c r="AA44" s="337" t="s">
        <v>525</v>
      </c>
      <c r="AB44" s="337" t="s">
        <v>526</v>
      </c>
      <c r="AC44" s="337" t="s">
        <v>561</v>
      </c>
      <c r="AD44" s="337" t="s">
        <v>528</v>
      </c>
      <c r="AE44" s="337" t="s">
        <v>562</v>
      </c>
      <c r="AF44" s="327" t="s">
        <v>563</v>
      </c>
      <c r="AG44" s="329">
        <v>0</v>
      </c>
      <c r="AH44" s="329">
        <v>0</v>
      </c>
      <c r="AI44" s="329">
        <v>0</v>
      </c>
      <c r="AJ44" s="329">
        <v>0</v>
      </c>
      <c r="AK44" s="329">
        <v>0</v>
      </c>
      <c r="AL44" s="329">
        <v>0</v>
      </c>
      <c r="AM44" s="337">
        <v>5000720566</v>
      </c>
      <c r="AN44" s="337">
        <v>1</v>
      </c>
      <c r="AO44" s="337">
        <v>590977</v>
      </c>
      <c r="AP44" s="337">
        <v>1</v>
      </c>
      <c r="AQ44" s="471">
        <v>45509</v>
      </c>
      <c r="AR44" s="330">
        <v>8198</v>
      </c>
      <c r="AS44" s="331">
        <v>4000000</v>
      </c>
      <c r="AT44" s="332">
        <v>45644</v>
      </c>
      <c r="AU44" s="332">
        <v>45657</v>
      </c>
      <c r="AV44" s="333" t="s">
        <v>517</v>
      </c>
      <c r="AW44" s="334">
        <v>0</v>
      </c>
      <c r="AX44" s="334"/>
      <c r="AY44" s="334">
        <v>0</v>
      </c>
      <c r="AZ44" s="334"/>
      <c r="BA44" s="334">
        <v>0</v>
      </c>
      <c r="BB44" s="334"/>
      <c r="BC44" s="334">
        <v>0</v>
      </c>
      <c r="BD44" s="334"/>
      <c r="BE44" s="334">
        <f>AS44/30*13</f>
        <v>1733333.3333333335</v>
      </c>
      <c r="BF44" s="335"/>
      <c r="BG44" s="335">
        <v>0</v>
      </c>
      <c r="BH44" s="334">
        <v>-0.3333333358168602</v>
      </c>
      <c r="BI44" s="329"/>
      <c r="BJ44" s="336">
        <v>0</v>
      </c>
      <c r="BK44" s="336">
        <v>0</v>
      </c>
      <c r="BL44" s="336">
        <v>0</v>
      </c>
      <c r="BM44" s="336">
        <v>0</v>
      </c>
      <c r="BN44" s="472">
        <f>+BE44</f>
        <v>1733333.3333333335</v>
      </c>
      <c r="BO44" s="337" t="s">
        <v>624</v>
      </c>
      <c r="BP44" s="473"/>
      <c r="BR44" s="338"/>
      <c r="BS44" s="338"/>
      <c r="BT44" s="338"/>
      <c r="BU44" s="338"/>
      <c r="BV44" s="338"/>
    </row>
    <row r="45" spans="1:75" s="474" customFormat="1" ht="12" x14ac:dyDescent="0.25">
      <c r="A45" s="474">
        <v>2024</v>
      </c>
      <c r="B45" s="474">
        <v>8</v>
      </c>
      <c r="C45" s="475">
        <v>45292</v>
      </c>
      <c r="D45" s="475">
        <v>45535</v>
      </c>
      <c r="E45" s="474" t="s">
        <v>494</v>
      </c>
      <c r="F45" s="475">
        <v>45506</v>
      </c>
      <c r="G45" s="474" t="s">
        <v>519</v>
      </c>
      <c r="H45" s="474" t="s">
        <v>520</v>
      </c>
      <c r="I45" s="474" t="s">
        <v>625</v>
      </c>
      <c r="J45" s="475">
        <v>45506</v>
      </c>
      <c r="K45" s="475">
        <v>45657</v>
      </c>
      <c r="L45" s="474" t="s">
        <v>521</v>
      </c>
      <c r="M45" s="474" t="s">
        <v>499</v>
      </c>
      <c r="N45" s="474" t="s">
        <v>500</v>
      </c>
      <c r="O45" s="474">
        <v>1525</v>
      </c>
      <c r="P45" s="474">
        <v>1383</v>
      </c>
      <c r="Q45" s="474" t="s">
        <v>522</v>
      </c>
      <c r="R45" s="474" t="s">
        <v>502</v>
      </c>
      <c r="S45" s="474" t="s">
        <v>503</v>
      </c>
      <c r="T45" s="474" t="s">
        <v>504</v>
      </c>
      <c r="U45" s="474" t="s">
        <v>505</v>
      </c>
      <c r="V45" s="474" t="s">
        <v>523</v>
      </c>
      <c r="W45" s="474" t="s">
        <v>524</v>
      </c>
      <c r="X45" s="474" t="s">
        <v>508</v>
      </c>
      <c r="Y45" s="474" t="s">
        <v>509</v>
      </c>
      <c r="Z45" s="474" t="s">
        <v>510</v>
      </c>
      <c r="AA45" s="474" t="s">
        <v>525</v>
      </c>
      <c r="AB45" s="474" t="s">
        <v>526</v>
      </c>
      <c r="AC45" s="474" t="s">
        <v>527</v>
      </c>
      <c r="AD45" s="474" t="s">
        <v>528</v>
      </c>
      <c r="AE45" s="474" t="s">
        <v>529</v>
      </c>
      <c r="AF45" s="474" t="s">
        <v>530</v>
      </c>
      <c r="AG45" s="476">
        <v>0</v>
      </c>
      <c r="AH45" s="476">
        <v>0</v>
      </c>
      <c r="AI45" s="476">
        <v>0</v>
      </c>
      <c r="AJ45" s="476">
        <v>0</v>
      </c>
      <c r="AK45" s="476">
        <v>0</v>
      </c>
      <c r="AL45" s="476">
        <v>0</v>
      </c>
      <c r="AM45" s="474">
        <v>5000718988</v>
      </c>
      <c r="AN45" s="474">
        <v>1</v>
      </c>
      <c r="AO45" s="474">
        <v>590899</v>
      </c>
      <c r="AP45" s="474">
        <v>1</v>
      </c>
      <c r="AQ45" s="475">
        <v>45506</v>
      </c>
      <c r="AR45" s="477">
        <v>8198</v>
      </c>
      <c r="AS45" s="478">
        <v>11139450</v>
      </c>
      <c r="AT45" s="479">
        <v>45658</v>
      </c>
      <c r="AU45" s="479">
        <v>45677</v>
      </c>
      <c r="AV45" s="480" t="s">
        <v>517</v>
      </c>
      <c r="AW45" s="481">
        <v>0</v>
      </c>
      <c r="AX45" s="481"/>
      <c r="AY45" s="481">
        <v>0</v>
      </c>
      <c r="AZ45" s="481"/>
      <c r="BA45" s="481">
        <v>0</v>
      </c>
      <c r="BB45" s="481"/>
      <c r="BC45" s="481">
        <v>0</v>
      </c>
      <c r="BD45" s="481"/>
      <c r="BE45" s="481">
        <v>0</v>
      </c>
      <c r="BF45" s="482"/>
      <c r="BG45" s="482">
        <v>0</v>
      </c>
      <c r="BH45" s="481">
        <f>AS45/30*15</f>
        <v>5569725</v>
      </c>
      <c r="BI45" s="476"/>
      <c r="BJ45" s="483">
        <f>+BH45</f>
        <v>5569725</v>
      </c>
      <c r="BK45" s="484">
        <v>0</v>
      </c>
      <c r="BL45" s="484">
        <v>0</v>
      </c>
      <c r="BM45" s="484">
        <v>0</v>
      </c>
      <c r="BN45" s="484">
        <v>0</v>
      </c>
      <c r="BO45" s="485" t="s">
        <v>626</v>
      </c>
      <c r="BP45" s="486"/>
      <c r="BR45" s="487"/>
      <c r="BS45" s="487"/>
      <c r="BT45" s="487"/>
      <c r="BU45" s="487"/>
      <c r="BV45" s="487"/>
    </row>
    <row r="46" spans="1:75" s="489" customFormat="1" ht="12" x14ac:dyDescent="0.25">
      <c r="A46" s="488">
        <v>2024</v>
      </c>
      <c r="B46" s="489">
        <v>8</v>
      </c>
      <c r="C46" s="490">
        <v>45292</v>
      </c>
      <c r="D46" s="490">
        <v>45535</v>
      </c>
      <c r="E46" s="489" t="s">
        <v>494</v>
      </c>
      <c r="F46" s="490">
        <v>45506</v>
      </c>
      <c r="G46" s="489" t="s">
        <v>519</v>
      </c>
      <c r="H46" s="489" t="s">
        <v>520</v>
      </c>
      <c r="I46" s="488" t="s">
        <v>627</v>
      </c>
      <c r="J46" s="490">
        <v>45506</v>
      </c>
      <c r="K46" s="490">
        <v>45657</v>
      </c>
      <c r="L46" s="489" t="s">
        <v>521</v>
      </c>
      <c r="M46" s="489" t="s">
        <v>499</v>
      </c>
      <c r="N46" s="489" t="s">
        <v>500</v>
      </c>
      <c r="O46" s="489">
        <v>1414</v>
      </c>
      <c r="P46" s="489">
        <v>1385</v>
      </c>
      <c r="Q46" s="488" t="s">
        <v>531</v>
      </c>
      <c r="R46" s="488" t="s">
        <v>502</v>
      </c>
      <c r="S46" s="488" t="s">
        <v>503</v>
      </c>
      <c r="T46" s="489" t="s">
        <v>504</v>
      </c>
      <c r="U46" s="489" t="s">
        <v>505</v>
      </c>
      <c r="V46" s="489" t="s">
        <v>532</v>
      </c>
      <c r="W46" s="489" t="s">
        <v>533</v>
      </c>
      <c r="X46" s="488" t="s">
        <v>508</v>
      </c>
      <c r="Y46" s="489" t="s">
        <v>509</v>
      </c>
      <c r="Z46" s="489" t="s">
        <v>510</v>
      </c>
      <c r="AA46" s="489" t="s">
        <v>525</v>
      </c>
      <c r="AB46" s="489" t="s">
        <v>526</v>
      </c>
      <c r="AC46" s="489" t="s">
        <v>534</v>
      </c>
      <c r="AD46" s="489" t="s">
        <v>528</v>
      </c>
      <c r="AE46" s="489" t="s">
        <v>535</v>
      </c>
      <c r="AF46" s="488" t="s">
        <v>536</v>
      </c>
      <c r="AG46" s="491">
        <v>0</v>
      </c>
      <c r="AH46" s="491">
        <v>0</v>
      </c>
      <c r="AI46" s="491">
        <v>0</v>
      </c>
      <c r="AJ46" s="491">
        <v>0</v>
      </c>
      <c r="AK46" s="491">
        <v>0</v>
      </c>
      <c r="AL46" s="491">
        <v>0</v>
      </c>
      <c r="AM46" s="489">
        <v>5000718992</v>
      </c>
      <c r="AN46" s="489">
        <v>1</v>
      </c>
      <c r="AO46" s="489">
        <v>590274</v>
      </c>
      <c r="AP46" s="489">
        <v>1</v>
      </c>
      <c r="AQ46" s="490">
        <v>45506</v>
      </c>
      <c r="AR46" s="492">
        <v>8198</v>
      </c>
      <c r="AS46" s="493">
        <v>9785000</v>
      </c>
      <c r="AT46" s="494">
        <v>45658</v>
      </c>
      <c r="AU46" s="494">
        <v>45677</v>
      </c>
      <c r="AV46" s="495" t="s">
        <v>517</v>
      </c>
      <c r="AW46" s="496">
        <v>0</v>
      </c>
      <c r="AX46" s="496"/>
      <c r="AY46" s="496">
        <v>0</v>
      </c>
      <c r="AZ46" s="496"/>
      <c r="BA46" s="496">
        <v>0</v>
      </c>
      <c r="BB46" s="496"/>
      <c r="BC46" s="496">
        <v>0</v>
      </c>
      <c r="BD46" s="496"/>
      <c r="BE46" s="496">
        <v>0</v>
      </c>
      <c r="BF46" s="497"/>
      <c r="BG46" s="497">
        <v>0</v>
      </c>
      <c r="BH46" s="496">
        <f>AS46/30*15</f>
        <v>4892500</v>
      </c>
      <c r="BI46" s="491"/>
      <c r="BJ46" s="498">
        <v>0</v>
      </c>
      <c r="BK46" s="498">
        <v>0</v>
      </c>
      <c r="BL46" s="499">
        <f>+BH46</f>
        <v>4892500</v>
      </c>
      <c r="BM46" s="498">
        <v>0</v>
      </c>
      <c r="BN46" s="498">
        <v>0</v>
      </c>
      <c r="BO46" s="500" t="s">
        <v>628</v>
      </c>
      <c r="BP46" s="349"/>
      <c r="BR46" s="501"/>
      <c r="BS46" s="501"/>
      <c r="BT46" s="501"/>
      <c r="BU46" s="501"/>
      <c r="BV46" s="501"/>
    </row>
    <row r="47" spans="1:75" s="489" customFormat="1" ht="12" x14ac:dyDescent="0.25">
      <c r="A47" s="488">
        <v>2024</v>
      </c>
      <c r="B47" s="489">
        <v>8</v>
      </c>
      <c r="C47" s="490">
        <v>45292</v>
      </c>
      <c r="D47" s="490">
        <v>45535</v>
      </c>
      <c r="E47" s="489" t="s">
        <v>494</v>
      </c>
      <c r="F47" s="490">
        <v>45512</v>
      </c>
      <c r="G47" s="489" t="s">
        <v>519</v>
      </c>
      <c r="H47" s="489" t="s">
        <v>520</v>
      </c>
      <c r="I47" s="488" t="s">
        <v>629</v>
      </c>
      <c r="J47" s="490">
        <v>45512</v>
      </c>
      <c r="K47" s="490">
        <v>45657</v>
      </c>
      <c r="L47" s="489" t="s">
        <v>519</v>
      </c>
      <c r="M47" s="489" t="s">
        <v>499</v>
      </c>
      <c r="N47" s="489" t="s">
        <v>500</v>
      </c>
      <c r="O47" s="489">
        <v>1544</v>
      </c>
      <c r="P47" s="489">
        <v>1563</v>
      </c>
      <c r="Q47" s="488" t="s">
        <v>564</v>
      </c>
      <c r="R47" s="488" t="s">
        <v>502</v>
      </c>
      <c r="S47" s="488" t="s">
        <v>503</v>
      </c>
      <c r="T47" s="489" t="s">
        <v>504</v>
      </c>
      <c r="U47" s="489" t="s">
        <v>505</v>
      </c>
      <c r="V47" s="489" t="s">
        <v>523</v>
      </c>
      <c r="W47" s="489" t="s">
        <v>524</v>
      </c>
      <c r="X47" s="488" t="s">
        <v>508</v>
      </c>
      <c r="Y47" s="489" t="s">
        <v>509</v>
      </c>
      <c r="Z47" s="489" t="s">
        <v>510</v>
      </c>
      <c r="AA47" s="489" t="s">
        <v>525</v>
      </c>
      <c r="AB47" s="489" t="s">
        <v>526</v>
      </c>
      <c r="AC47" s="489" t="s">
        <v>565</v>
      </c>
      <c r="AD47" s="489" t="s">
        <v>528</v>
      </c>
      <c r="AE47" s="489" t="s">
        <v>566</v>
      </c>
      <c r="AF47" s="488" t="s">
        <v>567</v>
      </c>
      <c r="AG47" s="491">
        <v>0</v>
      </c>
      <c r="AH47" s="491">
        <v>0</v>
      </c>
      <c r="AI47" s="491">
        <v>0</v>
      </c>
      <c r="AJ47" s="491">
        <v>0</v>
      </c>
      <c r="AK47" s="491">
        <v>0</v>
      </c>
      <c r="AL47" s="491">
        <v>0</v>
      </c>
      <c r="AM47" s="489">
        <v>5000721160</v>
      </c>
      <c r="AN47" s="489">
        <v>1</v>
      </c>
      <c r="AO47" s="489">
        <v>590965</v>
      </c>
      <c r="AP47" s="489">
        <v>1</v>
      </c>
      <c r="AQ47" s="490">
        <v>45512</v>
      </c>
      <c r="AR47" s="492">
        <v>8198</v>
      </c>
      <c r="AS47" s="493">
        <v>7500000</v>
      </c>
      <c r="AT47" s="494">
        <v>45658</v>
      </c>
      <c r="AU47" s="494">
        <v>45677</v>
      </c>
      <c r="AV47" s="495" t="s">
        <v>517</v>
      </c>
      <c r="AW47" s="496">
        <v>0</v>
      </c>
      <c r="AX47" s="496"/>
      <c r="AY47" s="496">
        <v>0</v>
      </c>
      <c r="AZ47" s="496"/>
      <c r="BA47" s="496">
        <v>0</v>
      </c>
      <c r="BB47" s="496"/>
      <c r="BC47" s="496">
        <v>0</v>
      </c>
      <c r="BD47" s="496"/>
      <c r="BE47" s="496">
        <v>0</v>
      </c>
      <c r="BF47" s="497"/>
      <c r="BG47" s="497">
        <v>0</v>
      </c>
      <c r="BH47" s="496">
        <f>AS47/30*15</f>
        <v>3750000</v>
      </c>
      <c r="BI47" s="491"/>
      <c r="BJ47" s="498">
        <v>0</v>
      </c>
      <c r="BK47" s="498">
        <v>0</v>
      </c>
      <c r="BL47" s="499">
        <f>+BH47</f>
        <v>3750000</v>
      </c>
      <c r="BM47" s="498">
        <v>0</v>
      </c>
      <c r="BN47" s="498">
        <v>0</v>
      </c>
      <c r="BO47" s="500" t="s">
        <v>630</v>
      </c>
      <c r="BP47" s="349"/>
      <c r="BR47" s="501"/>
      <c r="BS47" s="501"/>
      <c r="BT47" s="501"/>
      <c r="BU47" s="501"/>
      <c r="BV47" s="501"/>
    </row>
    <row r="49" spans="1:74" s="316" customFormat="1" ht="12" x14ac:dyDescent="0.25">
      <c r="A49" s="315"/>
      <c r="I49" s="315"/>
      <c r="Q49" s="315"/>
      <c r="R49" s="315"/>
      <c r="S49" s="315"/>
      <c r="X49" s="315"/>
      <c r="AF49" s="315"/>
      <c r="AG49" s="317"/>
      <c r="AH49" s="317"/>
      <c r="AI49" s="317"/>
      <c r="AJ49" s="317"/>
      <c r="AK49" s="317"/>
      <c r="AL49" s="317"/>
      <c r="AM49" s="317"/>
      <c r="AR49" s="318"/>
      <c r="AS49" s="319"/>
      <c r="AT49" s="320"/>
      <c r="AU49" s="320"/>
      <c r="AV49" s="315"/>
      <c r="AW49" s="317">
        <f>+AW37+AW41+AW42+AW43+AW44+AW45+AW46+AW47</f>
        <v>56696990.000000007</v>
      </c>
      <c r="AX49" s="317"/>
      <c r="AY49" s="317">
        <f>+AY37+AY41+AY42+AY43+AY44+AY45+AY46+AY47</f>
        <v>112424396</v>
      </c>
      <c r="AZ49" s="317"/>
      <c r="BA49" s="317">
        <f>+BA37+BA41+BA42+BA43+BA44+BA45+BA46+BA47</f>
        <v>107885450</v>
      </c>
      <c r="BB49" s="317"/>
      <c r="BC49" s="317">
        <f>+BC37+BC41+BC42+BC43+BC44+BC45+BC46+BC47</f>
        <v>117662116.66666667</v>
      </c>
      <c r="BD49" s="317"/>
      <c r="BE49" s="317">
        <f>+BE37+BE41+BE42+BE43+BE44+BE45+BE46+BE47</f>
        <v>146775560.5</v>
      </c>
      <c r="BF49" s="317"/>
      <c r="BG49" s="317">
        <f>+BG37+BG41+BG42+BG43+BG44+BG45+BG46+BG47</f>
        <v>23610091</v>
      </c>
      <c r="BH49" s="317"/>
      <c r="BI49" s="317">
        <f>+AW49+AY49+BA49+BC49+BE49</f>
        <v>541444513.16666675</v>
      </c>
      <c r="BJ49" s="322"/>
      <c r="BK49" s="322"/>
      <c r="BL49" s="322"/>
      <c r="BM49" s="322"/>
      <c r="BN49" s="322"/>
      <c r="BO49" s="314"/>
      <c r="BP49" s="323"/>
      <c r="BR49" s="326"/>
      <c r="BS49" s="326"/>
      <c r="BT49" s="326"/>
      <c r="BU49" s="326"/>
      <c r="BV49" s="326"/>
    </row>
    <row r="50" spans="1:74" ht="13.15" customHeight="1" x14ac:dyDescent="0.25">
      <c r="BJ50" s="311"/>
      <c r="BK50" s="311"/>
      <c r="BL50" s="311"/>
      <c r="BM50" s="311"/>
      <c r="BN50" s="311"/>
      <c r="BO50" s="340" t="s">
        <v>631</v>
      </c>
      <c r="BP50" s="341">
        <v>573562104</v>
      </c>
      <c r="BR50" s="325" t="s">
        <v>632</v>
      </c>
      <c r="BS50" s="342">
        <v>573562104</v>
      </c>
    </row>
    <row r="51" spans="1:74" ht="13.15" customHeight="1" x14ac:dyDescent="0.25">
      <c r="AS51" s="311">
        <f>+AS45/2</f>
        <v>5569725</v>
      </c>
      <c r="BJ51" s="311"/>
      <c r="BK51" s="311"/>
      <c r="BL51" s="311"/>
      <c r="BM51" s="311"/>
      <c r="BN51" s="311"/>
      <c r="BO51" s="343" t="s">
        <v>633</v>
      </c>
      <c r="BP51" s="344">
        <f>BO37+28500000</f>
        <v>538139988</v>
      </c>
      <c r="BS51" s="345">
        <f>+BP58</f>
        <v>32871216</v>
      </c>
    </row>
    <row r="52" spans="1:74" ht="13.15" customHeight="1" x14ac:dyDescent="0.25">
      <c r="AQ52" s="316"/>
      <c r="AR52" s="316"/>
      <c r="AS52" s="316"/>
      <c r="AT52" s="316"/>
      <c r="AU52" s="316"/>
      <c r="AV52" s="316"/>
      <c r="BJ52" s="311"/>
      <c r="BK52" s="311"/>
      <c r="BL52" s="311"/>
      <c r="BM52" s="311"/>
      <c r="BN52" s="311"/>
      <c r="BO52" s="343"/>
      <c r="BP52" s="314"/>
      <c r="BS52" s="345">
        <f>+BS50+BS51</f>
        <v>606433320</v>
      </c>
    </row>
    <row r="53" spans="1:74" ht="13.15" customHeight="1" x14ac:dyDescent="0.25">
      <c r="AQ53" s="316"/>
      <c r="AR53" s="316"/>
      <c r="AS53" s="316"/>
      <c r="AT53" s="316"/>
      <c r="AU53" s="316"/>
      <c r="AV53" s="316"/>
      <c r="BJ53" s="311"/>
      <c r="BK53" s="311"/>
      <c r="BL53" s="311"/>
      <c r="BM53" s="311"/>
      <c r="BN53" s="311"/>
      <c r="BO53" s="343" t="s">
        <v>634</v>
      </c>
      <c r="BP53" s="346">
        <f>+BP50-BP51</f>
        <v>35422116</v>
      </c>
    </row>
    <row r="54" spans="1:74" ht="13.15" customHeight="1" x14ac:dyDescent="0.25">
      <c r="AQ54" s="316"/>
      <c r="AU54" s="316"/>
      <c r="AV54" s="316"/>
      <c r="BJ54" s="311"/>
      <c r="BK54" s="311"/>
      <c r="BL54" s="311"/>
      <c r="BM54" s="311"/>
      <c r="BN54" s="311"/>
      <c r="BO54" s="314" t="s">
        <v>635</v>
      </c>
      <c r="BP54" s="323">
        <f>BG2+BG3+BG4+BG5+BG6+BG7+BG8+BG9+BG10+BG11+BG12+BG13+BG14+BG15+BG16+BG17+BG18+BG19+BG20+BG21+BG22+BG23+BG24+BG25+BG26+BG27+BG28+BG29</f>
        <v>15555091</v>
      </c>
    </row>
    <row r="55" spans="1:74" ht="13.15" customHeight="1" x14ac:dyDescent="0.25">
      <c r="AQ55" s="316"/>
      <c r="AU55" s="316"/>
      <c r="AV55" s="316"/>
      <c r="BJ55" s="311"/>
      <c r="BK55" s="311"/>
      <c r="BL55" s="311"/>
      <c r="BM55" s="311"/>
      <c r="BN55" s="311"/>
      <c r="BO55" s="314" t="s">
        <v>636</v>
      </c>
      <c r="BP55" s="323">
        <v>0</v>
      </c>
    </row>
    <row r="56" spans="1:74" ht="13.15" customHeight="1" x14ac:dyDescent="0.25">
      <c r="AQ56" s="316"/>
      <c r="AU56" s="316"/>
      <c r="AV56" s="316"/>
      <c r="BJ56" s="311"/>
      <c r="BK56" s="311"/>
      <c r="BL56" s="311"/>
      <c r="BM56" s="311"/>
      <c r="BN56" s="311"/>
      <c r="BO56" s="314" t="s">
        <v>637</v>
      </c>
      <c r="BP56" s="323">
        <f>BG30</f>
        <v>3166666.666666667</v>
      </c>
      <c r="BR56" s="345">
        <f>+BP54+BP56</f>
        <v>18721757.666666668</v>
      </c>
      <c r="BT56" s="345">
        <f>+BP50-BP51</f>
        <v>35422116</v>
      </c>
    </row>
    <row r="57" spans="1:74" ht="13.15" customHeight="1" x14ac:dyDescent="0.25">
      <c r="AQ57" s="316"/>
      <c r="AU57" s="316"/>
      <c r="AV57" s="316"/>
      <c r="BJ57" s="311"/>
      <c r="BK57" s="311"/>
      <c r="BL57" s="311"/>
      <c r="BM57" s="311"/>
      <c r="BN57" s="311"/>
      <c r="BO57" s="343" t="s">
        <v>638</v>
      </c>
      <c r="BP57" s="314">
        <f>+BP53+BP54+BP55+BP56</f>
        <v>54143873.666666664</v>
      </c>
    </row>
    <row r="58" spans="1:74" ht="13.15" customHeight="1" x14ac:dyDescent="0.25">
      <c r="AQ58" s="316"/>
      <c r="AU58" s="316"/>
      <c r="AV58" s="316"/>
      <c r="BJ58" s="311"/>
      <c r="BK58" s="311"/>
      <c r="BL58" s="311"/>
      <c r="BM58" s="311"/>
      <c r="BN58" s="311"/>
      <c r="BO58" s="343" t="s">
        <v>639</v>
      </c>
      <c r="BP58" s="314">
        <v>32871216</v>
      </c>
      <c r="BR58" s="345">
        <f>+BP53+BP54+BP56</f>
        <v>54143873.666666664</v>
      </c>
    </row>
    <row r="59" spans="1:74" ht="13.15" customHeight="1" x14ac:dyDescent="0.25">
      <c r="AQ59" s="316"/>
      <c r="AU59" s="316"/>
      <c r="AV59" s="316"/>
      <c r="BJ59" s="311"/>
      <c r="BK59" s="311"/>
      <c r="BL59" s="311"/>
      <c r="BM59" s="311"/>
      <c r="BN59" s="311"/>
      <c r="BP59" s="314"/>
    </row>
    <row r="60" spans="1:74" s="343" customFormat="1" ht="13.15" customHeight="1" x14ac:dyDescent="0.25">
      <c r="AQ60" s="328"/>
      <c r="AU60" s="328"/>
      <c r="AV60" s="328"/>
      <c r="BO60" s="340" t="s">
        <v>640</v>
      </c>
      <c r="BP60" s="341">
        <f>+BP57+BP58</f>
        <v>87015089.666666657</v>
      </c>
      <c r="BR60" s="347"/>
      <c r="BS60" s="347"/>
      <c r="BT60" s="347"/>
      <c r="BU60" s="347"/>
      <c r="BV60" s="347"/>
    </row>
    <row r="61" spans="1:74" s="343" customFormat="1" ht="13.15" customHeight="1" x14ac:dyDescent="0.25">
      <c r="AQ61" s="328"/>
      <c r="AU61" s="328"/>
      <c r="AV61" s="328"/>
      <c r="BP61" s="314"/>
      <c r="BR61" s="347"/>
      <c r="BS61" s="347"/>
      <c r="BT61" s="347"/>
      <c r="BU61" s="347"/>
      <c r="BV61" s="347"/>
    </row>
    <row r="62" spans="1:74" s="343" customFormat="1" ht="13.15" customHeight="1" x14ac:dyDescent="0.25">
      <c r="AQ62" s="328"/>
      <c r="AU62" s="328"/>
      <c r="AV62" s="328"/>
      <c r="BE62" s="343">
        <v>5569725</v>
      </c>
      <c r="BO62" s="311" t="s">
        <v>641</v>
      </c>
      <c r="BP62" s="323">
        <f>(5665000)+(5665000/30*20)</f>
        <v>9441666.6666666679</v>
      </c>
      <c r="BR62" s="347"/>
      <c r="BS62" s="347"/>
      <c r="BT62" s="347"/>
      <c r="BU62" s="347"/>
      <c r="BV62" s="347"/>
    </row>
    <row r="63" spans="1:74" s="343" customFormat="1" ht="13.15" customHeight="1" x14ac:dyDescent="0.25">
      <c r="AQ63" s="328"/>
      <c r="AU63" s="328"/>
      <c r="AV63" s="328"/>
      <c r="BE63" s="311">
        <v>3750000</v>
      </c>
      <c r="BO63" s="311" t="s">
        <v>642</v>
      </c>
      <c r="BP63" s="323">
        <f>(9000000)+(9000000/30*20)</f>
        <v>15000000</v>
      </c>
      <c r="BQ63" s="502"/>
      <c r="BR63" s="347"/>
      <c r="BS63" s="347"/>
      <c r="BT63" s="347"/>
      <c r="BU63" s="347"/>
      <c r="BV63" s="347"/>
    </row>
    <row r="64" spans="1:74" ht="13.15" customHeight="1" x14ac:dyDescent="0.25">
      <c r="AQ64" s="316"/>
      <c r="AR64" s="316"/>
      <c r="AS64" s="316"/>
      <c r="AT64" s="316"/>
      <c r="AU64" s="316"/>
      <c r="AV64" s="316"/>
      <c r="BE64" s="343">
        <v>4892500</v>
      </c>
      <c r="BJ64" s="311"/>
      <c r="BK64" s="311"/>
      <c r="BL64" s="311"/>
      <c r="BM64" s="311"/>
      <c r="BN64" s="311"/>
      <c r="BO64" s="348" t="s">
        <v>643</v>
      </c>
      <c r="BP64" s="349">
        <f>+BE43+BE44</f>
        <v>1733333.3333333335</v>
      </c>
      <c r="BR64" s="345"/>
    </row>
    <row r="65" spans="43:70" ht="13.15" customHeight="1" x14ac:dyDescent="0.25">
      <c r="AQ65" s="316"/>
      <c r="AR65" s="316"/>
      <c r="AS65" s="316"/>
      <c r="AT65" s="316"/>
      <c r="AU65" s="316"/>
      <c r="AV65" s="316"/>
      <c r="BJ65" s="311"/>
      <c r="BK65" s="311"/>
      <c r="BL65" s="311"/>
      <c r="BM65" s="311"/>
      <c r="BN65" s="311"/>
      <c r="BO65" s="348" t="s">
        <v>644</v>
      </c>
      <c r="BP65" s="349">
        <f>+(BL41+BN42)/2</f>
        <v>8445642.25</v>
      </c>
      <c r="BQ65" s="314">
        <f>+BP62+BP63+BP64+BP65</f>
        <v>34620642.25</v>
      </c>
    </row>
    <row r="66" spans="43:70" ht="13.15" customHeight="1" x14ac:dyDescent="0.25">
      <c r="BJ66" s="311"/>
      <c r="BK66" s="311"/>
      <c r="BL66" s="311"/>
      <c r="BM66" s="311"/>
      <c r="BN66" s="311"/>
      <c r="BO66" s="343" t="s">
        <v>645</v>
      </c>
      <c r="BP66" s="314">
        <f>+BH45+BH46+BH47</f>
        <v>14212225</v>
      </c>
      <c r="BQ66" s="312"/>
      <c r="BR66" s="350"/>
    </row>
    <row r="67" spans="43:70" ht="13.15" customHeight="1" x14ac:dyDescent="0.25">
      <c r="BJ67" s="311"/>
      <c r="BK67" s="311"/>
      <c r="BL67" s="311"/>
      <c r="BM67" s="311"/>
      <c r="BN67" s="311"/>
    </row>
    <row r="68" spans="43:70" ht="13.15" customHeight="1" x14ac:dyDescent="0.25">
      <c r="BJ68" s="311"/>
      <c r="BK68" s="311"/>
      <c r="BL68" s="311"/>
      <c r="BM68" s="311"/>
      <c r="BN68" s="311"/>
      <c r="BQ68" s="351"/>
    </row>
    <row r="69" spans="43:70" ht="13.15" customHeight="1" x14ac:dyDescent="0.25">
      <c r="BJ69" s="311"/>
      <c r="BK69" s="311"/>
      <c r="BL69" s="311"/>
      <c r="BM69" s="311"/>
      <c r="BN69" s="311"/>
      <c r="BO69" s="352" t="s">
        <v>646</v>
      </c>
      <c r="BP69" s="353">
        <f>+BP60-BP62-BP63-BP64-BP65-BP66</f>
        <v>38182222.416666649</v>
      </c>
    </row>
    <row r="70" spans="43:70" ht="13.15" customHeight="1" x14ac:dyDescent="0.25">
      <c r="BQ70" s="312">
        <f>+BP66+BP69</f>
        <v>52394447.416666649</v>
      </c>
    </row>
    <row r="71" spans="43:70" ht="13.15" customHeight="1" x14ac:dyDescent="0.25"/>
    <row r="72" spans="43:70" ht="13.15" customHeight="1" x14ac:dyDescent="0.25">
      <c r="BQ72" s="351">
        <f>+BP69/(BP50+BP58)</f>
        <v>6.2961946775395933E-2</v>
      </c>
    </row>
    <row r="73" spans="43:70" ht="13.15" customHeight="1" x14ac:dyDescent="0.25"/>
    <row r="74" spans="43:70" ht="13.15" customHeight="1" x14ac:dyDescent="0.25">
      <c r="BR74" s="351">
        <f>+BQ70/(BP50+BP58)</f>
        <v>8.6397705549336651E-2</v>
      </c>
    </row>
    <row r="75" spans="43:70" ht="13.15" customHeight="1" x14ac:dyDescent="0.25"/>
    <row r="76" spans="43:70" ht="13.15" customHeight="1" x14ac:dyDescent="0.25">
      <c r="BP76" s="312">
        <f>+BP72-BP73-BP74-BP75</f>
        <v>0</v>
      </c>
      <c r="BR76" s="345"/>
    </row>
    <row r="79" spans="43:70" ht="29.45" customHeight="1" x14ac:dyDescent="0.25">
      <c r="BO79" s="354" t="s">
        <v>647</v>
      </c>
      <c r="BP79" s="355" t="s">
        <v>648</v>
      </c>
      <c r="BQ79" s="355" t="s">
        <v>419</v>
      </c>
    </row>
    <row r="80" spans="43:70" x14ac:dyDescent="0.25">
      <c r="BO80" s="354" t="s">
        <v>649</v>
      </c>
      <c r="BP80" s="356">
        <f>+BP50+BP58</f>
        <v>606433320</v>
      </c>
      <c r="BQ80" s="357">
        <v>1</v>
      </c>
    </row>
    <row r="81" spans="67:72" x14ac:dyDescent="0.25">
      <c r="BO81" s="354" t="s">
        <v>650</v>
      </c>
      <c r="BP81" s="358">
        <f>+AW49</f>
        <v>56696990.000000007</v>
      </c>
      <c r="BQ81" s="359">
        <f>+BP81/$BS$52</f>
        <v>9.3492537646183441E-2</v>
      </c>
    </row>
    <row r="82" spans="67:72" x14ac:dyDescent="0.25">
      <c r="BO82" s="354" t="s">
        <v>651</v>
      </c>
      <c r="BP82" s="358">
        <f>+AY49</f>
        <v>112424396</v>
      </c>
      <c r="BQ82" s="359">
        <f>BP82/$BS$52</f>
        <v>0.1853862449378606</v>
      </c>
    </row>
    <row r="83" spans="67:72" x14ac:dyDescent="0.25">
      <c r="BO83" s="354" t="s">
        <v>652</v>
      </c>
      <c r="BP83" s="358">
        <f>+BA49</f>
        <v>107885450</v>
      </c>
      <c r="BQ83" s="359">
        <f t="shared" ref="BQ83:BQ85" si="24">BP83/$BS$52</f>
        <v>0.17790158693786812</v>
      </c>
      <c r="BS83" s="359"/>
    </row>
    <row r="84" spans="67:72" x14ac:dyDescent="0.25">
      <c r="BO84" s="354" t="s">
        <v>653</v>
      </c>
      <c r="BP84" s="358">
        <f>+BC49</f>
        <v>117662116.66666667</v>
      </c>
      <c r="BQ84" s="359">
        <f t="shared" si="24"/>
        <v>0.19402317251741161</v>
      </c>
    </row>
    <row r="85" spans="67:72" ht="29.45" customHeight="1" x14ac:dyDescent="0.25">
      <c r="BO85" s="354" t="s">
        <v>654</v>
      </c>
      <c r="BP85" s="358">
        <f>+BE49</f>
        <v>146775560.5</v>
      </c>
      <c r="BQ85" s="359">
        <f t="shared" si="24"/>
        <v>0.24203083118849736</v>
      </c>
    </row>
    <row r="86" spans="67:72" ht="29.45" customHeight="1" x14ac:dyDescent="0.25">
      <c r="BO86" s="354"/>
      <c r="BP86" s="358">
        <f>+BP81+BP82+BP83+BP84+BP85</f>
        <v>541444513.16666675</v>
      </c>
      <c r="BQ86" s="359">
        <f>+BP86/BP80</f>
        <v>0.89283437322782122</v>
      </c>
    </row>
    <row r="87" spans="67:72" x14ac:dyDescent="0.25">
      <c r="BO87" s="354" t="s">
        <v>655</v>
      </c>
      <c r="BP87" s="358">
        <f>BH45+BH46+BH47</f>
        <v>14212225</v>
      </c>
      <c r="BQ87" s="359">
        <f t="shared" ref="BQ87" si="25">+BP87/$BS$52</f>
        <v>2.3435758773940718E-2</v>
      </c>
      <c r="BR87" s="345" t="e">
        <f>+#REF!+BP87</f>
        <v>#REF!</v>
      </c>
      <c r="BS87" s="360" t="e">
        <f>+#REF!+BQ87</f>
        <v>#REF!</v>
      </c>
    </row>
    <row r="88" spans="67:72" x14ac:dyDescent="0.25">
      <c r="BP88" s="361">
        <f>+BP86+BP87</f>
        <v>555656738.16666675</v>
      </c>
      <c r="BQ88" s="362">
        <f>+BP88/BP80</f>
        <v>0.91627013200176199</v>
      </c>
    </row>
    <row r="89" spans="67:72" x14ac:dyDescent="0.25">
      <c r="BO89" s="311" t="s">
        <v>656</v>
      </c>
      <c r="BP89" s="361">
        <f>+BP69</f>
        <v>38182222.416666649</v>
      </c>
      <c r="BQ89" s="362">
        <f>+BP89/BP80</f>
        <v>6.2961946775395933E-2</v>
      </c>
    </row>
    <row r="90" spans="67:72" x14ac:dyDescent="0.25">
      <c r="BQ90" s="359"/>
    </row>
    <row r="91" spans="67:72" x14ac:dyDescent="0.25">
      <c r="BP91" s="312"/>
      <c r="BQ91" s="359"/>
    </row>
    <row r="93" spans="67:72" ht="13.5" thickBot="1" x14ac:dyDescent="0.3"/>
    <row r="94" spans="67:72" ht="30.75" thickBot="1" x14ac:dyDescent="0.3">
      <c r="BO94" s="503" t="s">
        <v>657</v>
      </c>
      <c r="BP94" s="504" t="s">
        <v>658</v>
      </c>
      <c r="BR94" s="505" t="s">
        <v>659</v>
      </c>
      <c r="BS94" s="506" t="s">
        <v>660</v>
      </c>
      <c r="BT94" s="506" t="s">
        <v>661</v>
      </c>
    </row>
    <row r="95" spans="67:72" ht="75.75" thickBot="1" x14ac:dyDescent="0.3">
      <c r="BO95" s="507" t="s">
        <v>662</v>
      </c>
      <c r="BP95" s="508">
        <v>573562104</v>
      </c>
      <c r="BR95" s="509" t="s">
        <v>641</v>
      </c>
      <c r="BS95" s="510" t="s">
        <v>663</v>
      </c>
      <c r="BT95" s="511">
        <v>9441667</v>
      </c>
    </row>
    <row r="96" spans="67:72" ht="60.75" thickBot="1" x14ac:dyDescent="0.3">
      <c r="BO96" s="507" t="s">
        <v>664</v>
      </c>
      <c r="BP96" s="512">
        <v>542433318</v>
      </c>
      <c r="BR96" s="509" t="s">
        <v>665</v>
      </c>
      <c r="BS96" s="510" t="s">
        <v>663</v>
      </c>
      <c r="BT96" s="511">
        <v>15000000</v>
      </c>
    </row>
    <row r="97" spans="45:72" ht="45.75" thickBot="1" x14ac:dyDescent="0.3">
      <c r="BO97" s="513" t="s">
        <v>666</v>
      </c>
      <c r="BP97" s="512">
        <f>+BP95-BP96</f>
        <v>31128786</v>
      </c>
      <c r="BR97" s="509" t="s">
        <v>667</v>
      </c>
      <c r="BS97" s="510" t="s">
        <v>668</v>
      </c>
      <c r="BT97" s="511">
        <v>16891285</v>
      </c>
    </row>
    <row r="98" spans="45:72" ht="15.75" thickBot="1" x14ac:dyDescent="0.3">
      <c r="BO98" s="514" t="s">
        <v>669</v>
      </c>
      <c r="BP98" s="515">
        <f>+BG37</f>
        <v>23610091</v>
      </c>
      <c r="BR98" s="509"/>
      <c r="BS98" s="510"/>
      <c r="BT98" s="511"/>
    </row>
    <row r="99" spans="45:72" ht="60.75" thickBot="1" x14ac:dyDescent="0.3">
      <c r="BO99" s="507" t="s">
        <v>670</v>
      </c>
      <c r="BP99" s="508">
        <f>+BP97+BP98</f>
        <v>54738877</v>
      </c>
      <c r="BR99" s="509" t="s">
        <v>671</v>
      </c>
      <c r="BS99" s="510" t="s">
        <v>672</v>
      </c>
      <c r="BT99" s="511">
        <v>1733333</v>
      </c>
    </row>
    <row r="100" spans="45:72" ht="15.75" thickBot="1" x14ac:dyDescent="0.3">
      <c r="BO100" s="513" t="s">
        <v>673</v>
      </c>
      <c r="BP100" s="512">
        <v>32871216</v>
      </c>
      <c r="BR100" s="902" t="s">
        <v>674</v>
      </c>
      <c r="BS100" s="903"/>
      <c r="BT100" s="516">
        <f>SUM(BT95:BT99)</f>
        <v>43066285</v>
      </c>
    </row>
    <row r="101" spans="45:72" ht="15.75" thickBot="1" x14ac:dyDescent="0.3">
      <c r="BO101" s="505" t="s">
        <v>675</v>
      </c>
      <c r="BP101" s="516">
        <f>+BP99+BP100</f>
        <v>87610093</v>
      </c>
    </row>
    <row r="102" spans="45:72" ht="30.75" thickBot="1" x14ac:dyDescent="0.3">
      <c r="BO102" s="517" t="s">
        <v>676</v>
      </c>
      <c r="BP102" s="511">
        <v>43066285</v>
      </c>
    </row>
    <row r="103" spans="45:72" ht="15.75" thickBot="1" x14ac:dyDescent="0.3">
      <c r="BO103" s="505" t="s">
        <v>677</v>
      </c>
      <c r="BP103" s="516">
        <f>+BP101-BP102</f>
        <v>44543808</v>
      </c>
    </row>
    <row r="104" spans="45:72" ht="30.75" thickBot="1" x14ac:dyDescent="0.3">
      <c r="AS104" s="311" t="s">
        <v>412</v>
      </c>
      <c r="BO104" s="518" t="s">
        <v>678</v>
      </c>
      <c r="BP104" s="519">
        <v>14212225</v>
      </c>
    </row>
    <row r="105" spans="45:72" ht="12.6" customHeight="1" thickBot="1" x14ac:dyDescent="0.3">
      <c r="AS105" s="311">
        <v>1</v>
      </c>
      <c r="AT105" s="311" t="s">
        <v>137</v>
      </c>
      <c r="BO105" s="520" t="s">
        <v>679</v>
      </c>
      <c r="BP105" s="521">
        <f>+BP103-BP104</f>
        <v>30331583</v>
      </c>
    </row>
    <row r="106" spans="45:72" x14ac:dyDescent="0.25">
      <c r="AS106" s="311">
        <v>3</v>
      </c>
      <c r="AT106" s="311" t="s">
        <v>198</v>
      </c>
    </row>
    <row r="107" spans="45:72" x14ac:dyDescent="0.25">
      <c r="AS107" s="311">
        <v>4</v>
      </c>
      <c r="AT107" s="311" t="s">
        <v>221</v>
      </c>
    </row>
    <row r="108" spans="45:72" x14ac:dyDescent="0.25">
      <c r="AS108" s="311">
        <v>5</v>
      </c>
      <c r="AT108" s="311" t="s">
        <v>236</v>
      </c>
    </row>
  </sheetData>
  <autoFilter ref="A1:CC1" xr:uid="{ECEB87B8-230C-4DE4-A6BB-838003461B56}"/>
  <mergeCells count="1">
    <mergeCell ref="BR100:BS100"/>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CF09A-13C1-4DC6-A2B2-7C8E4BB38F48}">
  <sheetPr codeName="Hoja6"/>
  <dimension ref="A1:J48"/>
  <sheetViews>
    <sheetView workbookViewId="0">
      <selection activeCell="B12" sqref="B12"/>
    </sheetView>
  </sheetViews>
  <sheetFormatPr baseColWidth="10" defaultColWidth="11.42578125" defaultRowHeight="15" x14ac:dyDescent="0.25"/>
  <cols>
    <col min="1" max="1" width="15.85546875" customWidth="1"/>
    <col min="2" max="2" width="70.5703125" customWidth="1"/>
    <col min="3" max="3" width="45.85546875" customWidth="1"/>
    <col min="4" max="4" width="77.85546875" customWidth="1"/>
    <col min="5" max="5" width="15.5703125" customWidth="1"/>
    <col min="6" max="6" width="53.5703125" customWidth="1"/>
    <col min="7" max="7" width="32.85546875" style="7" customWidth="1"/>
    <col min="8" max="8" width="19" style="2" customWidth="1"/>
    <col min="9" max="9" width="29.42578125" style="2" customWidth="1"/>
    <col min="10" max="10" width="36.28515625" style="2" customWidth="1"/>
  </cols>
  <sheetData>
    <row r="1" spans="1:10" ht="25.5" x14ac:dyDescent="0.25">
      <c r="A1" s="9" t="s">
        <v>680</v>
      </c>
      <c r="B1" s="9" t="s">
        <v>14</v>
      </c>
      <c r="C1" s="9" t="s">
        <v>681</v>
      </c>
      <c r="D1" s="9" t="s">
        <v>682</v>
      </c>
      <c r="E1" s="9" t="s">
        <v>683</v>
      </c>
      <c r="F1" s="10" t="s">
        <v>684</v>
      </c>
      <c r="G1" s="10" t="s">
        <v>86</v>
      </c>
      <c r="H1" s="10" t="s">
        <v>685</v>
      </c>
      <c r="I1" s="10" t="s">
        <v>685</v>
      </c>
      <c r="J1" s="10" t="s">
        <v>346</v>
      </c>
    </row>
    <row r="2" spans="1:10" x14ac:dyDescent="0.25">
      <c r="A2" s="11"/>
      <c r="B2" s="11"/>
      <c r="C2" s="11"/>
      <c r="D2" s="11"/>
      <c r="E2" s="11"/>
      <c r="F2" s="12"/>
      <c r="G2" s="3" t="s">
        <v>686</v>
      </c>
      <c r="H2" s="8" t="s">
        <v>687</v>
      </c>
      <c r="I2" s="8" t="s">
        <v>688</v>
      </c>
      <c r="J2" s="8" t="s">
        <v>689</v>
      </c>
    </row>
    <row r="3" spans="1:10" x14ac:dyDescent="0.25">
      <c r="A3" s="8" t="s">
        <v>690</v>
      </c>
      <c r="B3" s="14" t="s">
        <v>691</v>
      </c>
      <c r="C3" s="13" t="s">
        <v>692</v>
      </c>
      <c r="D3" s="8" t="s">
        <v>693</v>
      </c>
      <c r="E3" s="8" t="s">
        <v>694</v>
      </c>
      <c r="F3" s="8" t="s">
        <v>695</v>
      </c>
      <c r="G3" s="8" t="s">
        <v>696</v>
      </c>
      <c r="H3" s="8" t="s">
        <v>697</v>
      </c>
      <c r="I3" s="8" t="s">
        <v>698</v>
      </c>
      <c r="J3" s="8" t="s">
        <v>355</v>
      </c>
    </row>
    <row r="4" spans="1:10" x14ac:dyDescent="0.25">
      <c r="A4" s="8" t="s">
        <v>134</v>
      </c>
      <c r="B4" s="14" t="s">
        <v>135</v>
      </c>
      <c r="C4" s="13" t="s">
        <v>699</v>
      </c>
      <c r="D4" s="8" t="s">
        <v>700</v>
      </c>
      <c r="E4" s="8" t="s">
        <v>701</v>
      </c>
      <c r="F4" s="8" t="s">
        <v>702</v>
      </c>
      <c r="G4" s="8" t="s">
        <v>703</v>
      </c>
      <c r="H4" s="8" t="s">
        <v>704</v>
      </c>
      <c r="I4" s="8" t="s">
        <v>705</v>
      </c>
      <c r="J4" s="8" t="s">
        <v>706</v>
      </c>
    </row>
    <row r="5" spans="1:10" x14ac:dyDescent="0.25">
      <c r="A5" s="8" t="s">
        <v>707</v>
      </c>
      <c r="B5" s="14" t="s">
        <v>708</v>
      </c>
      <c r="C5" s="13" t="s">
        <v>709</v>
      </c>
      <c r="D5" s="8" t="s">
        <v>710</v>
      </c>
      <c r="E5" s="8" t="s">
        <v>711</v>
      </c>
      <c r="F5" s="8" t="s">
        <v>510</v>
      </c>
      <c r="G5" s="8" t="s">
        <v>712</v>
      </c>
      <c r="H5" s="8" t="s">
        <v>269</v>
      </c>
      <c r="I5" s="8" t="s">
        <v>713</v>
      </c>
      <c r="J5" s="8" t="s">
        <v>351</v>
      </c>
    </row>
    <row r="6" spans="1:10" x14ac:dyDescent="0.25">
      <c r="A6" s="8" t="s">
        <v>714</v>
      </c>
      <c r="B6" s="14" t="s">
        <v>715</v>
      </c>
      <c r="C6" s="13" t="s">
        <v>716</v>
      </c>
      <c r="D6" s="8" t="s">
        <v>717</v>
      </c>
      <c r="E6" s="8" t="s">
        <v>718</v>
      </c>
      <c r="F6" s="8" t="s">
        <v>719</v>
      </c>
      <c r="G6" s="8" t="s">
        <v>720</v>
      </c>
      <c r="H6" s="8"/>
      <c r="I6" s="8" t="s">
        <v>721</v>
      </c>
      <c r="J6" s="8" t="s">
        <v>352</v>
      </c>
    </row>
    <row r="7" spans="1:10" x14ac:dyDescent="0.25">
      <c r="A7" s="8"/>
      <c r="B7" s="14" t="s">
        <v>722</v>
      </c>
      <c r="C7" s="13" t="s">
        <v>723</v>
      </c>
      <c r="D7" s="8" t="s">
        <v>724</v>
      </c>
      <c r="E7" s="8" t="s">
        <v>525</v>
      </c>
      <c r="F7" s="8" t="s">
        <v>725</v>
      </c>
      <c r="G7" s="8" t="s">
        <v>726</v>
      </c>
      <c r="H7" s="8"/>
      <c r="I7" s="8" t="s">
        <v>361</v>
      </c>
      <c r="J7" s="8" t="s">
        <v>353</v>
      </c>
    </row>
    <row r="8" spans="1:10" x14ac:dyDescent="0.25">
      <c r="A8" s="8"/>
      <c r="B8" s="14" t="s">
        <v>727</v>
      </c>
      <c r="C8" s="13" t="s">
        <v>728</v>
      </c>
      <c r="D8" s="8" t="s">
        <v>729</v>
      </c>
      <c r="E8" s="8" t="s">
        <v>730</v>
      </c>
      <c r="F8" s="8" t="s">
        <v>731</v>
      </c>
      <c r="G8" s="8" t="s">
        <v>732</v>
      </c>
      <c r="H8" s="8"/>
      <c r="I8" s="8"/>
      <c r="J8" s="8"/>
    </row>
    <row r="9" spans="1:10" x14ac:dyDescent="0.25">
      <c r="C9" s="13" t="s">
        <v>136</v>
      </c>
      <c r="D9" s="8" t="s">
        <v>733</v>
      </c>
      <c r="E9" s="8"/>
      <c r="F9" s="8"/>
      <c r="G9" s="8" t="s">
        <v>734</v>
      </c>
    </row>
    <row r="10" spans="1:10" x14ac:dyDescent="0.25">
      <c r="C10" s="13" t="s">
        <v>735</v>
      </c>
      <c r="D10" s="8" t="s">
        <v>736</v>
      </c>
      <c r="E10" s="8"/>
      <c r="F10" s="8"/>
      <c r="G10" s="8" t="s">
        <v>737</v>
      </c>
    </row>
    <row r="11" spans="1:10" x14ac:dyDescent="0.25">
      <c r="C11" s="13" t="s">
        <v>738</v>
      </c>
      <c r="D11" s="8" t="s">
        <v>739</v>
      </c>
      <c r="E11" s="8"/>
      <c r="F11" s="8"/>
      <c r="G11" s="8" t="s">
        <v>740</v>
      </c>
    </row>
    <row r="12" spans="1:10" x14ac:dyDescent="0.25">
      <c r="C12" s="13" t="s">
        <v>741</v>
      </c>
      <c r="D12" s="8" t="s">
        <v>742</v>
      </c>
      <c r="E12" s="8"/>
      <c r="F12" s="8"/>
      <c r="G12" s="8" t="s">
        <v>743</v>
      </c>
    </row>
    <row r="13" spans="1:10" x14ac:dyDescent="0.25">
      <c r="C13" s="13" t="s">
        <v>744</v>
      </c>
      <c r="D13" s="8" t="s">
        <v>745</v>
      </c>
      <c r="E13" s="8"/>
      <c r="F13" s="8"/>
      <c r="G13" s="8" t="s">
        <v>746</v>
      </c>
    </row>
    <row r="14" spans="1:10" x14ac:dyDescent="0.25">
      <c r="B14" s="1"/>
      <c r="C14" s="13" t="s">
        <v>747</v>
      </c>
      <c r="D14" s="8" t="s">
        <v>748</v>
      </c>
      <c r="E14" s="8"/>
      <c r="F14" s="8"/>
      <c r="G14" s="8" t="s">
        <v>749</v>
      </c>
    </row>
    <row r="15" spans="1:10" x14ac:dyDescent="0.25">
      <c r="B15" s="1"/>
      <c r="C15" s="13" t="s">
        <v>750</v>
      </c>
      <c r="D15" s="8" t="s">
        <v>133</v>
      </c>
      <c r="E15" s="8"/>
      <c r="F15" s="8"/>
      <c r="G15" s="8" t="s">
        <v>414</v>
      </c>
    </row>
    <row r="16" spans="1:10" x14ac:dyDescent="0.25">
      <c r="C16" s="13" t="s">
        <v>751</v>
      </c>
      <c r="D16" s="8"/>
      <c r="E16" s="1"/>
      <c r="G16" s="5"/>
    </row>
    <row r="17" spans="2:7" x14ac:dyDescent="0.25">
      <c r="C17" s="13" t="s">
        <v>752</v>
      </c>
      <c r="D17" s="8"/>
      <c r="E17" s="1"/>
      <c r="G17" s="5"/>
    </row>
    <row r="18" spans="2:7" x14ac:dyDescent="0.25">
      <c r="C18" s="13" t="s">
        <v>753</v>
      </c>
      <c r="D18" s="8"/>
      <c r="E18" s="1"/>
      <c r="G18" s="5"/>
    </row>
    <row r="19" spans="2:7" x14ac:dyDescent="0.25">
      <c r="C19" s="13" t="s">
        <v>754</v>
      </c>
      <c r="D19" s="8"/>
      <c r="E19" s="1"/>
      <c r="G19" s="5"/>
    </row>
    <row r="20" spans="2:7" x14ac:dyDescent="0.25">
      <c r="B20" s="1"/>
      <c r="C20" s="13" t="s">
        <v>755</v>
      </c>
      <c r="D20" s="8"/>
      <c r="E20" s="1"/>
      <c r="G20" s="5"/>
    </row>
    <row r="21" spans="2:7" x14ac:dyDescent="0.25">
      <c r="E21" s="1"/>
      <c r="G21" s="5"/>
    </row>
    <row r="22" spans="2:7" x14ac:dyDescent="0.25">
      <c r="E22" s="1"/>
      <c r="G22" s="5"/>
    </row>
    <row r="23" spans="2:7" x14ac:dyDescent="0.25">
      <c r="G23" s="5"/>
    </row>
    <row r="24" spans="2:7" x14ac:dyDescent="0.25">
      <c r="G24" s="6" t="s">
        <v>756</v>
      </c>
    </row>
    <row r="25" spans="2:7" x14ac:dyDescent="0.25">
      <c r="G25" s="4" t="s">
        <v>757</v>
      </c>
    </row>
    <row r="26" spans="2:7" x14ac:dyDescent="0.25">
      <c r="G26" s="4" t="s">
        <v>758</v>
      </c>
    </row>
    <row r="27" spans="2:7" x14ac:dyDescent="0.25">
      <c r="G27" s="4" t="s">
        <v>759</v>
      </c>
    </row>
    <row r="28" spans="2:7" x14ac:dyDescent="0.25">
      <c r="G28" s="4" t="s">
        <v>760</v>
      </c>
    </row>
    <row r="29" spans="2:7" x14ac:dyDescent="0.25">
      <c r="G29" s="4" t="s">
        <v>761</v>
      </c>
    </row>
    <row r="30" spans="2:7" x14ac:dyDescent="0.25">
      <c r="G30" s="4" t="s">
        <v>762</v>
      </c>
    </row>
    <row r="31" spans="2:7" x14ac:dyDescent="0.25">
      <c r="G31" s="4" t="s">
        <v>763</v>
      </c>
    </row>
    <row r="32" spans="2:7" x14ac:dyDescent="0.25">
      <c r="G32" s="4" t="s">
        <v>764</v>
      </c>
    </row>
    <row r="33" spans="7:7" x14ac:dyDescent="0.25">
      <c r="G33" s="4" t="s">
        <v>765</v>
      </c>
    </row>
    <row r="34" spans="7:7" x14ac:dyDescent="0.25">
      <c r="G34" s="4" t="s">
        <v>766</v>
      </c>
    </row>
    <row r="35" spans="7:7" x14ac:dyDescent="0.25">
      <c r="G35" s="4" t="s">
        <v>767</v>
      </c>
    </row>
    <row r="36" spans="7:7" x14ac:dyDescent="0.25">
      <c r="G36" s="4" t="s">
        <v>768</v>
      </c>
    </row>
    <row r="37" spans="7:7" x14ac:dyDescent="0.25">
      <c r="G37" s="4" t="s">
        <v>769</v>
      </c>
    </row>
    <row r="38" spans="7:7" x14ac:dyDescent="0.25">
      <c r="G38" s="4" t="s">
        <v>770</v>
      </c>
    </row>
    <row r="39" spans="7:7" x14ac:dyDescent="0.25">
      <c r="G39" s="4" t="s">
        <v>771</v>
      </c>
    </row>
    <row r="40" spans="7:7" x14ac:dyDescent="0.25">
      <c r="G40" s="4" t="s">
        <v>772</v>
      </c>
    </row>
    <row r="41" spans="7:7" x14ac:dyDescent="0.25">
      <c r="G41" s="4" t="s">
        <v>773</v>
      </c>
    </row>
    <row r="42" spans="7:7" x14ac:dyDescent="0.25">
      <c r="G42" s="4" t="s">
        <v>774</v>
      </c>
    </row>
    <row r="43" spans="7:7" x14ac:dyDescent="0.25">
      <c r="G43" s="4" t="s">
        <v>775</v>
      </c>
    </row>
    <row r="44" spans="7:7" x14ac:dyDescent="0.25">
      <c r="G44" s="4" t="s">
        <v>776</v>
      </c>
    </row>
    <row r="45" spans="7:7" x14ac:dyDescent="0.25">
      <c r="G45" s="4" t="s">
        <v>777</v>
      </c>
    </row>
    <row r="46" spans="7:7" x14ac:dyDescent="0.25">
      <c r="G46" s="4" t="s">
        <v>778</v>
      </c>
    </row>
    <row r="47" spans="7:7" x14ac:dyDescent="0.25">
      <c r="G47" s="4" t="s">
        <v>779</v>
      </c>
    </row>
    <row r="48" spans="7:7" x14ac:dyDescent="0.25">
      <c r="G48" s="4" t="s">
        <v>780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C6377-2E43-4321-B50F-2F5F8E1E3A5F}">
  <sheetPr>
    <tabColor rgb="FFE674EC"/>
    <pageSetUpPr fitToPage="1"/>
  </sheetPr>
  <dimension ref="A1:AO96"/>
  <sheetViews>
    <sheetView showGridLines="0" tabSelected="1" view="pageBreakPreview" topLeftCell="O3" zoomScale="85" zoomScaleNormal="60" zoomScaleSheetLayoutView="85" workbookViewId="0">
      <selection activeCell="O8" sqref="O8:P8"/>
    </sheetView>
  </sheetViews>
  <sheetFormatPr baseColWidth="10" defaultColWidth="10.85546875" defaultRowHeight="14.25" x14ac:dyDescent="0.25"/>
  <cols>
    <col min="1" max="1" width="38.42578125" style="125" customWidth="1"/>
    <col min="2" max="2" width="20.5703125" style="125" customWidth="1"/>
    <col min="3" max="14" width="20.7109375" style="125" customWidth="1"/>
    <col min="15" max="15" width="20.5703125" style="125" customWidth="1"/>
    <col min="16" max="16" width="32.42578125" style="125" customWidth="1"/>
    <col min="17" max="27" width="18.140625" style="125" customWidth="1"/>
    <col min="28" max="28" width="22.7109375" style="125" customWidth="1"/>
    <col min="29" max="29" width="19" style="125" customWidth="1"/>
    <col min="30" max="30" width="19.42578125" style="125" customWidth="1"/>
    <col min="31" max="31" width="20.5703125" style="125" customWidth="1"/>
    <col min="32" max="32" width="22.85546875" style="125" customWidth="1"/>
    <col min="33" max="33" width="18.42578125" style="125" bestFit="1" customWidth="1"/>
    <col min="34" max="34" width="8.42578125" style="125" customWidth="1"/>
    <col min="35" max="35" width="18.42578125" style="125" bestFit="1" customWidth="1"/>
    <col min="36" max="36" width="5.7109375" style="125" customWidth="1"/>
    <col min="37" max="37" width="18.42578125" style="125" bestFit="1" customWidth="1"/>
    <col min="38" max="38" width="4.7109375" style="125" customWidth="1"/>
    <col min="39" max="39" width="23" style="125" bestFit="1" customWidth="1"/>
    <col min="40" max="40" width="10.85546875" style="125"/>
    <col min="41" max="41" width="18.42578125" style="125" bestFit="1" customWidth="1"/>
    <col min="42" max="42" width="16.140625" style="125" customWidth="1"/>
    <col min="43" max="16384" width="10.85546875" style="125"/>
  </cols>
  <sheetData>
    <row r="1" spans="1:31" ht="32.25" customHeight="1" thickBot="1" x14ac:dyDescent="0.3">
      <c r="A1" s="598"/>
      <c r="B1" s="601" t="s">
        <v>121</v>
      </c>
      <c r="C1" s="602"/>
      <c r="D1" s="602"/>
      <c r="E1" s="602"/>
      <c r="F1" s="602"/>
      <c r="G1" s="602"/>
      <c r="H1" s="602"/>
      <c r="I1" s="602"/>
      <c r="J1" s="602"/>
      <c r="K1" s="602"/>
      <c r="L1" s="602"/>
      <c r="M1" s="602"/>
      <c r="N1" s="602"/>
      <c r="O1" s="602"/>
      <c r="P1" s="602"/>
      <c r="Q1" s="602"/>
      <c r="R1" s="602"/>
      <c r="S1" s="602"/>
      <c r="T1" s="602"/>
      <c r="U1" s="602"/>
      <c r="V1" s="602"/>
      <c r="W1" s="602"/>
      <c r="X1" s="602"/>
      <c r="Y1" s="602"/>
      <c r="Z1" s="602"/>
      <c r="AA1" s="603"/>
      <c r="AB1" s="604" t="s">
        <v>122</v>
      </c>
      <c r="AC1" s="605"/>
      <c r="AD1" s="605"/>
      <c r="AE1" s="606"/>
    </row>
    <row r="2" spans="1:31" ht="30.75" customHeight="1" thickBot="1" x14ac:dyDescent="0.3">
      <c r="A2" s="599"/>
      <c r="B2" s="601" t="s">
        <v>123</v>
      </c>
      <c r="C2" s="602"/>
      <c r="D2" s="602"/>
      <c r="E2" s="602"/>
      <c r="F2" s="602"/>
      <c r="G2" s="602"/>
      <c r="H2" s="602"/>
      <c r="I2" s="602"/>
      <c r="J2" s="602"/>
      <c r="K2" s="602"/>
      <c r="L2" s="602"/>
      <c r="M2" s="602"/>
      <c r="N2" s="602"/>
      <c r="O2" s="602"/>
      <c r="P2" s="602"/>
      <c r="Q2" s="602"/>
      <c r="R2" s="602"/>
      <c r="S2" s="602"/>
      <c r="T2" s="602"/>
      <c r="U2" s="602"/>
      <c r="V2" s="602"/>
      <c r="W2" s="602"/>
      <c r="X2" s="602"/>
      <c r="Y2" s="602"/>
      <c r="Z2" s="602"/>
      <c r="AA2" s="603"/>
      <c r="AB2" s="604" t="s">
        <v>124</v>
      </c>
      <c r="AC2" s="605"/>
      <c r="AD2" s="605"/>
      <c r="AE2" s="606"/>
    </row>
    <row r="3" spans="1:31" ht="24" customHeight="1" thickBot="1" x14ac:dyDescent="0.3">
      <c r="A3" s="599"/>
      <c r="B3" s="607" t="s">
        <v>125</v>
      </c>
      <c r="C3" s="608"/>
      <c r="D3" s="608"/>
      <c r="E3" s="608"/>
      <c r="F3" s="608"/>
      <c r="G3" s="608"/>
      <c r="H3" s="608"/>
      <c r="I3" s="608"/>
      <c r="J3" s="608"/>
      <c r="K3" s="608"/>
      <c r="L3" s="608"/>
      <c r="M3" s="608"/>
      <c r="N3" s="608"/>
      <c r="O3" s="608"/>
      <c r="P3" s="608"/>
      <c r="Q3" s="608"/>
      <c r="R3" s="608"/>
      <c r="S3" s="608"/>
      <c r="T3" s="608"/>
      <c r="U3" s="608"/>
      <c r="V3" s="608"/>
      <c r="W3" s="608"/>
      <c r="X3" s="608"/>
      <c r="Y3" s="608"/>
      <c r="Z3" s="608"/>
      <c r="AA3" s="609"/>
      <c r="AB3" s="604" t="s">
        <v>126</v>
      </c>
      <c r="AC3" s="605"/>
      <c r="AD3" s="605"/>
      <c r="AE3" s="606"/>
    </row>
    <row r="4" spans="1:31" ht="21.75" customHeight="1" thickBot="1" x14ac:dyDescent="0.3">
      <c r="A4" s="600"/>
      <c r="B4" s="610"/>
      <c r="C4" s="611"/>
      <c r="D4" s="611"/>
      <c r="E4" s="611"/>
      <c r="F4" s="611"/>
      <c r="G4" s="611"/>
      <c r="H4" s="611"/>
      <c r="I4" s="611"/>
      <c r="J4" s="611"/>
      <c r="K4" s="611"/>
      <c r="L4" s="611"/>
      <c r="M4" s="611"/>
      <c r="N4" s="611"/>
      <c r="O4" s="611"/>
      <c r="P4" s="611"/>
      <c r="Q4" s="611"/>
      <c r="R4" s="611"/>
      <c r="S4" s="611"/>
      <c r="T4" s="611"/>
      <c r="U4" s="611"/>
      <c r="V4" s="611"/>
      <c r="W4" s="611"/>
      <c r="X4" s="611"/>
      <c r="Y4" s="611"/>
      <c r="Z4" s="611"/>
      <c r="AA4" s="612"/>
      <c r="AB4" s="604" t="s">
        <v>127</v>
      </c>
      <c r="AC4" s="605"/>
      <c r="AD4" s="605"/>
      <c r="AE4" s="606"/>
    </row>
    <row r="5" spans="1:31" ht="9" customHeight="1" thickBot="1" x14ac:dyDescent="0.3">
      <c r="A5" s="17"/>
      <c r="B5" s="18"/>
      <c r="C5" s="19"/>
      <c r="D5" s="20"/>
      <c r="E5" s="20"/>
      <c r="F5" s="20"/>
      <c r="G5" s="20"/>
      <c r="H5" s="20"/>
      <c r="I5" s="20"/>
      <c r="J5" s="20"/>
      <c r="K5" s="20"/>
      <c r="L5" s="20"/>
      <c r="M5" s="20"/>
      <c r="N5" s="20"/>
      <c r="O5" s="20"/>
      <c r="P5" s="20"/>
      <c r="Q5" s="20"/>
      <c r="R5" s="20"/>
      <c r="S5" s="20"/>
      <c r="T5" s="20"/>
      <c r="U5" s="20"/>
      <c r="V5" s="20"/>
      <c r="W5" s="20"/>
      <c r="X5" s="20"/>
      <c r="Y5" s="20"/>
      <c r="Z5" s="20"/>
      <c r="AA5" s="20"/>
      <c r="AB5" s="20"/>
      <c r="AD5" s="21"/>
      <c r="AE5" s="22"/>
    </row>
    <row r="6" spans="1:31" ht="9" customHeight="1" thickBot="1" x14ac:dyDescent="0.3">
      <c r="A6" s="23"/>
      <c r="B6" s="20"/>
      <c r="C6" s="20"/>
      <c r="D6" s="20"/>
      <c r="E6" s="20"/>
      <c r="F6" s="20"/>
      <c r="G6" s="20"/>
      <c r="H6" s="20"/>
      <c r="I6" s="20"/>
      <c r="J6" s="20"/>
      <c r="K6" s="20"/>
      <c r="L6" s="20"/>
      <c r="M6" s="20"/>
      <c r="N6" s="20"/>
      <c r="O6" s="20"/>
      <c r="P6" s="20"/>
      <c r="Q6" s="20"/>
      <c r="R6" s="20"/>
      <c r="S6" s="20"/>
      <c r="T6" s="20"/>
      <c r="U6" s="20"/>
      <c r="V6" s="20"/>
      <c r="W6" s="20"/>
      <c r="X6" s="20"/>
      <c r="Y6" s="20"/>
      <c r="Z6" s="20"/>
      <c r="AA6" s="20"/>
      <c r="AB6" s="20"/>
      <c r="AD6" s="21"/>
      <c r="AE6" s="22"/>
    </row>
    <row r="7" spans="1:31" ht="13.9" customHeight="1" x14ac:dyDescent="0.25">
      <c r="A7" s="613" t="s">
        <v>4</v>
      </c>
      <c r="B7" s="614"/>
      <c r="C7" s="625" t="s">
        <v>128</v>
      </c>
      <c r="D7" s="628" t="s">
        <v>6</v>
      </c>
      <c r="E7" s="629"/>
      <c r="F7" s="629"/>
      <c r="G7" s="629"/>
      <c r="H7" s="630"/>
      <c r="I7" s="637">
        <v>45639</v>
      </c>
      <c r="J7" s="638"/>
      <c r="K7" s="628" t="s">
        <v>8</v>
      </c>
      <c r="L7" s="630"/>
      <c r="M7" s="643" t="s">
        <v>129</v>
      </c>
      <c r="N7" s="644"/>
      <c r="O7" s="648"/>
      <c r="P7" s="649"/>
      <c r="Q7" s="20"/>
      <c r="R7" s="20"/>
      <c r="S7" s="20"/>
      <c r="T7" s="20"/>
      <c r="U7" s="20"/>
      <c r="V7" s="20"/>
      <c r="W7" s="20"/>
      <c r="X7" s="20"/>
      <c r="Y7" s="20"/>
      <c r="Z7" s="20"/>
      <c r="AA7" s="20"/>
      <c r="AB7" s="20"/>
      <c r="AD7" s="21"/>
      <c r="AE7" s="22"/>
    </row>
    <row r="8" spans="1:31" ht="13.9" customHeight="1" x14ac:dyDescent="0.25">
      <c r="A8" s="615"/>
      <c r="B8" s="616"/>
      <c r="C8" s="626"/>
      <c r="D8" s="631"/>
      <c r="E8" s="632"/>
      <c r="F8" s="632"/>
      <c r="G8" s="632"/>
      <c r="H8" s="633"/>
      <c r="I8" s="639"/>
      <c r="J8" s="640"/>
      <c r="K8" s="631"/>
      <c r="L8" s="633"/>
      <c r="M8" s="650" t="s">
        <v>130</v>
      </c>
      <c r="N8" s="651"/>
      <c r="O8" s="906" t="s">
        <v>131</v>
      </c>
      <c r="P8" s="907"/>
      <c r="Q8" s="20"/>
      <c r="R8" s="20"/>
      <c r="S8" s="20"/>
      <c r="T8" s="20"/>
      <c r="U8" s="20"/>
      <c r="V8" s="20"/>
      <c r="W8" s="20"/>
      <c r="X8" s="20"/>
      <c r="Y8" s="20"/>
      <c r="Z8" s="20"/>
      <c r="AA8" s="20"/>
      <c r="AB8" s="20"/>
      <c r="AD8" s="21"/>
      <c r="AE8" s="22"/>
    </row>
    <row r="9" spans="1:31" ht="14.45" customHeight="1" thickBot="1" x14ac:dyDescent="0.3">
      <c r="A9" s="617"/>
      <c r="B9" s="618"/>
      <c r="C9" s="627"/>
      <c r="D9" s="634"/>
      <c r="E9" s="635"/>
      <c r="F9" s="635"/>
      <c r="G9" s="635"/>
      <c r="H9" s="636"/>
      <c r="I9" s="641"/>
      <c r="J9" s="642"/>
      <c r="K9" s="634"/>
      <c r="L9" s="636"/>
      <c r="M9" s="652" t="s">
        <v>132</v>
      </c>
      <c r="N9" s="653"/>
      <c r="O9" s="654" t="s">
        <v>131</v>
      </c>
      <c r="P9" s="655"/>
      <c r="Q9" s="20"/>
      <c r="R9" s="20"/>
      <c r="S9" s="20"/>
      <c r="T9" s="20"/>
      <c r="U9" s="20"/>
      <c r="V9" s="20"/>
      <c r="W9" s="20"/>
      <c r="X9" s="20"/>
      <c r="Y9" s="20"/>
      <c r="Z9" s="20"/>
      <c r="AA9" s="20"/>
      <c r="AB9" s="20"/>
      <c r="AD9" s="21"/>
      <c r="AE9" s="22"/>
    </row>
    <row r="10" spans="1:31" ht="15" customHeight="1" thickBot="1" x14ac:dyDescent="0.3">
      <c r="A10" s="24"/>
      <c r="B10" s="25"/>
      <c r="C10" s="25"/>
      <c r="D10" s="26"/>
      <c r="E10" s="26"/>
      <c r="F10" s="26"/>
      <c r="G10" s="26"/>
      <c r="H10" s="26"/>
      <c r="I10" s="181"/>
      <c r="J10" s="181"/>
      <c r="K10" s="26"/>
      <c r="L10" s="26"/>
      <c r="M10" s="182"/>
      <c r="N10" s="182"/>
      <c r="O10" s="183"/>
      <c r="P10" s="183"/>
      <c r="Q10" s="25"/>
      <c r="R10" s="25"/>
      <c r="S10" s="25"/>
      <c r="T10" s="25"/>
      <c r="U10" s="25"/>
      <c r="V10" s="25"/>
      <c r="W10" s="25"/>
      <c r="X10" s="25"/>
      <c r="Y10" s="25"/>
      <c r="Z10" s="25"/>
      <c r="AA10" s="25"/>
      <c r="AB10" s="25"/>
      <c r="AD10" s="28"/>
      <c r="AE10" s="29"/>
    </row>
    <row r="11" spans="1:31" ht="15" customHeight="1" x14ac:dyDescent="0.25">
      <c r="A11" s="613" t="s">
        <v>10</v>
      </c>
      <c r="B11" s="614"/>
      <c r="C11" s="586" t="s">
        <v>133</v>
      </c>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8"/>
    </row>
    <row r="12" spans="1:31" ht="15" customHeight="1" x14ac:dyDescent="0.25">
      <c r="A12" s="615"/>
      <c r="B12" s="616"/>
      <c r="C12" s="619"/>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1"/>
    </row>
    <row r="13" spans="1:31" ht="15" customHeight="1" thickBot="1" x14ac:dyDescent="0.3">
      <c r="A13" s="617"/>
      <c r="B13" s="618"/>
      <c r="C13" s="622"/>
      <c r="D13" s="623"/>
      <c r="E13" s="623"/>
      <c r="F13" s="623"/>
      <c r="G13" s="623"/>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4"/>
    </row>
    <row r="14" spans="1:31" ht="9" customHeight="1" thickBot="1" x14ac:dyDescent="0.3">
      <c r="A14" s="31"/>
      <c r="B14" s="32"/>
      <c r="C14" s="33"/>
      <c r="D14" s="33"/>
      <c r="E14" s="33"/>
      <c r="F14" s="33"/>
      <c r="G14" s="33"/>
      <c r="H14" s="33"/>
      <c r="I14" s="33"/>
      <c r="J14" s="33"/>
      <c r="K14" s="33"/>
      <c r="L14" s="33"/>
      <c r="M14" s="34"/>
      <c r="N14" s="34"/>
      <c r="O14" s="34"/>
      <c r="P14" s="34"/>
      <c r="Q14" s="34"/>
      <c r="R14" s="35"/>
      <c r="S14" s="35"/>
      <c r="T14" s="35"/>
      <c r="U14" s="35"/>
      <c r="V14" s="35"/>
      <c r="W14" s="35"/>
      <c r="X14" s="35"/>
      <c r="Y14" s="26"/>
      <c r="Z14" s="26"/>
      <c r="AA14" s="26"/>
      <c r="AB14" s="26"/>
      <c r="AD14" s="26"/>
      <c r="AE14" s="30"/>
    </row>
    <row r="15" spans="1:31" ht="39" customHeight="1" thickBot="1" x14ac:dyDescent="0.3">
      <c r="A15" s="656" t="s">
        <v>12</v>
      </c>
      <c r="B15" s="657"/>
      <c r="C15" s="658" t="s">
        <v>134</v>
      </c>
      <c r="D15" s="659"/>
      <c r="E15" s="659"/>
      <c r="F15" s="659"/>
      <c r="G15" s="659"/>
      <c r="H15" s="659"/>
      <c r="I15" s="659"/>
      <c r="J15" s="659"/>
      <c r="K15" s="660"/>
      <c r="L15" s="661" t="s">
        <v>14</v>
      </c>
      <c r="M15" s="662"/>
      <c r="N15" s="662"/>
      <c r="O15" s="662"/>
      <c r="P15" s="662"/>
      <c r="Q15" s="663"/>
      <c r="R15" s="664" t="s">
        <v>135</v>
      </c>
      <c r="S15" s="665"/>
      <c r="T15" s="665"/>
      <c r="U15" s="665"/>
      <c r="V15" s="665"/>
      <c r="W15" s="665"/>
      <c r="X15" s="666"/>
      <c r="Y15" s="661" t="s">
        <v>15</v>
      </c>
      <c r="Z15" s="663"/>
      <c r="AA15" s="645" t="s">
        <v>136</v>
      </c>
      <c r="AB15" s="646"/>
      <c r="AC15" s="646"/>
      <c r="AD15" s="646"/>
      <c r="AE15" s="647"/>
    </row>
    <row r="16" spans="1:31" ht="9" customHeight="1" thickBot="1" x14ac:dyDescent="0.3">
      <c r="A16" s="23"/>
      <c r="B16" s="20"/>
      <c r="C16" s="667"/>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D16" s="21"/>
      <c r="AE16" s="22"/>
    </row>
    <row r="17" spans="1:32" s="36" customFormat="1" ht="37.5" customHeight="1" thickBot="1" x14ac:dyDescent="0.3">
      <c r="A17" s="656" t="s">
        <v>17</v>
      </c>
      <c r="B17" s="657"/>
      <c r="C17" s="645" t="s">
        <v>137</v>
      </c>
      <c r="D17" s="646"/>
      <c r="E17" s="646"/>
      <c r="F17" s="646"/>
      <c r="G17" s="646"/>
      <c r="H17" s="646"/>
      <c r="I17" s="646"/>
      <c r="J17" s="646"/>
      <c r="K17" s="646"/>
      <c r="L17" s="646"/>
      <c r="M17" s="646"/>
      <c r="N17" s="646"/>
      <c r="O17" s="646"/>
      <c r="P17" s="646"/>
      <c r="Q17" s="646"/>
      <c r="R17" s="646"/>
      <c r="S17" s="646"/>
      <c r="T17" s="646"/>
      <c r="U17" s="646"/>
      <c r="V17" s="646"/>
      <c r="W17" s="646"/>
      <c r="X17" s="646"/>
      <c r="Y17" s="646"/>
      <c r="Z17" s="646"/>
      <c r="AA17" s="646"/>
      <c r="AB17" s="646"/>
      <c r="AC17" s="646"/>
      <c r="AD17" s="646"/>
      <c r="AE17" s="647"/>
    </row>
    <row r="18" spans="1:32" ht="16.5" customHeight="1" thickBot="1" x14ac:dyDescent="0.3">
      <c r="A18" s="184"/>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D18" s="185"/>
      <c r="AE18" s="186"/>
    </row>
    <row r="19" spans="1:32" ht="32.1" customHeight="1" thickBot="1" x14ac:dyDescent="0.3">
      <c r="A19" s="661" t="s">
        <v>138</v>
      </c>
      <c r="B19" s="662"/>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3"/>
      <c r="AF19" s="187"/>
    </row>
    <row r="20" spans="1:32" ht="32.1" customHeight="1" thickBot="1" x14ac:dyDescent="0.3">
      <c r="A20" s="37" t="s">
        <v>19</v>
      </c>
      <c r="B20" s="634" t="s">
        <v>139</v>
      </c>
      <c r="C20" s="635"/>
      <c r="D20" s="635"/>
      <c r="E20" s="635"/>
      <c r="F20" s="635"/>
      <c r="G20" s="635"/>
      <c r="H20" s="635"/>
      <c r="I20" s="635"/>
      <c r="J20" s="635"/>
      <c r="K20" s="635"/>
      <c r="L20" s="635"/>
      <c r="M20" s="635"/>
      <c r="N20" s="635"/>
      <c r="O20" s="636"/>
      <c r="P20" s="661" t="s">
        <v>140</v>
      </c>
      <c r="Q20" s="662"/>
      <c r="R20" s="662"/>
      <c r="S20" s="662"/>
      <c r="T20" s="662"/>
      <c r="U20" s="662"/>
      <c r="V20" s="662"/>
      <c r="W20" s="662"/>
      <c r="X20" s="662"/>
      <c r="Y20" s="662"/>
      <c r="Z20" s="662"/>
      <c r="AA20" s="662"/>
      <c r="AB20" s="662"/>
      <c r="AC20" s="662"/>
      <c r="AD20" s="662"/>
      <c r="AE20" s="663"/>
      <c r="AF20" s="187"/>
    </row>
    <row r="21" spans="1:32" ht="32.1" customHeight="1" thickBot="1" x14ac:dyDescent="0.3">
      <c r="A21" s="24"/>
      <c r="B21" s="38" t="s">
        <v>141</v>
      </c>
      <c r="C21" s="39" t="s">
        <v>142</v>
      </c>
      <c r="D21" s="39" t="s">
        <v>143</v>
      </c>
      <c r="E21" s="39" t="s">
        <v>144</v>
      </c>
      <c r="F21" s="39" t="s">
        <v>145</v>
      </c>
      <c r="G21" s="39" t="s">
        <v>146</v>
      </c>
      <c r="H21" s="39" t="s">
        <v>147</v>
      </c>
      <c r="I21" s="39" t="s">
        <v>148</v>
      </c>
      <c r="J21" s="39" t="s">
        <v>149</v>
      </c>
      <c r="K21" s="39" t="s">
        <v>150</v>
      </c>
      <c r="L21" s="39" t="s">
        <v>128</v>
      </c>
      <c r="M21" s="39" t="s">
        <v>151</v>
      </c>
      <c r="N21" s="39" t="s">
        <v>102</v>
      </c>
      <c r="O21" s="40" t="s">
        <v>100</v>
      </c>
      <c r="P21" s="41"/>
      <c r="Q21" s="37" t="s">
        <v>141</v>
      </c>
      <c r="R21" s="42" t="s">
        <v>142</v>
      </c>
      <c r="S21" s="42" t="s">
        <v>143</v>
      </c>
      <c r="T21" s="42" t="s">
        <v>144</v>
      </c>
      <c r="U21" s="42" t="s">
        <v>145</v>
      </c>
      <c r="V21" s="42" t="s">
        <v>146</v>
      </c>
      <c r="W21" s="42" t="s">
        <v>147</v>
      </c>
      <c r="X21" s="42" t="s">
        <v>148</v>
      </c>
      <c r="Y21" s="42" t="s">
        <v>149</v>
      </c>
      <c r="Z21" s="42" t="s">
        <v>150</v>
      </c>
      <c r="AA21" s="42" t="s">
        <v>128</v>
      </c>
      <c r="AB21" s="42" t="s">
        <v>151</v>
      </c>
      <c r="AC21" s="42" t="s">
        <v>102</v>
      </c>
      <c r="AD21" s="43" t="s">
        <v>152</v>
      </c>
      <c r="AE21" s="43" t="s">
        <v>153</v>
      </c>
      <c r="AF21" s="188"/>
    </row>
    <row r="22" spans="1:32" ht="32.1" customHeight="1" x14ac:dyDescent="0.25">
      <c r="A22" s="44" t="s">
        <v>31</v>
      </c>
      <c r="B22" s="189"/>
      <c r="C22" s="190"/>
      <c r="D22" s="190"/>
      <c r="E22" s="190"/>
      <c r="F22" s="190"/>
      <c r="G22" s="190"/>
      <c r="H22" s="190"/>
      <c r="I22" s="190"/>
      <c r="J22" s="190"/>
      <c r="K22" s="190"/>
      <c r="L22" s="190"/>
      <c r="M22" s="190"/>
      <c r="N22" s="190">
        <f>SUM(B22:M22)</f>
        <v>0</v>
      </c>
      <c r="O22" s="191"/>
      <c r="P22" s="44" t="s">
        <v>27</v>
      </c>
      <c r="Q22" s="192">
        <v>0</v>
      </c>
      <c r="R22" s="193">
        <v>0</v>
      </c>
      <c r="S22" s="193">
        <v>0</v>
      </c>
      <c r="T22" s="193">
        <v>0</v>
      </c>
      <c r="U22" s="193">
        <v>0</v>
      </c>
      <c r="V22" s="193">
        <v>0</v>
      </c>
      <c r="W22" s="193">
        <v>0</v>
      </c>
      <c r="X22" s="193">
        <v>55697250</v>
      </c>
      <c r="Y22" s="193">
        <v>0</v>
      </c>
      <c r="Z22" s="193">
        <v>0</v>
      </c>
      <c r="AA22" s="193">
        <v>0</v>
      </c>
      <c r="AB22" s="193">
        <v>4845095</v>
      </c>
      <c r="AC22" s="415">
        <v>60524345</v>
      </c>
      <c r="AD22" s="272"/>
      <c r="AE22" s="195"/>
      <c r="AF22" s="188"/>
    </row>
    <row r="23" spans="1:32" ht="32.1" customHeight="1" x14ac:dyDescent="0.25">
      <c r="A23" s="45" t="s">
        <v>21</v>
      </c>
      <c r="B23" s="196"/>
      <c r="C23" s="197"/>
      <c r="D23" s="197"/>
      <c r="E23" s="197"/>
      <c r="F23" s="197"/>
      <c r="G23" s="197"/>
      <c r="H23" s="197"/>
      <c r="I23" s="197"/>
      <c r="J23" s="197"/>
      <c r="K23" s="197"/>
      <c r="L23" s="197"/>
      <c r="M23" s="197"/>
      <c r="N23" s="197">
        <f>SUM(B23:M23)</f>
        <v>0</v>
      </c>
      <c r="O23" s="198" t="str">
        <f>IFERROR(N23/(SUMIF(B23:M23,"&gt;0",B22:M22))," ")</f>
        <v xml:space="preserve"> </v>
      </c>
      <c r="P23" s="45" t="s">
        <v>29</v>
      </c>
      <c r="Q23" s="196">
        <v>0</v>
      </c>
      <c r="R23" s="197">
        <v>0</v>
      </c>
      <c r="S23" s="197">
        <v>0</v>
      </c>
      <c r="T23" s="197">
        <v>0</v>
      </c>
      <c r="U23" s="197">
        <v>0</v>
      </c>
      <c r="V23" s="197">
        <v>0</v>
      </c>
      <c r="W23" s="197">
        <v>0</v>
      </c>
      <c r="X23" s="197">
        <v>55697250</v>
      </c>
      <c r="Y23" s="197">
        <v>0</v>
      </c>
      <c r="Z23" s="199"/>
      <c r="AA23" s="197">
        <v>0</v>
      </c>
      <c r="AB23" s="197">
        <v>0</v>
      </c>
      <c r="AC23" s="199">
        <f>SUM(Q23:AB23)-1485260</f>
        <v>54211990</v>
      </c>
      <c r="AD23" s="273">
        <f>AC23/SUM(Q22:AB22)</f>
        <v>0.89543921696458895</v>
      </c>
      <c r="AE23" s="200">
        <f>AC23/AC22</f>
        <v>0.89570552147239269</v>
      </c>
      <c r="AF23" s="188"/>
    </row>
    <row r="24" spans="1:32" ht="32.1" customHeight="1" x14ac:dyDescent="0.25">
      <c r="A24" s="45" t="s">
        <v>23</v>
      </c>
      <c r="B24" s="196">
        <f>+B22-B23</f>
        <v>0</v>
      </c>
      <c r="C24" s="197">
        <f t="shared" ref="C24:M24" si="0">+C22-C23</f>
        <v>0</v>
      </c>
      <c r="D24" s="197">
        <f t="shared" si="0"/>
        <v>0</v>
      </c>
      <c r="E24" s="197">
        <f t="shared" si="0"/>
        <v>0</v>
      </c>
      <c r="F24" s="197">
        <f t="shared" si="0"/>
        <v>0</v>
      </c>
      <c r="G24" s="197">
        <f t="shared" si="0"/>
        <v>0</v>
      </c>
      <c r="H24" s="197">
        <f t="shared" si="0"/>
        <v>0</v>
      </c>
      <c r="I24" s="197">
        <f t="shared" si="0"/>
        <v>0</v>
      </c>
      <c r="J24" s="197">
        <f t="shared" si="0"/>
        <v>0</v>
      </c>
      <c r="K24" s="197">
        <f t="shared" si="0"/>
        <v>0</v>
      </c>
      <c r="L24" s="197">
        <f t="shared" si="0"/>
        <v>0</v>
      </c>
      <c r="M24" s="197">
        <f t="shared" si="0"/>
        <v>0</v>
      </c>
      <c r="N24" s="197">
        <f>SUM(B24:M24)</f>
        <v>0</v>
      </c>
      <c r="O24" s="201"/>
      <c r="P24" s="45" t="s">
        <v>31</v>
      </c>
      <c r="Q24" s="196">
        <v>0</v>
      </c>
      <c r="R24" s="197">
        <v>0</v>
      </c>
      <c r="S24" s="197">
        <v>0</v>
      </c>
      <c r="T24" s="197">
        <v>0</v>
      </c>
      <c r="U24" s="197">
        <v>0</v>
      </c>
      <c r="V24" s="197">
        <v>0</v>
      </c>
      <c r="W24" s="197">
        <v>0</v>
      </c>
      <c r="X24" s="197">
        <v>0</v>
      </c>
      <c r="Y24" s="197">
        <v>11139450</v>
      </c>
      <c r="Z24" s="197">
        <v>11139450</v>
      </c>
      <c r="AA24" s="197">
        <v>11139450</v>
      </c>
      <c r="AB24" s="197">
        <f>11139450+11139450+4084465</f>
        <v>26363365</v>
      </c>
      <c r="AC24" s="416">
        <f>SUM(Q24:AB24)</f>
        <v>59781715</v>
      </c>
      <c r="AD24" s="274"/>
      <c r="AE24" s="202"/>
      <c r="AF24" s="188"/>
    </row>
    <row r="25" spans="1:32" ht="32.1" customHeight="1" thickBot="1" x14ac:dyDescent="0.3">
      <c r="A25" s="46" t="s">
        <v>25</v>
      </c>
      <c r="B25" s="203"/>
      <c r="C25" s="204"/>
      <c r="D25" s="204"/>
      <c r="E25" s="204"/>
      <c r="F25" s="204"/>
      <c r="G25" s="204"/>
      <c r="H25" s="204"/>
      <c r="I25" s="204"/>
      <c r="J25" s="204"/>
      <c r="K25" s="204"/>
      <c r="L25" s="204"/>
      <c r="M25" s="204"/>
      <c r="N25" s="204">
        <f>SUM(B25:M25)</f>
        <v>0</v>
      </c>
      <c r="O25" s="205" t="str">
        <f>IFERROR(N25/(SUMIF(B25:M25,"&gt;0",B24:M24))," ")</f>
        <v xml:space="preserve"> </v>
      </c>
      <c r="P25" s="46" t="s">
        <v>25</v>
      </c>
      <c r="Q25" s="203">
        <v>0</v>
      </c>
      <c r="R25" s="204">
        <v>0</v>
      </c>
      <c r="S25" s="204">
        <v>0</v>
      </c>
      <c r="T25" s="204">
        <v>0</v>
      </c>
      <c r="U25" s="204">
        <v>0</v>
      </c>
      <c r="V25" s="204">
        <v>0</v>
      </c>
      <c r="W25" s="204">
        <v>0</v>
      </c>
      <c r="X25" s="204">
        <v>0</v>
      </c>
      <c r="Y25" s="204">
        <v>9654190</v>
      </c>
      <c r="Z25" s="204">
        <v>11139450</v>
      </c>
      <c r="AA25" s="204">
        <f>+AC25-Y25-Z25</f>
        <v>11139450</v>
      </c>
      <c r="AB25" s="204">
        <v>0</v>
      </c>
      <c r="AC25" s="408">
        <v>31933090</v>
      </c>
      <c r="AD25" s="275">
        <f>AC25/SUM(Q24:AB24)</f>
        <v>0.53416149068322982</v>
      </c>
      <c r="AE25" s="206">
        <f>AC25/AC24</f>
        <v>0.53416149068322982</v>
      </c>
      <c r="AF25" s="188"/>
    </row>
    <row r="26" spans="1:32" s="207" customFormat="1" ht="16.5" customHeight="1" thickBot="1" x14ac:dyDescent="0.25"/>
    <row r="27" spans="1:32" ht="33.950000000000003" customHeight="1" x14ac:dyDescent="0.25">
      <c r="A27" s="668" t="s">
        <v>154</v>
      </c>
      <c r="B27" s="669"/>
      <c r="C27" s="669"/>
      <c r="D27" s="669"/>
      <c r="E27" s="669"/>
      <c r="F27" s="669"/>
      <c r="G27" s="669"/>
      <c r="H27" s="669"/>
      <c r="I27" s="669"/>
      <c r="J27" s="669"/>
      <c r="K27" s="669"/>
      <c r="L27" s="669"/>
      <c r="M27" s="669"/>
      <c r="N27" s="669"/>
      <c r="O27" s="669"/>
      <c r="P27" s="669"/>
      <c r="Q27" s="669"/>
      <c r="R27" s="669"/>
      <c r="S27" s="669"/>
      <c r="T27" s="669"/>
      <c r="U27" s="669"/>
      <c r="V27" s="669"/>
      <c r="W27" s="669"/>
      <c r="X27" s="669"/>
      <c r="Y27" s="669"/>
      <c r="Z27" s="669"/>
      <c r="AA27" s="669"/>
      <c r="AB27" s="669"/>
      <c r="AC27" s="669"/>
      <c r="AD27" s="669"/>
      <c r="AE27" s="670"/>
    </row>
    <row r="28" spans="1:32" ht="15" customHeight="1" x14ac:dyDescent="0.25">
      <c r="A28" s="590" t="s">
        <v>34</v>
      </c>
      <c r="B28" s="592" t="s">
        <v>36</v>
      </c>
      <c r="C28" s="592"/>
      <c r="D28" s="592" t="s">
        <v>155</v>
      </c>
      <c r="E28" s="592"/>
      <c r="F28" s="592"/>
      <c r="G28" s="592"/>
      <c r="H28" s="592"/>
      <c r="I28" s="592"/>
      <c r="J28" s="592"/>
      <c r="K28" s="592"/>
      <c r="L28" s="592"/>
      <c r="M28" s="592"/>
      <c r="N28" s="592"/>
      <c r="O28" s="592"/>
      <c r="P28" s="592" t="s">
        <v>102</v>
      </c>
      <c r="Q28" s="592" t="s">
        <v>156</v>
      </c>
      <c r="R28" s="592"/>
      <c r="S28" s="592"/>
      <c r="T28" s="592"/>
      <c r="U28" s="592"/>
      <c r="V28" s="592"/>
      <c r="W28" s="592"/>
      <c r="X28" s="592"/>
      <c r="Y28" s="592" t="s">
        <v>157</v>
      </c>
      <c r="Z28" s="592"/>
      <c r="AA28" s="592"/>
      <c r="AB28" s="592"/>
      <c r="AC28" s="592"/>
      <c r="AD28" s="592"/>
      <c r="AE28" s="671"/>
    </row>
    <row r="29" spans="1:32" ht="27" customHeight="1" x14ac:dyDescent="0.25">
      <c r="A29" s="590"/>
      <c r="B29" s="592"/>
      <c r="C29" s="592"/>
      <c r="D29" s="48" t="s">
        <v>141</v>
      </c>
      <c r="E29" s="48" t="s">
        <v>142</v>
      </c>
      <c r="F29" s="48" t="s">
        <v>143</v>
      </c>
      <c r="G29" s="48" t="s">
        <v>144</v>
      </c>
      <c r="H29" s="48" t="s">
        <v>145</v>
      </c>
      <c r="I29" s="48" t="s">
        <v>146</v>
      </c>
      <c r="J29" s="48" t="s">
        <v>147</v>
      </c>
      <c r="K29" s="48" t="s">
        <v>148</v>
      </c>
      <c r="L29" s="48" t="s">
        <v>149</v>
      </c>
      <c r="M29" s="48" t="s">
        <v>150</v>
      </c>
      <c r="N29" s="48" t="s">
        <v>128</v>
      </c>
      <c r="O29" s="48" t="s">
        <v>151</v>
      </c>
      <c r="P29" s="592"/>
      <c r="Q29" s="592"/>
      <c r="R29" s="592"/>
      <c r="S29" s="592"/>
      <c r="T29" s="592"/>
      <c r="U29" s="592"/>
      <c r="V29" s="592"/>
      <c r="W29" s="592"/>
      <c r="X29" s="592"/>
      <c r="Y29" s="592"/>
      <c r="Z29" s="592"/>
      <c r="AA29" s="592"/>
      <c r="AB29" s="592"/>
      <c r="AC29" s="592"/>
      <c r="AD29" s="592"/>
      <c r="AE29" s="671"/>
    </row>
    <row r="30" spans="1:32" ht="42" customHeight="1" thickBot="1" x14ac:dyDescent="0.3">
      <c r="A30" s="49"/>
      <c r="B30" s="672"/>
      <c r="C30" s="672"/>
      <c r="D30" s="16"/>
      <c r="E30" s="16"/>
      <c r="F30" s="16"/>
      <c r="G30" s="16"/>
      <c r="H30" s="16"/>
      <c r="I30" s="16"/>
      <c r="J30" s="16"/>
      <c r="K30" s="16"/>
      <c r="L30" s="16"/>
      <c r="M30" s="16"/>
      <c r="N30" s="16"/>
      <c r="O30" s="16"/>
      <c r="P30" s="50">
        <f>SUM(D30:O30)</f>
        <v>0</v>
      </c>
      <c r="Q30" s="673" t="s">
        <v>158</v>
      </c>
      <c r="R30" s="673"/>
      <c r="S30" s="673"/>
      <c r="T30" s="673"/>
      <c r="U30" s="673"/>
      <c r="V30" s="673"/>
      <c r="W30" s="673"/>
      <c r="X30" s="673"/>
      <c r="Y30" s="673" t="s">
        <v>43</v>
      </c>
      <c r="Z30" s="673"/>
      <c r="AA30" s="673"/>
      <c r="AB30" s="673"/>
      <c r="AC30" s="673"/>
      <c r="AD30" s="673"/>
      <c r="AE30" s="674"/>
    </row>
    <row r="31" spans="1:32" ht="12" customHeight="1" thickBot="1" x14ac:dyDescent="0.3">
      <c r="A31" s="51"/>
      <c r="B31" s="52"/>
      <c r="C31" s="52"/>
      <c r="D31" s="26"/>
      <c r="E31" s="26"/>
      <c r="F31" s="26"/>
      <c r="G31" s="26"/>
      <c r="H31" s="26"/>
      <c r="I31" s="26"/>
      <c r="J31" s="26"/>
      <c r="K31" s="26"/>
      <c r="L31" s="26"/>
      <c r="M31" s="26"/>
      <c r="N31" s="26"/>
      <c r="O31" s="26"/>
      <c r="P31" s="53"/>
      <c r="Q31" s="126"/>
      <c r="R31" s="126"/>
      <c r="S31" s="126"/>
      <c r="T31" s="126"/>
      <c r="U31" s="126"/>
      <c r="V31" s="126"/>
      <c r="W31" s="126"/>
      <c r="X31" s="126"/>
      <c r="Y31" s="126"/>
      <c r="Z31" s="126"/>
      <c r="AA31" s="126"/>
      <c r="AB31" s="126"/>
      <c r="AC31" s="126"/>
      <c r="AD31" s="126"/>
      <c r="AE31" s="127"/>
    </row>
    <row r="32" spans="1:32" ht="45" customHeight="1" x14ac:dyDescent="0.25">
      <c r="A32" s="586" t="s">
        <v>159</v>
      </c>
      <c r="B32" s="587"/>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8"/>
    </row>
    <row r="33" spans="1:41" ht="23.1" customHeight="1" x14ac:dyDescent="0.25">
      <c r="A33" s="590" t="s">
        <v>44</v>
      </c>
      <c r="B33" s="592" t="s">
        <v>46</v>
      </c>
      <c r="C33" s="592" t="s">
        <v>36</v>
      </c>
      <c r="D33" s="592" t="s">
        <v>160</v>
      </c>
      <c r="E33" s="592"/>
      <c r="F33" s="592"/>
      <c r="G33" s="592"/>
      <c r="H33" s="592"/>
      <c r="I33" s="592"/>
      <c r="J33" s="592"/>
      <c r="K33" s="592"/>
      <c r="L33" s="592"/>
      <c r="M33" s="592"/>
      <c r="N33" s="592"/>
      <c r="O33" s="592"/>
      <c r="P33" s="592"/>
      <c r="Q33" s="592" t="s">
        <v>161</v>
      </c>
      <c r="R33" s="592"/>
      <c r="S33" s="592"/>
      <c r="T33" s="592"/>
      <c r="U33" s="592"/>
      <c r="V33" s="592"/>
      <c r="W33" s="592"/>
      <c r="X33" s="592"/>
      <c r="Y33" s="592"/>
      <c r="Z33" s="592"/>
      <c r="AA33" s="592"/>
      <c r="AB33" s="592"/>
      <c r="AC33" s="592"/>
      <c r="AD33" s="592"/>
      <c r="AE33" s="671"/>
      <c r="AG33" s="128"/>
      <c r="AH33" s="128"/>
      <c r="AI33" s="128"/>
      <c r="AJ33" s="128"/>
      <c r="AK33" s="128"/>
      <c r="AL33" s="128"/>
      <c r="AM33" s="128"/>
      <c r="AN33" s="128"/>
      <c r="AO33" s="128"/>
    </row>
    <row r="34" spans="1:41" ht="27" customHeight="1" x14ac:dyDescent="0.25">
      <c r="A34" s="590"/>
      <c r="B34" s="592"/>
      <c r="C34" s="675"/>
      <c r="D34" s="48" t="s">
        <v>141</v>
      </c>
      <c r="E34" s="48" t="s">
        <v>142</v>
      </c>
      <c r="F34" s="48" t="s">
        <v>143</v>
      </c>
      <c r="G34" s="48" t="s">
        <v>144</v>
      </c>
      <c r="H34" s="48" t="s">
        <v>145</v>
      </c>
      <c r="I34" s="48" t="s">
        <v>146</v>
      </c>
      <c r="J34" s="48" t="s">
        <v>147</v>
      </c>
      <c r="K34" s="48" t="s">
        <v>148</v>
      </c>
      <c r="L34" s="48" t="s">
        <v>149</v>
      </c>
      <c r="M34" s="48" t="s">
        <v>150</v>
      </c>
      <c r="N34" s="48" t="s">
        <v>128</v>
      </c>
      <c r="O34" s="48" t="s">
        <v>151</v>
      </c>
      <c r="P34" s="48" t="s">
        <v>102</v>
      </c>
      <c r="Q34" s="676" t="s">
        <v>52</v>
      </c>
      <c r="R34" s="677"/>
      <c r="S34" s="677"/>
      <c r="T34" s="678"/>
      <c r="U34" s="592" t="s">
        <v>54</v>
      </c>
      <c r="V34" s="592"/>
      <c r="W34" s="592"/>
      <c r="X34" s="592"/>
      <c r="Y34" s="592" t="s">
        <v>56</v>
      </c>
      <c r="Z34" s="592"/>
      <c r="AA34" s="592"/>
      <c r="AB34" s="592"/>
      <c r="AC34" s="592" t="s">
        <v>58</v>
      </c>
      <c r="AD34" s="592"/>
      <c r="AE34" s="671"/>
      <c r="AG34" s="128"/>
      <c r="AH34" s="128"/>
      <c r="AI34" s="128"/>
      <c r="AJ34" s="128"/>
      <c r="AK34" s="128"/>
      <c r="AL34" s="128"/>
      <c r="AM34" s="128"/>
      <c r="AN34" s="128"/>
      <c r="AO34" s="128"/>
    </row>
    <row r="35" spans="1:41" ht="144" customHeight="1" x14ac:dyDescent="0.25">
      <c r="A35" s="681" t="str">
        <f>+C17</f>
        <v xml:space="preserve">Formular 9 acciones de transformación cultural que promuevan y garanticen el libre ejercicio de los derechos de las mujeres y la equidad de género a través de mecanismos de cambio cultural y comportamental desarrollados con las comunidades. (Producto MGA - Documento de lineamientos Técnicos) </v>
      </c>
      <c r="B35" s="683">
        <v>0.1</v>
      </c>
      <c r="C35" s="54" t="s">
        <v>48</v>
      </c>
      <c r="D35" s="162">
        <f>D75</f>
        <v>0</v>
      </c>
      <c r="E35" s="162">
        <f t="shared" ref="E35:O35" si="1">E75</f>
        <v>0</v>
      </c>
      <c r="F35" s="162">
        <f t="shared" si="1"/>
        <v>0</v>
      </c>
      <c r="G35" s="162">
        <f t="shared" si="1"/>
        <v>0</v>
      </c>
      <c r="H35" s="162">
        <f t="shared" si="1"/>
        <v>0</v>
      </c>
      <c r="I35" s="162">
        <f t="shared" si="1"/>
        <v>0</v>
      </c>
      <c r="J35" s="162">
        <f t="shared" si="1"/>
        <v>0</v>
      </c>
      <c r="K35" s="162">
        <f t="shared" si="1"/>
        <v>0.56999999999999995</v>
      </c>
      <c r="L35" s="162">
        <f t="shared" si="1"/>
        <v>1.0349999999999997</v>
      </c>
      <c r="M35" s="162">
        <f t="shared" si="1"/>
        <v>0.34500000000000003</v>
      </c>
      <c r="N35" s="162">
        <f t="shared" si="1"/>
        <v>0.52500000000000002</v>
      </c>
      <c r="O35" s="162">
        <f t="shared" si="1"/>
        <v>0.52500000000000002</v>
      </c>
      <c r="P35" s="164">
        <f>SUM(D35:O35)</f>
        <v>2.9999999999999996</v>
      </c>
      <c r="Q35" s="561" t="s">
        <v>162</v>
      </c>
      <c r="R35" s="562"/>
      <c r="S35" s="562"/>
      <c r="T35" s="563"/>
      <c r="U35" s="561" t="s">
        <v>163</v>
      </c>
      <c r="V35" s="562"/>
      <c r="W35" s="562"/>
      <c r="X35" s="563"/>
      <c r="Y35" s="685"/>
      <c r="Z35" s="686"/>
      <c r="AA35" s="686"/>
      <c r="AB35" s="687"/>
      <c r="AC35" s="582" t="s">
        <v>164</v>
      </c>
      <c r="AD35" s="582"/>
      <c r="AE35" s="583"/>
      <c r="AG35" s="561" t="s">
        <v>165</v>
      </c>
      <c r="AH35" s="562"/>
      <c r="AI35" s="562"/>
      <c r="AJ35" s="563"/>
      <c r="AK35" s="128"/>
      <c r="AL35" s="128"/>
      <c r="AM35" s="128"/>
      <c r="AN35" s="128"/>
      <c r="AO35" s="128"/>
    </row>
    <row r="36" spans="1:41" ht="144" customHeight="1" thickBot="1" x14ac:dyDescent="0.3">
      <c r="A36" s="682"/>
      <c r="B36" s="684"/>
      <c r="C36" s="55" t="s">
        <v>50</v>
      </c>
      <c r="D36" s="165">
        <f>D72</f>
        <v>0</v>
      </c>
      <c r="E36" s="165">
        <f t="shared" ref="E36:O36" si="2">E72</f>
        <v>0</v>
      </c>
      <c r="F36" s="165">
        <f t="shared" si="2"/>
        <v>0</v>
      </c>
      <c r="G36" s="165">
        <f t="shared" si="2"/>
        <v>0</v>
      </c>
      <c r="H36" s="165">
        <f t="shared" si="2"/>
        <v>0</v>
      </c>
      <c r="I36" s="165">
        <f t="shared" si="2"/>
        <v>0</v>
      </c>
      <c r="J36" s="165">
        <f t="shared" si="2"/>
        <v>0</v>
      </c>
      <c r="K36" s="165">
        <f>K72</f>
        <v>0.56999999999999995</v>
      </c>
      <c r="L36" s="165">
        <f>L72</f>
        <v>1.0349999999999997</v>
      </c>
      <c r="M36" s="165">
        <f t="shared" si="2"/>
        <v>0.34500000000000003</v>
      </c>
      <c r="N36" s="165">
        <f t="shared" si="2"/>
        <v>0.52500000000000002</v>
      </c>
      <c r="O36" s="165">
        <f t="shared" si="2"/>
        <v>0</v>
      </c>
      <c r="P36" s="163">
        <f>SUM(D36:O36)</f>
        <v>2.4749999999999996</v>
      </c>
      <c r="Q36" s="564"/>
      <c r="R36" s="565"/>
      <c r="S36" s="565"/>
      <c r="T36" s="566"/>
      <c r="U36" s="564"/>
      <c r="V36" s="565"/>
      <c r="W36" s="565"/>
      <c r="X36" s="566"/>
      <c r="Y36" s="688"/>
      <c r="Z36" s="689"/>
      <c r="AA36" s="689"/>
      <c r="AB36" s="690"/>
      <c r="AC36" s="584"/>
      <c r="AD36" s="584"/>
      <c r="AE36" s="585"/>
      <c r="AG36" s="564"/>
      <c r="AH36" s="565"/>
      <c r="AI36" s="565"/>
      <c r="AJ36" s="566"/>
      <c r="AK36" s="128">
        <f>LEN(AG35)</f>
        <v>300</v>
      </c>
      <c r="AL36" s="128"/>
      <c r="AM36" s="128"/>
      <c r="AN36" s="128"/>
      <c r="AO36" s="128"/>
    </row>
    <row r="37" spans="1:41" s="207" customFormat="1" ht="17.25" customHeight="1" thickBot="1" x14ac:dyDescent="0.25"/>
    <row r="38" spans="1:41" ht="45" customHeight="1" thickBot="1" x14ac:dyDescent="0.3">
      <c r="A38" s="586" t="s">
        <v>166</v>
      </c>
      <c r="B38" s="587"/>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8"/>
      <c r="AG38" s="128"/>
      <c r="AH38" s="128"/>
      <c r="AI38" s="128"/>
      <c r="AJ38" s="128"/>
      <c r="AK38" s="128"/>
      <c r="AL38" s="128"/>
      <c r="AM38" s="128"/>
      <c r="AN38" s="128"/>
      <c r="AO38" s="128"/>
    </row>
    <row r="39" spans="1:41" ht="26.1" customHeight="1" x14ac:dyDescent="0.25">
      <c r="A39" s="589" t="s">
        <v>60</v>
      </c>
      <c r="B39" s="591" t="s">
        <v>167</v>
      </c>
      <c r="C39" s="593" t="s">
        <v>168</v>
      </c>
      <c r="D39" s="595" t="s">
        <v>169</v>
      </c>
      <c r="E39" s="596"/>
      <c r="F39" s="596"/>
      <c r="G39" s="596"/>
      <c r="H39" s="596"/>
      <c r="I39" s="596"/>
      <c r="J39" s="596"/>
      <c r="K39" s="596"/>
      <c r="L39" s="596"/>
      <c r="M39" s="596"/>
      <c r="N39" s="596"/>
      <c r="O39" s="596"/>
      <c r="P39" s="597"/>
      <c r="Q39" s="591" t="s">
        <v>170</v>
      </c>
      <c r="R39" s="591"/>
      <c r="S39" s="591"/>
      <c r="T39" s="591"/>
      <c r="U39" s="591"/>
      <c r="V39" s="591"/>
      <c r="W39" s="591"/>
      <c r="X39" s="591"/>
      <c r="Y39" s="591"/>
      <c r="Z39" s="591"/>
      <c r="AA39" s="591"/>
      <c r="AB39" s="591"/>
      <c r="AC39" s="591"/>
      <c r="AD39" s="591"/>
      <c r="AE39" s="679"/>
      <c r="AG39" s="128"/>
      <c r="AH39" s="128"/>
      <c r="AI39" s="128"/>
      <c r="AJ39" s="128"/>
      <c r="AK39" s="128"/>
      <c r="AL39" s="128"/>
      <c r="AM39" s="128"/>
      <c r="AN39" s="128"/>
      <c r="AO39" s="128"/>
    </row>
    <row r="40" spans="1:41" ht="26.1" customHeight="1" x14ac:dyDescent="0.25">
      <c r="A40" s="590"/>
      <c r="B40" s="592"/>
      <c r="C40" s="594"/>
      <c r="D40" s="48" t="s">
        <v>171</v>
      </c>
      <c r="E40" s="48" t="s">
        <v>172</v>
      </c>
      <c r="F40" s="48" t="s">
        <v>173</v>
      </c>
      <c r="G40" s="48" t="s">
        <v>174</v>
      </c>
      <c r="H40" s="48" t="s">
        <v>175</v>
      </c>
      <c r="I40" s="48" t="s">
        <v>176</v>
      </c>
      <c r="J40" s="48" t="s">
        <v>177</v>
      </c>
      <c r="K40" s="48" t="s">
        <v>178</v>
      </c>
      <c r="L40" s="48" t="s">
        <v>179</v>
      </c>
      <c r="M40" s="48" t="s">
        <v>180</v>
      </c>
      <c r="N40" s="48" t="s">
        <v>181</v>
      </c>
      <c r="O40" s="48" t="s">
        <v>182</v>
      </c>
      <c r="P40" s="48" t="s">
        <v>183</v>
      </c>
      <c r="Q40" s="676" t="s">
        <v>184</v>
      </c>
      <c r="R40" s="677"/>
      <c r="S40" s="677"/>
      <c r="T40" s="677"/>
      <c r="U40" s="677"/>
      <c r="V40" s="677"/>
      <c r="W40" s="677"/>
      <c r="X40" s="678"/>
      <c r="Y40" s="676" t="s">
        <v>68</v>
      </c>
      <c r="Z40" s="677"/>
      <c r="AA40" s="677"/>
      <c r="AB40" s="677"/>
      <c r="AC40" s="677"/>
      <c r="AD40" s="677"/>
      <c r="AE40" s="680"/>
      <c r="AG40" s="208"/>
      <c r="AH40" s="208"/>
      <c r="AI40" s="208"/>
      <c r="AJ40" s="208"/>
      <c r="AK40" s="208"/>
      <c r="AL40" s="208"/>
      <c r="AM40" s="208"/>
      <c r="AN40" s="208"/>
      <c r="AO40" s="208"/>
    </row>
    <row r="41" spans="1:41" ht="81" customHeight="1" x14ac:dyDescent="0.25">
      <c r="A41" s="691" t="s">
        <v>185</v>
      </c>
      <c r="B41" s="692">
        <v>0.03</v>
      </c>
      <c r="C41" s="56" t="s">
        <v>48</v>
      </c>
      <c r="D41" s="57">
        <v>0</v>
      </c>
      <c r="E41" s="57">
        <v>0</v>
      </c>
      <c r="F41" s="57">
        <v>0</v>
      </c>
      <c r="G41" s="57">
        <v>0</v>
      </c>
      <c r="H41" s="57">
        <v>0</v>
      </c>
      <c r="I41" s="57">
        <v>0</v>
      </c>
      <c r="J41" s="57">
        <v>0</v>
      </c>
      <c r="K41" s="57">
        <v>0.3</v>
      </c>
      <c r="L41" s="57">
        <v>0.7</v>
      </c>
      <c r="M41" s="57">
        <v>0</v>
      </c>
      <c r="N41" s="57">
        <v>0</v>
      </c>
      <c r="O41" s="57">
        <v>0</v>
      </c>
      <c r="P41" s="58">
        <f t="shared" ref="P41:P48" si="3">SUM(D41:O41)</f>
        <v>1</v>
      </c>
      <c r="Q41" s="693" t="s">
        <v>186</v>
      </c>
      <c r="R41" s="694"/>
      <c r="S41" s="694"/>
      <c r="T41" s="694"/>
      <c r="U41" s="694"/>
      <c r="V41" s="694"/>
      <c r="W41" s="694"/>
      <c r="X41" s="695"/>
      <c r="Y41" s="699" t="s">
        <v>187</v>
      </c>
      <c r="Z41" s="700"/>
      <c r="AA41" s="700"/>
      <c r="AB41" s="700"/>
      <c r="AC41" s="700"/>
      <c r="AD41" s="700"/>
      <c r="AE41" s="700"/>
      <c r="AG41" s="209"/>
      <c r="AH41" s="209"/>
      <c r="AI41" s="209"/>
      <c r="AJ41" s="209"/>
      <c r="AK41" s="209"/>
      <c r="AL41" s="209"/>
      <c r="AM41" s="209"/>
      <c r="AN41" s="209"/>
      <c r="AO41" s="209"/>
    </row>
    <row r="42" spans="1:41" ht="81" customHeight="1" x14ac:dyDescent="0.25">
      <c r="A42" s="691"/>
      <c r="B42" s="692"/>
      <c r="C42" s="59" t="s">
        <v>50</v>
      </c>
      <c r="D42" s="60">
        <v>0</v>
      </c>
      <c r="E42" s="60">
        <v>0</v>
      </c>
      <c r="F42" s="60">
        <v>0</v>
      </c>
      <c r="G42" s="60">
        <v>0</v>
      </c>
      <c r="H42" s="60">
        <v>0</v>
      </c>
      <c r="I42" s="60">
        <v>0</v>
      </c>
      <c r="J42" s="60">
        <v>0</v>
      </c>
      <c r="K42" s="60">
        <v>0.3</v>
      </c>
      <c r="L42" s="60">
        <v>0.7</v>
      </c>
      <c r="M42" s="60">
        <v>0</v>
      </c>
      <c r="N42" s="60">
        <v>0</v>
      </c>
      <c r="O42" s="60">
        <v>0</v>
      </c>
      <c r="P42" s="58">
        <f t="shared" si="3"/>
        <v>1</v>
      </c>
      <c r="Q42" s="696"/>
      <c r="R42" s="697"/>
      <c r="S42" s="697"/>
      <c r="T42" s="697"/>
      <c r="U42" s="697"/>
      <c r="V42" s="697"/>
      <c r="W42" s="697"/>
      <c r="X42" s="698"/>
      <c r="Y42" s="700"/>
      <c r="Z42" s="700"/>
      <c r="AA42" s="700"/>
      <c r="AB42" s="700"/>
      <c r="AC42" s="700"/>
      <c r="AD42" s="700"/>
      <c r="AE42" s="700"/>
    </row>
    <row r="43" spans="1:41" ht="102" customHeight="1" x14ac:dyDescent="0.25">
      <c r="A43" s="691" t="s">
        <v>188</v>
      </c>
      <c r="B43" s="692">
        <v>0.02</v>
      </c>
      <c r="C43" s="56" t="s">
        <v>48</v>
      </c>
      <c r="D43" s="57">
        <v>0</v>
      </c>
      <c r="E43" s="57">
        <v>0</v>
      </c>
      <c r="F43" s="57">
        <v>0</v>
      </c>
      <c r="G43" s="57">
        <v>0</v>
      </c>
      <c r="H43" s="57">
        <v>0</v>
      </c>
      <c r="I43" s="57">
        <v>0</v>
      </c>
      <c r="J43" s="57">
        <v>0</v>
      </c>
      <c r="K43" s="57">
        <v>0.5</v>
      </c>
      <c r="L43" s="57">
        <v>0.3</v>
      </c>
      <c r="M43" s="57">
        <v>0.2</v>
      </c>
      <c r="N43" s="57">
        <v>0</v>
      </c>
      <c r="O43" s="57">
        <v>0</v>
      </c>
      <c r="P43" s="58">
        <f t="shared" si="3"/>
        <v>1</v>
      </c>
      <c r="Q43" s="701" t="s">
        <v>189</v>
      </c>
      <c r="R43" s="702"/>
      <c r="S43" s="702"/>
      <c r="T43" s="702"/>
      <c r="U43" s="702"/>
      <c r="V43" s="702"/>
      <c r="W43" s="702"/>
      <c r="X43" s="703"/>
      <c r="Y43" s="707" t="s">
        <v>190</v>
      </c>
      <c r="Z43" s="708"/>
      <c r="AA43" s="708"/>
      <c r="AB43" s="708"/>
      <c r="AC43" s="708"/>
      <c r="AD43" s="708"/>
      <c r="AE43" s="709"/>
    </row>
    <row r="44" spans="1:41" ht="79.5" customHeight="1" x14ac:dyDescent="0.25">
      <c r="A44" s="691"/>
      <c r="B44" s="692"/>
      <c r="C44" s="59" t="s">
        <v>50</v>
      </c>
      <c r="D44" s="60">
        <v>0</v>
      </c>
      <c r="E44" s="60">
        <v>0</v>
      </c>
      <c r="F44" s="60">
        <v>0</v>
      </c>
      <c r="G44" s="60">
        <v>0</v>
      </c>
      <c r="H44" s="60">
        <v>0</v>
      </c>
      <c r="I44" s="60">
        <v>0</v>
      </c>
      <c r="J44" s="60">
        <v>0</v>
      </c>
      <c r="K44" s="60">
        <v>0.5</v>
      </c>
      <c r="L44" s="60">
        <v>0.3</v>
      </c>
      <c r="M44" s="60">
        <v>0.2</v>
      </c>
      <c r="N44" s="60">
        <v>0</v>
      </c>
      <c r="O44" s="60">
        <v>0</v>
      </c>
      <c r="P44" s="58">
        <f t="shared" si="3"/>
        <v>1</v>
      </c>
      <c r="Q44" s="704"/>
      <c r="R44" s="705"/>
      <c r="S44" s="705"/>
      <c r="T44" s="705"/>
      <c r="U44" s="705"/>
      <c r="V44" s="705"/>
      <c r="W44" s="705"/>
      <c r="X44" s="706"/>
      <c r="Y44" s="710"/>
      <c r="Z44" s="711"/>
      <c r="AA44" s="711"/>
      <c r="AB44" s="711"/>
      <c r="AC44" s="711"/>
      <c r="AD44" s="711"/>
      <c r="AE44" s="712"/>
    </row>
    <row r="45" spans="1:41" ht="66.599999999999994" customHeight="1" x14ac:dyDescent="0.25">
      <c r="A45" s="691" t="s">
        <v>191</v>
      </c>
      <c r="B45" s="692">
        <v>0.03</v>
      </c>
      <c r="C45" s="56" t="s">
        <v>48</v>
      </c>
      <c r="D45" s="57">
        <v>0</v>
      </c>
      <c r="E45" s="57">
        <v>0</v>
      </c>
      <c r="F45" s="57">
        <v>0</v>
      </c>
      <c r="G45" s="57">
        <v>0</v>
      </c>
      <c r="H45" s="57">
        <v>0</v>
      </c>
      <c r="I45" s="57">
        <v>0</v>
      </c>
      <c r="J45" s="57">
        <v>0</v>
      </c>
      <c r="K45" s="57">
        <v>0</v>
      </c>
      <c r="L45" s="57">
        <v>0.25</v>
      </c>
      <c r="M45" s="57">
        <v>0.25</v>
      </c>
      <c r="N45" s="57">
        <v>0.25</v>
      </c>
      <c r="O45" s="57">
        <v>0.25</v>
      </c>
      <c r="P45" s="58">
        <f t="shared" si="3"/>
        <v>1</v>
      </c>
      <c r="Q45" s="713" t="s">
        <v>192</v>
      </c>
      <c r="R45" s="702"/>
      <c r="S45" s="702"/>
      <c r="T45" s="702"/>
      <c r="U45" s="702"/>
      <c r="V45" s="702"/>
      <c r="W45" s="702"/>
      <c r="X45" s="703"/>
      <c r="Y45" s="714" t="s">
        <v>193</v>
      </c>
      <c r="Z45" s="715"/>
      <c r="AA45" s="715"/>
      <c r="AB45" s="715"/>
      <c r="AC45" s="715"/>
      <c r="AD45" s="715"/>
      <c r="AE45" s="716"/>
    </row>
    <row r="46" spans="1:41" ht="66.599999999999994" customHeight="1" x14ac:dyDescent="0.25">
      <c r="A46" s="691"/>
      <c r="B46" s="692"/>
      <c r="C46" s="59" t="s">
        <v>50</v>
      </c>
      <c r="D46" s="60">
        <v>0</v>
      </c>
      <c r="E46" s="60">
        <v>0</v>
      </c>
      <c r="F46" s="60">
        <v>0</v>
      </c>
      <c r="G46" s="60">
        <v>0</v>
      </c>
      <c r="H46" s="60">
        <v>0</v>
      </c>
      <c r="I46" s="60">
        <v>0</v>
      </c>
      <c r="J46" s="60">
        <v>0</v>
      </c>
      <c r="K46" s="60">
        <v>0</v>
      </c>
      <c r="L46" s="60">
        <v>0.25</v>
      </c>
      <c r="M46" s="60">
        <v>0.25</v>
      </c>
      <c r="N46" s="60">
        <v>0.25</v>
      </c>
      <c r="O46" s="60"/>
      <c r="P46" s="58">
        <f t="shared" si="3"/>
        <v>0.75</v>
      </c>
      <c r="Q46" s="704"/>
      <c r="R46" s="705"/>
      <c r="S46" s="705"/>
      <c r="T46" s="705"/>
      <c r="U46" s="705"/>
      <c r="V46" s="705"/>
      <c r="W46" s="705"/>
      <c r="X46" s="706"/>
      <c r="Y46" s="717"/>
      <c r="Z46" s="718"/>
      <c r="AA46" s="718"/>
      <c r="AB46" s="718"/>
      <c r="AC46" s="718"/>
      <c r="AD46" s="718"/>
      <c r="AE46" s="719"/>
    </row>
    <row r="47" spans="1:41" ht="55.9" customHeight="1" x14ac:dyDescent="0.25">
      <c r="A47" s="691" t="s">
        <v>194</v>
      </c>
      <c r="B47" s="692">
        <v>0.02</v>
      </c>
      <c r="C47" s="56" t="s">
        <v>48</v>
      </c>
      <c r="D47" s="57">
        <v>0</v>
      </c>
      <c r="E47" s="57">
        <v>0</v>
      </c>
      <c r="F47" s="57">
        <v>0</v>
      </c>
      <c r="G47" s="57">
        <v>0</v>
      </c>
      <c r="H47" s="57">
        <v>0</v>
      </c>
      <c r="I47" s="57">
        <v>0</v>
      </c>
      <c r="J47" s="57">
        <v>0</v>
      </c>
      <c r="K47" s="57">
        <v>0</v>
      </c>
      <c r="L47" s="57">
        <v>0</v>
      </c>
      <c r="M47" s="57">
        <v>0</v>
      </c>
      <c r="N47" s="57">
        <v>0.5</v>
      </c>
      <c r="O47" s="57">
        <v>0.5</v>
      </c>
      <c r="P47" s="58">
        <f t="shared" si="3"/>
        <v>1</v>
      </c>
      <c r="Q47" s="693" t="s">
        <v>195</v>
      </c>
      <c r="R47" s="694"/>
      <c r="S47" s="694"/>
      <c r="T47" s="694"/>
      <c r="U47" s="694"/>
      <c r="V47" s="694"/>
      <c r="W47" s="694"/>
      <c r="X47" s="695"/>
      <c r="Y47" s="693" t="s">
        <v>196</v>
      </c>
      <c r="Z47" s="694"/>
      <c r="AA47" s="694"/>
      <c r="AB47" s="694"/>
      <c r="AC47" s="694"/>
      <c r="AD47" s="694"/>
      <c r="AE47" s="722"/>
    </row>
    <row r="48" spans="1:41" ht="55.9" customHeight="1" thickBot="1" x14ac:dyDescent="0.3">
      <c r="A48" s="720"/>
      <c r="B48" s="721"/>
      <c r="C48" s="55" t="s">
        <v>50</v>
      </c>
      <c r="D48" s="60">
        <v>0</v>
      </c>
      <c r="E48" s="60">
        <v>0</v>
      </c>
      <c r="F48" s="60">
        <v>0</v>
      </c>
      <c r="G48" s="60">
        <v>0</v>
      </c>
      <c r="H48" s="60">
        <v>0</v>
      </c>
      <c r="I48" s="60">
        <v>0</v>
      </c>
      <c r="J48" s="60">
        <v>0</v>
      </c>
      <c r="K48" s="61">
        <v>0</v>
      </c>
      <c r="L48" s="61">
        <v>0</v>
      </c>
      <c r="M48" s="61">
        <v>0</v>
      </c>
      <c r="N48" s="61">
        <v>0.5</v>
      </c>
      <c r="O48" s="61"/>
      <c r="P48" s="62">
        <f t="shared" si="3"/>
        <v>0.5</v>
      </c>
      <c r="Q48" s="696"/>
      <c r="R48" s="697"/>
      <c r="S48" s="697"/>
      <c r="T48" s="697"/>
      <c r="U48" s="697"/>
      <c r="V48" s="697"/>
      <c r="W48" s="697"/>
      <c r="X48" s="698"/>
      <c r="Y48" s="696"/>
      <c r="Z48" s="697"/>
      <c r="AA48" s="697"/>
      <c r="AB48" s="697"/>
      <c r="AC48" s="697"/>
      <c r="AD48" s="697"/>
      <c r="AE48" s="723"/>
    </row>
    <row r="49" spans="1:31" ht="15" customHeight="1" x14ac:dyDescent="0.25">
      <c r="A49" s="125" t="s">
        <v>197</v>
      </c>
      <c r="Q49" s="210"/>
      <c r="R49" s="210"/>
      <c r="S49" s="210"/>
      <c r="T49" s="210"/>
      <c r="U49" s="210"/>
      <c r="V49" s="210"/>
      <c r="W49" s="210"/>
      <c r="X49" s="210"/>
      <c r="Y49" s="210"/>
      <c r="Z49" s="210"/>
      <c r="AA49" s="210"/>
      <c r="AB49" s="210"/>
      <c r="AC49" s="210"/>
      <c r="AD49" s="210"/>
      <c r="AE49" s="210"/>
    </row>
    <row r="50" spans="1:31" x14ac:dyDescent="0.25">
      <c r="Q50" s="210"/>
      <c r="R50" s="210"/>
      <c r="S50" s="210"/>
      <c r="T50" s="210"/>
      <c r="U50" s="210"/>
      <c r="V50" s="210"/>
      <c r="W50" s="210"/>
      <c r="X50" s="210"/>
      <c r="Y50" s="210"/>
      <c r="Z50" s="210"/>
      <c r="AA50" s="210"/>
      <c r="AB50" s="210"/>
      <c r="AC50" s="210"/>
      <c r="AD50" s="210"/>
      <c r="AE50" s="210"/>
    </row>
    <row r="51" spans="1:31" x14ac:dyDescent="0.25">
      <c r="Q51" s="210"/>
      <c r="R51" s="210"/>
      <c r="S51" s="210"/>
      <c r="T51" s="210"/>
      <c r="U51" s="210"/>
      <c r="V51" s="210"/>
      <c r="W51" s="210"/>
      <c r="X51" s="210"/>
      <c r="Y51" s="210"/>
      <c r="Z51" s="210"/>
      <c r="AA51" s="210"/>
      <c r="AB51" s="210"/>
      <c r="AC51" s="210"/>
      <c r="AD51" s="210"/>
      <c r="AE51" s="210"/>
    </row>
    <row r="52" spans="1:31" x14ac:dyDescent="0.25">
      <c r="Q52" s="210"/>
      <c r="R52" s="210"/>
      <c r="S52" s="210"/>
      <c r="T52" s="210"/>
      <c r="U52" s="210"/>
      <c r="V52" s="210"/>
      <c r="W52" s="210"/>
      <c r="X52" s="210"/>
      <c r="Y52" s="210"/>
      <c r="Z52" s="210"/>
      <c r="AA52" s="210"/>
      <c r="AB52" s="210"/>
      <c r="AC52" s="210"/>
      <c r="AD52" s="210"/>
      <c r="AE52" s="210"/>
    </row>
    <row r="53" spans="1:31" x14ac:dyDescent="0.25">
      <c r="Q53" s="210"/>
      <c r="R53" s="210"/>
      <c r="S53" s="210"/>
      <c r="T53" s="210"/>
      <c r="U53" s="210"/>
      <c r="V53" s="210"/>
      <c r="W53" s="210"/>
      <c r="X53" s="210"/>
      <c r="Y53" s="210"/>
      <c r="Z53" s="210"/>
      <c r="AA53" s="210"/>
      <c r="AB53" s="210"/>
      <c r="AC53" s="210"/>
      <c r="AD53" s="210"/>
      <c r="AE53" s="210"/>
    </row>
    <row r="54" spans="1:31" ht="75" hidden="1" customHeight="1" thickBot="1" x14ac:dyDescent="0.3">
      <c r="Q54" s="210"/>
      <c r="R54" s="210"/>
      <c r="S54" s="210"/>
      <c r="T54" s="210"/>
      <c r="U54" s="210"/>
      <c r="V54" s="210"/>
      <c r="W54" s="210"/>
      <c r="X54" s="210"/>
      <c r="Y54" s="210"/>
      <c r="Z54" s="210"/>
      <c r="AA54" s="210"/>
      <c r="AB54" s="210"/>
      <c r="AC54" s="210"/>
      <c r="AD54" s="210"/>
      <c r="AE54" s="210"/>
    </row>
    <row r="55" spans="1:31" s="214" customFormat="1" ht="15" hidden="1" x14ac:dyDescent="0.25">
      <c r="A55" s="575" t="s">
        <v>44</v>
      </c>
      <c r="B55" s="577" t="s">
        <v>167</v>
      </c>
      <c r="C55" s="579" t="s">
        <v>169</v>
      </c>
      <c r="D55" s="580"/>
      <c r="E55" s="580"/>
      <c r="F55" s="580"/>
      <c r="G55" s="580"/>
      <c r="H55" s="580"/>
      <c r="I55" s="580"/>
      <c r="J55" s="580"/>
      <c r="K55" s="580"/>
      <c r="L55" s="580"/>
      <c r="M55" s="580"/>
      <c r="N55" s="580"/>
      <c r="O55" s="580"/>
      <c r="P55" s="581"/>
      <c r="Q55" s="211"/>
      <c r="R55" s="211"/>
      <c r="S55" s="212"/>
      <c r="T55" s="212"/>
      <c r="U55" s="212"/>
      <c r="V55" s="212"/>
      <c r="W55" s="212"/>
      <c r="X55" s="212"/>
      <c r="Y55" s="212"/>
      <c r="Z55" s="212"/>
      <c r="AA55" s="212"/>
      <c r="AB55" s="212"/>
      <c r="AC55" s="212"/>
      <c r="AD55" s="212"/>
      <c r="AE55" s="213"/>
    </row>
    <row r="56" spans="1:31" s="214" customFormat="1" ht="21" hidden="1" x14ac:dyDescent="0.25">
      <c r="A56" s="576"/>
      <c r="B56" s="578"/>
      <c r="C56" s="215" t="s">
        <v>168</v>
      </c>
      <c r="D56" s="215" t="s">
        <v>171</v>
      </c>
      <c r="E56" s="215" t="s">
        <v>172</v>
      </c>
      <c r="F56" s="215" t="s">
        <v>173</v>
      </c>
      <c r="G56" s="215" t="s">
        <v>174</v>
      </c>
      <c r="H56" s="215" t="s">
        <v>175</v>
      </c>
      <c r="I56" s="215" t="s">
        <v>176</v>
      </c>
      <c r="J56" s="215" t="s">
        <v>177</v>
      </c>
      <c r="K56" s="215" t="s">
        <v>178</v>
      </c>
      <c r="L56" s="215" t="s">
        <v>179</v>
      </c>
      <c r="M56" s="215" t="s">
        <v>180</v>
      </c>
      <c r="N56" s="215" t="s">
        <v>181</v>
      </c>
      <c r="O56" s="215" t="s">
        <v>182</v>
      </c>
      <c r="P56" s="216" t="s">
        <v>183</v>
      </c>
      <c r="Q56" s="211"/>
      <c r="R56" s="211"/>
      <c r="S56" s="212"/>
      <c r="T56" s="212"/>
      <c r="U56" s="212"/>
      <c r="V56" s="212"/>
      <c r="W56" s="212"/>
      <c r="X56" s="212"/>
      <c r="Y56" s="212"/>
      <c r="Z56" s="212"/>
      <c r="AA56" s="212"/>
      <c r="AB56" s="212"/>
      <c r="AC56" s="212"/>
      <c r="AD56" s="212"/>
      <c r="AE56" s="213"/>
    </row>
    <row r="57" spans="1:31" s="214" customFormat="1" ht="18" hidden="1" customHeight="1" x14ac:dyDescent="0.25">
      <c r="A57" s="571" t="str">
        <f>A41</f>
        <v>1. Desarrollar una guía estructurada que sirva como referencia para la creación de documentos técnicos enfocados en la formulación de estrategias de transformación cultural.</v>
      </c>
      <c r="B57" s="573">
        <f>B41</f>
        <v>0.03</v>
      </c>
      <c r="C57" s="217" t="s">
        <v>48</v>
      </c>
      <c r="D57" s="218">
        <f>D41*$B$41/$P$41</f>
        <v>0</v>
      </c>
      <c r="E57" s="218">
        <f t="shared" ref="E57:O58" si="4">E41*$B$41/$P$41</f>
        <v>0</v>
      </c>
      <c r="F57" s="218">
        <f t="shared" si="4"/>
        <v>0</v>
      </c>
      <c r="G57" s="218">
        <f t="shared" si="4"/>
        <v>0</v>
      </c>
      <c r="H57" s="218">
        <f t="shared" si="4"/>
        <v>0</v>
      </c>
      <c r="I57" s="218">
        <f t="shared" si="4"/>
        <v>0</v>
      </c>
      <c r="J57" s="218">
        <f t="shared" si="4"/>
        <v>0</v>
      </c>
      <c r="K57" s="218">
        <f t="shared" si="4"/>
        <v>8.9999999999999993E-3</v>
      </c>
      <c r="L57" s="218">
        <f t="shared" si="4"/>
        <v>2.0999999999999998E-2</v>
      </c>
      <c r="M57" s="218">
        <f t="shared" si="4"/>
        <v>0</v>
      </c>
      <c r="N57" s="218">
        <f t="shared" si="4"/>
        <v>0</v>
      </c>
      <c r="O57" s="218">
        <f t="shared" si="4"/>
        <v>0</v>
      </c>
      <c r="P57" s="219">
        <f>SUM(D57:O57)</f>
        <v>0.03</v>
      </c>
      <c r="Q57" s="220">
        <v>0.05</v>
      </c>
      <c r="R57" s="221">
        <f t="shared" ref="R57:R68" si="5">+P57-Q57</f>
        <v>-2.0000000000000004E-2</v>
      </c>
      <c r="S57" s="212"/>
      <c r="T57" s="212"/>
      <c r="U57" s="212"/>
      <c r="V57" s="212"/>
      <c r="W57" s="212"/>
      <c r="X57" s="212"/>
      <c r="Y57" s="212"/>
      <c r="Z57" s="212"/>
      <c r="AA57" s="212"/>
      <c r="AB57" s="212"/>
      <c r="AC57" s="212"/>
      <c r="AD57" s="212"/>
      <c r="AE57" s="213"/>
    </row>
    <row r="58" spans="1:31" s="214" customFormat="1" ht="18" hidden="1" customHeight="1" x14ac:dyDescent="0.25">
      <c r="A58" s="572"/>
      <c r="B58" s="574"/>
      <c r="C58" s="222" t="s">
        <v>50</v>
      </c>
      <c r="D58" s="223">
        <f>D42*$B$41/$P$41</f>
        <v>0</v>
      </c>
      <c r="E58" s="223">
        <f t="shared" si="4"/>
        <v>0</v>
      </c>
      <c r="F58" s="223">
        <f t="shared" si="4"/>
        <v>0</v>
      </c>
      <c r="G58" s="223">
        <f t="shared" si="4"/>
        <v>0</v>
      </c>
      <c r="H58" s="223">
        <f t="shared" si="4"/>
        <v>0</v>
      </c>
      <c r="I58" s="223">
        <f t="shared" si="4"/>
        <v>0</v>
      </c>
      <c r="J58" s="223">
        <f t="shared" si="4"/>
        <v>0</v>
      </c>
      <c r="K58" s="223">
        <f>K42*$B$41/$P$41</f>
        <v>8.9999999999999993E-3</v>
      </c>
      <c r="L58" s="223">
        <f t="shared" si="4"/>
        <v>2.0999999999999998E-2</v>
      </c>
      <c r="M58" s="223">
        <f t="shared" si="4"/>
        <v>0</v>
      </c>
      <c r="N58" s="223">
        <f t="shared" si="4"/>
        <v>0</v>
      </c>
      <c r="O58" s="223">
        <f t="shared" si="4"/>
        <v>0</v>
      </c>
      <c r="P58" s="224">
        <f>SUM(D58:O58)</f>
        <v>0.03</v>
      </c>
      <c r="Q58" s="225">
        <f>+P58</f>
        <v>0.03</v>
      </c>
      <c r="R58" s="221">
        <f t="shared" si="5"/>
        <v>0</v>
      </c>
      <c r="S58" s="212"/>
      <c r="T58" s="212"/>
      <c r="U58" s="212"/>
      <c r="V58" s="212"/>
      <c r="W58" s="212"/>
      <c r="X58" s="212"/>
      <c r="Y58" s="212"/>
      <c r="Z58" s="212"/>
      <c r="AA58" s="212"/>
      <c r="AB58" s="212"/>
      <c r="AC58" s="212"/>
      <c r="AD58" s="212"/>
      <c r="AE58" s="213"/>
    </row>
    <row r="59" spans="1:31" s="214" customFormat="1" ht="18" hidden="1" customHeight="1" x14ac:dyDescent="0.25">
      <c r="A59" s="571" t="str">
        <f t="shared" ref="A59:B59" si="6">A43</f>
        <v xml:space="preserve">2. Adelantar dos diagnósticos para identificar las barreras culturales, sociales, legales y económicas que impiden la redistribución equitativa del cuidado, y sustentan las violencias de género  aplicando los respectivos modelos de cambio cultural y comportamental. </v>
      </c>
      <c r="B59" s="573">
        <f t="shared" si="6"/>
        <v>0.02</v>
      </c>
      <c r="C59" s="217" t="s">
        <v>48</v>
      </c>
      <c r="D59" s="218">
        <f>D43*$B$43/$P$43</f>
        <v>0</v>
      </c>
      <c r="E59" s="218">
        <f t="shared" ref="E59:O60" si="7">E43*$B$43/$P$43</f>
        <v>0</v>
      </c>
      <c r="F59" s="218">
        <f t="shared" si="7"/>
        <v>0</v>
      </c>
      <c r="G59" s="218">
        <f t="shared" si="7"/>
        <v>0</v>
      </c>
      <c r="H59" s="218">
        <f t="shared" si="7"/>
        <v>0</v>
      </c>
      <c r="I59" s="218">
        <f t="shared" si="7"/>
        <v>0</v>
      </c>
      <c r="J59" s="218">
        <f t="shared" si="7"/>
        <v>0</v>
      </c>
      <c r="K59" s="218">
        <f t="shared" si="7"/>
        <v>0.01</v>
      </c>
      <c r="L59" s="218">
        <f t="shared" si="7"/>
        <v>6.0000000000000001E-3</v>
      </c>
      <c r="M59" s="218">
        <f t="shared" si="7"/>
        <v>4.0000000000000001E-3</v>
      </c>
      <c r="N59" s="218">
        <f t="shared" si="7"/>
        <v>0</v>
      </c>
      <c r="O59" s="218">
        <f t="shared" si="7"/>
        <v>0</v>
      </c>
      <c r="P59" s="219">
        <f>SUM(D59:O59)</f>
        <v>0.02</v>
      </c>
      <c r="Q59" s="220">
        <v>2.5000000000000001E-2</v>
      </c>
      <c r="R59" s="221">
        <f t="shared" si="5"/>
        <v>-5.000000000000001E-3</v>
      </c>
      <c r="S59" s="212"/>
      <c r="T59" s="212"/>
      <c r="U59" s="212"/>
      <c r="V59" s="212"/>
      <c r="W59" s="212"/>
      <c r="X59" s="212"/>
      <c r="Y59" s="212"/>
      <c r="Z59" s="212"/>
      <c r="AA59" s="212"/>
      <c r="AB59" s="212"/>
      <c r="AC59" s="212"/>
      <c r="AD59" s="212"/>
      <c r="AE59" s="213"/>
    </row>
    <row r="60" spans="1:31" s="214" customFormat="1" ht="18" hidden="1" customHeight="1" x14ac:dyDescent="0.25">
      <c r="A60" s="572"/>
      <c r="B60" s="574"/>
      <c r="C60" s="222" t="s">
        <v>50</v>
      </c>
      <c r="D60" s="223">
        <f>D44*$B$43/$P$43</f>
        <v>0</v>
      </c>
      <c r="E60" s="223">
        <f t="shared" si="7"/>
        <v>0</v>
      </c>
      <c r="F60" s="223">
        <f t="shared" si="7"/>
        <v>0</v>
      </c>
      <c r="G60" s="223">
        <f t="shared" si="7"/>
        <v>0</v>
      </c>
      <c r="H60" s="223">
        <f t="shared" si="7"/>
        <v>0</v>
      </c>
      <c r="I60" s="223">
        <f t="shared" si="7"/>
        <v>0</v>
      </c>
      <c r="J60" s="223">
        <f t="shared" si="7"/>
        <v>0</v>
      </c>
      <c r="K60" s="223">
        <f t="shared" si="7"/>
        <v>0.01</v>
      </c>
      <c r="L60" s="223">
        <f t="shared" si="7"/>
        <v>6.0000000000000001E-3</v>
      </c>
      <c r="M60" s="223">
        <f t="shared" si="7"/>
        <v>4.0000000000000001E-3</v>
      </c>
      <c r="N60" s="223">
        <f t="shared" si="7"/>
        <v>0</v>
      </c>
      <c r="O60" s="223">
        <f t="shared" si="7"/>
        <v>0</v>
      </c>
      <c r="P60" s="224">
        <f t="shared" ref="P60:P64" si="8">SUM(D60:O60)</f>
        <v>0.02</v>
      </c>
      <c r="Q60" s="225">
        <f>+P60</f>
        <v>0.02</v>
      </c>
      <c r="R60" s="221">
        <f t="shared" si="5"/>
        <v>0</v>
      </c>
      <c r="S60" s="212"/>
      <c r="T60" s="212"/>
      <c r="U60" s="212"/>
      <c r="V60" s="212"/>
      <c r="W60" s="212"/>
      <c r="X60" s="212"/>
      <c r="Y60" s="212"/>
      <c r="Z60" s="212"/>
      <c r="AA60" s="212"/>
      <c r="AB60" s="212"/>
      <c r="AC60" s="212"/>
      <c r="AD60" s="212"/>
      <c r="AE60" s="213"/>
    </row>
    <row r="61" spans="1:31" s="214" customFormat="1" ht="18" hidden="1" customHeight="1" x14ac:dyDescent="0.25">
      <c r="A61" s="571" t="str">
        <f t="shared" ref="A61:B61" si="9">A45</f>
        <v>3. Planificar la implementación de las estrategias, incluyendo la coordinación con otras dependencias, entidades, organizaciones locales y comunitarias. Establecer alianzas y definir roles y responsabilidades.</v>
      </c>
      <c r="B61" s="573">
        <f t="shared" si="9"/>
        <v>0.03</v>
      </c>
      <c r="C61" s="217" t="s">
        <v>48</v>
      </c>
      <c r="D61" s="218">
        <f>D45*$B$45/$P$45</f>
        <v>0</v>
      </c>
      <c r="E61" s="218">
        <f t="shared" ref="E61:O62" si="10">E45*$B$45/$P$45</f>
        <v>0</v>
      </c>
      <c r="F61" s="218">
        <f t="shared" si="10"/>
        <v>0</v>
      </c>
      <c r="G61" s="218">
        <f t="shared" si="10"/>
        <v>0</v>
      </c>
      <c r="H61" s="218">
        <f t="shared" si="10"/>
        <v>0</v>
      </c>
      <c r="I61" s="218">
        <f t="shared" si="10"/>
        <v>0</v>
      </c>
      <c r="J61" s="218">
        <f t="shared" si="10"/>
        <v>0</v>
      </c>
      <c r="K61" s="218">
        <f t="shared" si="10"/>
        <v>0</v>
      </c>
      <c r="L61" s="218">
        <f t="shared" si="10"/>
        <v>7.4999999999999997E-3</v>
      </c>
      <c r="M61" s="218">
        <f t="shared" si="10"/>
        <v>7.4999999999999997E-3</v>
      </c>
      <c r="N61" s="218">
        <f t="shared" si="10"/>
        <v>7.4999999999999997E-3</v>
      </c>
      <c r="O61" s="218">
        <f t="shared" si="10"/>
        <v>7.4999999999999997E-3</v>
      </c>
      <c r="P61" s="219">
        <f>SUM(D61:O61)</f>
        <v>0.03</v>
      </c>
      <c r="Q61" s="220">
        <v>2.5000000000000001E-2</v>
      </c>
      <c r="R61" s="221">
        <f t="shared" si="5"/>
        <v>4.9999999999999975E-3</v>
      </c>
      <c r="S61" s="212"/>
      <c r="T61" s="212"/>
      <c r="U61" s="212"/>
      <c r="V61" s="212"/>
      <c r="W61" s="212"/>
      <c r="X61" s="212"/>
      <c r="Y61" s="212"/>
      <c r="Z61" s="212"/>
      <c r="AA61" s="212"/>
      <c r="AB61" s="212"/>
      <c r="AC61" s="212"/>
      <c r="AD61" s="212"/>
      <c r="AE61" s="213"/>
    </row>
    <row r="62" spans="1:31" s="214" customFormat="1" ht="18" hidden="1" customHeight="1" x14ac:dyDescent="0.25">
      <c r="A62" s="572"/>
      <c r="B62" s="574"/>
      <c r="C62" s="222" t="s">
        <v>50</v>
      </c>
      <c r="D62" s="226">
        <f>D46*$B$45/$P$45</f>
        <v>0</v>
      </c>
      <c r="E62" s="226">
        <f t="shared" si="10"/>
        <v>0</v>
      </c>
      <c r="F62" s="226">
        <f t="shared" si="10"/>
        <v>0</v>
      </c>
      <c r="G62" s="226">
        <f t="shared" si="10"/>
        <v>0</v>
      </c>
      <c r="H62" s="226">
        <f t="shared" si="10"/>
        <v>0</v>
      </c>
      <c r="I62" s="226">
        <f t="shared" si="10"/>
        <v>0</v>
      </c>
      <c r="J62" s="226">
        <f t="shared" si="10"/>
        <v>0</v>
      </c>
      <c r="K62" s="226">
        <f t="shared" si="10"/>
        <v>0</v>
      </c>
      <c r="L62" s="226">
        <f t="shared" si="10"/>
        <v>7.4999999999999997E-3</v>
      </c>
      <c r="M62" s="226">
        <f t="shared" si="10"/>
        <v>7.4999999999999997E-3</v>
      </c>
      <c r="N62" s="226">
        <f t="shared" si="10"/>
        <v>7.4999999999999997E-3</v>
      </c>
      <c r="O62" s="226">
        <f t="shared" si="10"/>
        <v>0</v>
      </c>
      <c r="P62" s="224">
        <f t="shared" si="8"/>
        <v>2.2499999999999999E-2</v>
      </c>
      <c r="Q62" s="225">
        <f>+P62</f>
        <v>2.2499999999999999E-2</v>
      </c>
      <c r="R62" s="221">
        <f t="shared" si="5"/>
        <v>0</v>
      </c>
      <c r="S62" s="212"/>
      <c r="T62" s="212"/>
      <c r="U62" s="212"/>
      <c r="V62" s="212"/>
      <c r="W62" s="212"/>
      <c r="X62" s="212"/>
      <c r="Y62" s="212"/>
      <c r="Z62" s="212"/>
      <c r="AA62" s="212"/>
      <c r="AB62" s="212"/>
      <c r="AC62" s="212"/>
      <c r="AD62" s="212"/>
      <c r="AE62" s="213"/>
    </row>
    <row r="63" spans="1:31" s="214" customFormat="1" ht="18" hidden="1" customHeight="1" x14ac:dyDescent="0.25">
      <c r="A63" s="571" t="str">
        <f t="shared" ref="A63:B63" si="11">A47</f>
        <v>4. Desarrollar un informe de balance general que detalle y evalúe las acciones implementadas bajo la estrategia de transformación cultural durante el año 2024.</v>
      </c>
      <c r="B63" s="573">
        <f t="shared" si="11"/>
        <v>0.02</v>
      </c>
      <c r="C63" s="217" t="s">
        <v>48</v>
      </c>
      <c r="D63" s="218">
        <f>D47*$B$47/$P$47</f>
        <v>0</v>
      </c>
      <c r="E63" s="218">
        <f t="shared" ref="E63:O63" si="12">E47*$B$47/$P$47</f>
        <v>0</v>
      </c>
      <c r="F63" s="218">
        <f t="shared" si="12"/>
        <v>0</v>
      </c>
      <c r="G63" s="218">
        <f t="shared" si="12"/>
        <v>0</v>
      </c>
      <c r="H63" s="218">
        <f t="shared" si="12"/>
        <v>0</v>
      </c>
      <c r="I63" s="218">
        <f t="shared" si="12"/>
        <v>0</v>
      </c>
      <c r="J63" s="218">
        <f t="shared" si="12"/>
        <v>0</v>
      </c>
      <c r="K63" s="218">
        <f t="shared" si="12"/>
        <v>0</v>
      </c>
      <c r="L63" s="218">
        <f t="shared" si="12"/>
        <v>0</v>
      </c>
      <c r="M63" s="218">
        <f t="shared" si="12"/>
        <v>0</v>
      </c>
      <c r="N63" s="218">
        <f t="shared" si="12"/>
        <v>0.01</v>
      </c>
      <c r="O63" s="218">
        <f t="shared" si="12"/>
        <v>0.01</v>
      </c>
      <c r="P63" s="219">
        <f>SUM(D63:O63)</f>
        <v>0.02</v>
      </c>
      <c r="Q63" s="220"/>
      <c r="R63" s="221">
        <f t="shared" si="5"/>
        <v>0.02</v>
      </c>
      <c r="S63" s="212"/>
      <c r="T63" s="212"/>
      <c r="U63" s="212"/>
      <c r="V63" s="212"/>
      <c r="W63" s="212"/>
      <c r="X63" s="212"/>
      <c r="Y63" s="212"/>
      <c r="Z63" s="212"/>
      <c r="AA63" s="212"/>
      <c r="AB63" s="212"/>
      <c r="AC63" s="212"/>
      <c r="AD63" s="212"/>
      <c r="AE63" s="213"/>
    </row>
    <row r="64" spans="1:31" s="214" customFormat="1" ht="18" hidden="1" customHeight="1" thickBot="1" x14ac:dyDescent="0.3">
      <c r="A64" s="572"/>
      <c r="B64" s="574"/>
      <c r="C64" s="227" t="s">
        <v>50</v>
      </c>
      <c r="D64" s="226">
        <f>D48*$B$47/$P$47</f>
        <v>0</v>
      </c>
      <c r="E64" s="226">
        <f t="shared" ref="E64:O64" si="13">E48*$B$47/$P$47</f>
        <v>0</v>
      </c>
      <c r="F64" s="226">
        <f t="shared" si="13"/>
        <v>0</v>
      </c>
      <c r="G64" s="226">
        <f t="shared" si="13"/>
        <v>0</v>
      </c>
      <c r="H64" s="226">
        <f t="shared" si="13"/>
        <v>0</v>
      </c>
      <c r="I64" s="226">
        <f t="shared" si="13"/>
        <v>0</v>
      </c>
      <c r="J64" s="226">
        <f t="shared" si="13"/>
        <v>0</v>
      </c>
      <c r="K64" s="226">
        <f t="shared" si="13"/>
        <v>0</v>
      </c>
      <c r="L64" s="226">
        <f t="shared" si="13"/>
        <v>0</v>
      </c>
      <c r="M64" s="226">
        <f t="shared" si="13"/>
        <v>0</v>
      </c>
      <c r="N64" s="226">
        <f t="shared" si="13"/>
        <v>0.01</v>
      </c>
      <c r="O64" s="226">
        <f t="shared" si="13"/>
        <v>0</v>
      </c>
      <c r="P64" s="224">
        <f t="shared" si="8"/>
        <v>0.01</v>
      </c>
      <c r="Q64" s="225"/>
      <c r="R64" s="221">
        <f t="shared" si="5"/>
        <v>0.01</v>
      </c>
      <c r="S64" s="212"/>
      <c r="T64" s="212"/>
      <c r="U64" s="212"/>
      <c r="V64" s="212"/>
      <c r="W64" s="212"/>
      <c r="X64" s="212"/>
      <c r="Y64" s="212"/>
      <c r="Z64" s="212"/>
      <c r="AA64" s="212"/>
      <c r="AB64" s="212"/>
      <c r="AC64" s="212"/>
      <c r="AD64" s="212"/>
      <c r="AE64" s="213"/>
    </row>
    <row r="65" spans="1:31" s="214" customFormat="1" ht="15" hidden="1" x14ac:dyDescent="0.25">
      <c r="A65" s="567"/>
      <c r="B65" s="569"/>
      <c r="C65" s="228"/>
      <c r="D65" s="218"/>
      <c r="E65" s="218"/>
      <c r="F65" s="218"/>
      <c r="G65" s="218"/>
      <c r="H65" s="218"/>
      <c r="I65" s="218"/>
      <c r="J65" s="218"/>
      <c r="K65" s="218"/>
      <c r="L65" s="218"/>
      <c r="M65" s="218"/>
      <c r="N65" s="218"/>
      <c r="O65" s="218"/>
      <c r="P65" s="229"/>
      <c r="Q65" s="220"/>
      <c r="R65" s="221">
        <f t="shared" si="5"/>
        <v>0</v>
      </c>
      <c r="S65" s="212"/>
      <c r="T65" s="212"/>
      <c r="U65" s="212"/>
      <c r="V65" s="212"/>
      <c r="W65" s="212"/>
      <c r="X65" s="212"/>
      <c r="Y65" s="212"/>
      <c r="Z65" s="212"/>
      <c r="AA65" s="212"/>
      <c r="AB65" s="212"/>
      <c r="AC65" s="212"/>
      <c r="AD65" s="212"/>
      <c r="AE65" s="213"/>
    </row>
    <row r="66" spans="1:31" s="214" customFormat="1" ht="15" hidden="1" x14ac:dyDescent="0.25">
      <c r="A66" s="568"/>
      <c r="B66" s="570"/>
      <c r="C66" s="228"/>
      <c r="D66" s="232"/>
      <c r="E66" s="232"/>
      <c r="F66" s="232"/>
      <c r="G66" s="232"/>
      <c r="H66" s="232"/>
      <c r="I66" s="232"/>
      <c r="J66" s="232"/>
      <c r="K66" s="232"/>
      <c r="L66" s="232"/>
      <c r="M66" s="232"/>
      <c r="N66" s="232"/>
      <c r="O66" s="232"/>
      <c r="P66" s="229"/>
      <c r="Q66" s="225"/>
      <c r="R66" s="221">
        <f t="shared" si="5"/>
        <v>0</v>
      </c>
      <c r="S66" s="212"/>
      <c r="T66" s="212"/>
      <c r="U66" s="212"/>
      <c r="V66" s="212"/>
      <c r="W66" s="212"/>
      <c r="X66" s="212"/>
      <c r="Y66" s="212"/>
      <c r="Z66" s="212"/>
      <c r="AA66" s="212"/>
      <c r="AB66" s="212"/>
      <c r="AC66" s="212"/>
      <c r="AD66" s="212"/>
      <c r="AE66" s="213"/>
    </row>
    <row r="67" spans="1:31" s="214" customFormat="1" ht="15" hidden="1" x14ac:dyDescent="0.25">
      <c r="A67" s="567"/>
      <c r="B67" s="569"/>
      <c r="C67" s="228"/>
      <c r="D67" s="218"/>
      <c r="E67" s="218"/>
      <c r="F67" s="218"/>
      <c r="G67" s="218"/>
      <c r="H67" s="218"/>
      <c r="I67" s="218"/>
      <c r="J67" s="218"/>
      <c r="K67" s="218"/>
      <c r="L67" s="218"/>
      <c r="M67" s="218"/>
      <c r="N67" s="218"/>
      <c r="O67" s="218"/>
      <c r="P67" s="229"/>
      <c r="Q67" s="220"/>
      <c r="R67" s="221">
        <f t="shared" si="5"/>
        <v>0</v>
      </c>
      <c r="S67" s="212"/>
      <c r="T67" s="212"/>
      <c r="U67" s="212"/>
      <c r="V67" s="212"/>
      <c r="W67" s="212"/>
      <c r="X67" s="212"/>
      <c r="Y67" s="212"/>
      <c r="Z67" s="212"/>
      <c r="AA67" s="212"/>
      <c r="AB67" s="212"/>
      <c r="AC67" s="212"/>
      <c r="AD67" s="212"/>
      <c r="AE67" s="213"/>
    </row>
    <row r="68" spans="1:31" s="214" customFormat="1" ht="15" hidden="1" x14ac:dyDescent="0.25">
      <c r="A68" s="568"/>
      <c r="B68" s="570"/>
      <c r="C68" s="228"/>
      <c r="D68" s="232"/>
      <c r="E68" s="232"/>
      <c r="F68" s="232"/>
      <c r="G68" s="232"/>
      <c r="H68" s="232"/>
      <c r="I68" s="232"/>
      <c r="J68" s="232"/>
      <c r="K68" s="232"/>
      <c r="L68" s="232"/>
      <c r="M68" s="232"/>
      <c r="N68" s="232"/>
      <c r="O68" s="232"/>
      <c r="P68" s="229"/>
      <c r="Q68" s="225"/>
      <c r="R68" s="221">
        <f t="shared" si="5"/>
        <v>0</v>
      </c>
      <c r="S68" s="212"/>
      <c r="T68" s="212"/>
      <c r="U68" s="212"/>
      <c r="V68" s="212"/>
      <c r="W68" s="212"/>
      <c r="X68" s="212"/>
      <c r="Y68" s="212"/>
      <c r="Z68" s="212"/>
      <c r="AA68" s="212"/>
      <c r="AB68" s="212"/>
      <c r="AC68" s="212"/>
      <c r="AD68" s="212"/>
      <c r="AE68" s="213"/>
    </row>
    <row r="69" spans="1:31" s="214" customFormat="1" ht="15" hidden="1" x14ac:dyDescent="0.25">
      <c r="A69" s="567"/>
      <c r="B69" s="569"/>
      <c r="C69" s="228"/>
      <c r="D69" s="218"/>
      <c r="E69" s="218"/>
      <c r="F69" s="218"/>
      <c r="G69" s="218"/>
      <c r="H69" s="218"/>
      <c r="I69" s="218"/>
      <c r="J69" s="218"/>
      <c r="K69" s="218"/>
      <c r="L69" s="218"/>
      <c r="M69" s="218"/>
      <c r="N69" s="218"/>
      <c r="O69" s="218"/>
      <c r="P69" s="229"/>
      <c r="Q69" s="220"/>
      <c r="R69" s="221"/>
      <c r="S69" s="212"/>
      <c r="T69" s="212"/>
      <c r="U69" s="212"/>
      <c r="V69" s="212"/>
      <c r="W69" s="212"/>
      <c r="X69" s="212"/>
      <c r="Y69" s="212"/>
      <c r="Z69" s="212"/>
      <c r="AA69" s="212"/>
      <c r="AB69" s="212"/>
      <c r="AC69" s="212"/>
      <c r="AD69" s="212"/>
      <c r="AE69" s="213"/>
    </row>
    <row r="70" spans="1:31" s="214" customFormat="1" ht="15" hidden="1" x14ac:dyDescent="0.25">
      <c r="A70" s="568"/>
      <c r="B70" s="570"/>
      <c r="C70" s="228"/>
      <c r="D70" s="232"/>
      <c r="E70" s="232"/>
      <c r="F70" s="232"/>
      <c r="G70" s="232"/>
      <c r="H70" s="232"/>
      <c r="I70" s="232"/>
      <c r="J70" s="232"/>
      <c r="K70" s="232"/>
      <c r="L70" s="232"/>
      <c r="M70" s="232"/>
      <c r="N70" s="232"/>
      <c r="O70" s="232"/>
      <c r="P70" s="229"/>
      <c r="Q70" s="225"/>
      <c r="R70" s="221"/>
      <c r="S70" s="212"/>
      <c r="T70" s="212"/>
      <c r="U70" s="212"/>
      <c r="V70" s="212"/>
      <c r="W70" s="212"/>
      <c r="X70" s="212"/>
      <c r="Y70" s="212"/>
      <c r="Z70" s="212"/>
      <c r="AA70" s="212"/>
      <c r="AB70" s="212"/>
      <c r="AC70" s="212"/>
      <c r="AD70" s="212"/>
      <c r="AE70" s="213"/>
    </row>
    <row r="71" spans="1:31" s="214" customFormat="1" ht="15" hidden="1" x14ac:dyDescent="0.25">
      <c r="A71" s="211"/>
      <c r="B71" s="233"/>
      <c r="C71" s="234"/>
      <c r="D71" s="235">
        <f>D58+D60+D62+D64</f>
        <v>0</v>
      </c>
      <c r="E71" s="235">
        <f t="shared" ref="E71:O71" si="14">E58+E60+E62+E64</f>
        <v>0</v>
      </c>
      <c r="F71" s="235">
        <f t="shared" si="14"/>
        <v>0</v>
      </c>
      <c r="G71" s="235">
        <f t="shared" si="14"/>
        <v>0</v>
      </c>
      <c r="H71" s="235">
        <f t="shared" si="14"/>
        <v>0</v>
      </c>
      <c r="I71" s="235">
        <f t="shared" si="14"/>
        <v>0</v>
      </c>
      <c r="J71" s="235">
        <f t="shared" si="14"/>
        <v>0</v>
      </c>
      <c r="K71" s="235">
        <f t="shared" si="14"/>
        <v>1.9E-2</v>
      </c>
      <c r="L71" s="235">
        <f t="shared" si="14"/>
        <v>3.4499999999999996E-2</v>
      </c>
      <c r="M71" s="235">
        <f t="shared" si="14"/>
        <v>1.15E-2</v>
      </c>
      <c r="N71" s="235">
        <f t="shared" si="14"/>
        <v>1.7500000000000002E-2</v>
      </c>
      <c r="O71" s="235">
        <f t="shared" si="14"/>
        <v>0</v>
      </c>
      <c r="P71" s="235">
        <f>P58+P60+P62+P64</f>
        <v>8.2500000000000004E-2</v>
      </c>
      <c r="Q71" s="211"/>
      <c r="R71" s="221">
        <f>+P71-Q71</f>
        <v>8.2500000000000004E-2</v>
      </c>
      <c r="S71" s="212"/>
      <c r="T71" s="212"/>
      <c r="U71" s="212"/>
      <c r="V71" s="212"/>
      <c r="W71" s="212"/>
      <c r="X71" s="212"/>
      <c r="Y71" s="212"/>
      <c r="Z71" s="212"/>
      <c r="AA71" s="212"/>
      <c r="AB71" s="212"/>
      <c r="AC71" s="212"/>
      <c r="AD71" s="212"/>
      <c r="AE71" s="213"/>
    </row>
    <row r="72" spans="1:31" s="214" customFormat="1" ht="15" hidden="1" x14ac:dyDescent="0.25">
      <c r="A72" s="211"/>
      <c r="B72" s="236"/>
      <c r="C72" s="237" t="s">
        <v>50</v>
      </c>
      <c r="D72" s="238">
        <f>D71*3/$B$35</f>
        <v>0</v>
      </c>
      <c r="E72" s="238">
        <f t="shared" ref="E72:O72" si="15">E71*3/$B$35</f>
        <v>0</v>
      </c>
      <c r="F72" s="238">
        <f t="shared" si="15"/>
        <v>0</v>
      </c>
      <c r="G72" s="238">
        <f t="shared" si="15"/>
        <v>0</v>
      </c>
      <c r="H72" s="238">
        <f t="shared" si="15"/>
        <v>0</v>
      </c>
      <c r="I72" s="238">
        <f t="shared" si="15"/>
        <v>0</v>
      </c>
      <c r="J72" s="238">
        <f t="shared" si="15"/>
        <v>0</v>
      </c>
      <c r="K72" s="238">
        <f t="shared" si="15"/>
        <v>0.56999999999999995</v>
      </c>
      <c r="L72" s="238">
        <f t="shared" si="15"/>
        <v>1.0349999999999997</v>
      </c>
      <c r="M72" s="238">
        <f t="shared" si="15"/>
        <v>0.34500000000000003</v>
      </c>
      <c r="N72" s="238">
        <f t="shared" si="15"/>
        <v>0.52500000000000002</v>
      </c>
      <c r="O72" s="238">
        <f t="shared" si="15"/>
        <v>0</v>
      </c>
      <c r="P72" s="239">
        <f>SUM(D72:O72)</f>
        <v>2.4749999999999996</v>
      </c>
      <c r="Q72" s="240"/>
      <c r="R72" s="211"/>
      <c r="S72" s="212"/>
      <c r="T72" s="212"/>
      <c r="U72" s="212"/>
      <c r="V72" s="212"/>
      <c r="W72" s="212"/>
      <c r="X72" s="212"/>
      <c r="Y72" s="212"/>
      <c r="Z72" s="212"/>
      <c r="AA72" s="212"/>
      <c r="AB72" s="212"/>
      <c r="AC72" s="212"/>
      <c r="AD72" s="212"/>
      <c r="AE72" s="213"/>
    </row>
    <row r="73" spans="1:31" s="214" customFormat="1" ht="15" hidden="1" x14ac:dyDescent="0.25">
      <c r="A73" s="240"/>
      <c r="B73" s="241"/>
      <c r="C73" s="241"/>
      <c r="D73" s="241"/>
      <c r="E73" s="241"/>
      <c r="F73" s="241"/>
      <c r="G73" s="241"/>
      <c r="H73" s="241"/>
      <c r="I73" s="241"/>
      <c r="J73" s="241"/>
      <c r="K73" s="241"/>
      <c r="L73" s="241"/>
      <c r="M73" s="241"/>
      <c r="N73" s="241"/>
      <c r="O73" s="241"/>
      <c r="P73" s="241"/>
      <c r="Q73" s="240"/>
      <c r="R73" s="240"/>
      <c r="S73" s="212"/>
      <c r="T73" s="212"/>
      <c r="U73" s="212"/>
      <c r="V73" s="212"/>
      <c r="W73" s="212"/>
      <c r="X73" s="212"/>
      <c r="Y73" s="212"/>
      <c r="Z73" s="212"/>
      <c r="AA73" s="212"/>
      <c r="AB73" s="212"/>
      <c r="AC73" s="212"/>
      <c r="AD73" s="212"/>
      <c r="AE73" s="213"/>
    </row>
    <row r="74" spans="1:31" s="214" customFormat="1" ht="15" hidden="1" x14ac:dyDescent="0.25">
      <c r="A74" s="220"/>
      <c r="B74" s="242"/>
      <c r="C74" s="242"/>
      <c r="D74" s="235">
        <f>+D57+D59+D61+D63</f>
        <v>0</v>
      </c>
      <c r="E74" s="235">
        <f t="shared" ref="E74:O74" si="16">+E57+E59+E61+E63</f>
        <v>0</v>
      </c>
      <c r="F74" s="235">
        <f t="shared" si="16"/>
        <v>0</v>
      </c>
      <c r="G74" s="235">
        <f t="shared" si="16"/>
        <v>0</v>
      </c>
      <c r="H74" s="235">
        <f t="shared" si="16"/>
        <v>0</v>
      </c>
      <c r="I74" s="235">
        <f t="shared" si="16"/>
        <v>0</v>
      </c>
      <c r="J74" s="235">
        <f t="shared" si="16"/>
        <v>0</v>
      </c>
      <c r="K74" s="235">
        <f t="shared" si="16"/>
        <v>1.9E-2</v>
      </c>
      <c r="L74" s="235">
        <f t="shared" si="16"/>
        <v>3.4499999999999996E-2</v>
      </c>
      <c r="M74" s="235">
        <f t="shared" si="16"/>
        <v>1.15E-2</v>
      </c>
      <c r="N74" s="235">
        <f t="shared" si="16"/>
        <v>1.7500000000000002E-2</v>
      </c>
      <c r="O74" s="235">
        <f t="shared" si="16"/>
        <v>1.7500000000000002E-2</v>
      </c>
      <c r="P74" s="235">
        <f t="shared" ref="P74" si="17">+P57+P59+P61+P63</f>
        <v>0.1</v>
      </c>
      <c r="Q74" s="220"/>
      <c r="R74" s="220"/>
      <c r="S74" s="212"/>
      <c r="T74" s="212"/>
      <c r="U74" s="212"/>
      <c r="V74" s="212"/>
      <c r="W74" s="212"/>
      <c r="X74" s="212"/>
      <c r="Y74" s="212"/>
      <c r="Z74" s="212"/>
      <c r="AA74" s="212"/>
      <c r="AB74" s="212"/>
      <c r="AC74" s="212"/>
      <c r="AD74" s="212"/>
      <c r="AE74" s="213"/>
    </row>
    <row r="75" spans="1:31" s="214" customFormat="1" ht="15" hidden="1" x14ac:dyDescent="0.25">
      <c r="A75" s="220"/>
      <c r="B75" s="242"/>
      <c r="C75" s="237" t="s">
        <v>48</v>
      </c>
      <c r="D75" s="238">
        <f>D74*3/$B$35</f>
        <v>0</v>
      </c>
      <c r="E75" s="238">
        <f t="shared" ref="E75:O75" si="18">E74*3/$B$35</f>
        <v>0</v>
      </c>
      <c r="F75" s="238">
        <f t="shared" si="18"/>
        <v>0</v>
      </c>
      <c r="G75" s="238">
        <f t="shared" si="18"/>
        <v>0</v>
      </c>
      <c r="H75" s="238">
        <f t="shared" si="18"/>
        <v>0</v>
      </c>
      <c r="I75" s="238">
        <f t="shared" si="18"/>
        <v>0</v>
      </c>
      <c r="J75" s="238">
        <f t="shared" si="18"/>
        <v>0</v>
      </c>
      <c r="K75" s="238">
        <f t="shared" si="18"/>
        <v>0.56999999999999995</v>
      </c>
      <c r="L75" s="238">
        <f t="shared" si="18"/>
        <v>1.0349999999999997</v>
      </c>
      <c r="M75" s="238">
        <f t="shared" si="18"/>
        <v>0.34500000000000003</v>
      </c>
      <c r="N75" s="238">
        <f t="shared" si="18"/>
        <v>0.52500000000000002</v>
      </c>
      <c r="O75" s="238">
        <f t="shared" si="18"/>
        <v>0.52500000000000002</v>
      </c>
      <c r="P75" s="239">
        <f>SUM(D75:O75)</f>
        <v>2.9999999999999996</v>
      </c>
      <c r="Q75" s="220"/>
      <c r="R75" s="220"/>
      <c r="S75" s="212"/>
      <c r="T75" s="212"/>
      <c r="U75" s="212"/>
      <c r="V75" s="212"/>
      <c r="W75" s="212"/>
      <c r="X75" s="212"/>
      <c r="Y75" s="212"/>
      <c r="Z75" s="212"/>
      <c r="AA75" s="212"/>
      <c r="AB75" s="212"/>
      <c r="AC75" s="212"/>
      <c r="AD75" s="212"/>
      <c r="AE75" s="213"/>
    </row>
    <row r="76" spans="1:31" s="214" customFormat="1" ht="15" hidden="1" x14ac:dyDescent="0.25">
      <c r="A76" s="212"/>
      <c r="Q76" s="212"/>
      <c r="R76" s="212"/>
      <c r="S76" s="212"/>
      <c r="T76" s="212"/>
      <c r="U76" s="212"/>
      <c r="V76" s="212"/>
      <c r="W76" s="212"/>
      <c r="X76" s="212"/>
      <c r="Y76" s="212"/>
      <c r="Z76" s="212"/>
      <c r="AA76" s="212"/>
      <c r="AB76" s="212"/>
      <c r="AC76" s="212"/>
      <c r="AD76" s="212"/>
      <c r="AE76" s="213"/>
    </row>
    <row r="77" spans="1:31" s="214" customFormat="1" ht="15" hidden="1" x14ac:dyDescent="0.25">
      <c r="A77" s="212"/>
      <c r="Q77" s="212"/>
      <c r="R77" s="212"/>
      <c r="S77" s="212"/>
      <c r="T77" s="212"/>
      <c r="U77" s="212"/>
      <c r="V77" s="212"/>
      <c r="W77" s="212"/>
      <c r="X77" s="212"/>
      <c r="Y77" s="212"/>
      <c r="Z77" s="212"/>
      <c r="AA77" s="212"/>
      <c r="AB77" s="212"/>
      <c r="AC77" s="212"/>
      <c r="AD77" s="212"/>
      <c r="AE77" s="213"/>
    </row>
    <row r="78" spans="1:31" s="214" customFormat="1" ht="15" hidden="1" x14ac:dyDescent="0.25">
      <c r="A78" s="212"/>
      <c r="Q78" s="212"/>
      <c r="R78" s="212"/>
      <c r="S78" s="212"/>
      <c r="T78" s="212"/>
      <c r="U78" s="212"/>
      <c r="V78" s="212"/>
      <c r="W78" s="212"/>
      <c r="X78" s="212"/>
      <c r="Y78" s="212"/>
      <c r="Z78" s="212"/>
      <c r="AA78" s="212"/>
      <c r="AB78" s="212"/>
      <c r="AC78" s="212"/>
      <c r="AD78" s="212"/>
      <c r="AE78" s="213"/>
    </row>
    <row r="79" spans="1:31" hidden="1" x14ac:dyDescent="0.25">
      <c r="Q79" s="210"/>
      <c r="R79" s="210"/>
      <c r="S79" s="210"/>
      <c r="T79" s="210"/>
      <c r="U79" s="210"/>
      <c r="V79" s="210"/>
      <c r="W79" s="210"/>
      <c r="X79" s="210"/>
      <c r="Y79" s="210"/>
      <c r="Z79" s="210"/>
      <c r="AA79" s="210"/>
      <c r="AB79" s="210"/>
      <c r="AC79" s="210"/>
      <c r="AD79" s="210"/>
      <c r="AE79" s="210"/>
    </row>
    <row r="80" spans="1:31" x14ac:dyDescent="0.25">
      <c r="Q80" s="210"/>
      <c r="R80" s="210"/>
      <c r="S80" s="210"/>
      <c r="T80" s="210"/>
      <c r="U80" s="210"/>
      <c r="V80" s="210"/>
      <c r="W80" s="210"/>
      <c r="X80" s="210"/>
      <c r="Y80" s="210"/>
      <c r="Z80" s="210"/>
      <c r="AA80" s="210"/>
      <c r="AB80" s="210"/>
      <c r="AC80" s="210"/>
      <c r="AD80" s="210"/>
      <c r="AE80" s="210"/>
    </row>
    <row r="81" spans="12:31" x14ac:dyDescent="0.25">
      <c r="Q81" s="210"/>
      <c r="R81" s="210"/>
      <c r="S81" s="210"/>
      <c r="T81" s="210"/>
      <c r="U81" s="210"/>
      <c r="V81" s="210"/>
      <c r="W81" s="210"/>
      <c r="X81" s="210"/>
      <c r="Y81" s="210"/>
      <c r="Z81" s="210"/>
      <c r="AA81" s="210"/>
      <c r="AB81" s="210"/>
      <c r="AC81" s="210"/>
      <c r="AD81" s="210"/>
      <c r="AE81" s="210"/>
    </row>
    <row r="82" spans="12:31" x14ac:dyDescent="0.25">
      <c r="Q82" s="210"/>
      <c r="R82" s="210"/>
      <c r="S82" s="210"/>
      <c r="T82" s="210"/>
      <c r="U82" s="210"/>
      <c r="V82" s="210"/>
      <c r="W82" s="210"/>
      <c r="X82" s="210"/>
      <c r="Y82" s="210"/>
      <c r="Z82" s="210"/>
      <c r="AA82" s="210"/>
      <c r="AB82" s="210"/>
      <c r="AC82" s="210"/>
      <c r="AD82" s="210"/>
      <c r="AE82" s="210"/>
    </row>
    <row r="83" spans="12:31" x14ac:dyDescent="0.25">
      <c r="Q83" s="210"/>
      <c r="R83" s="210"/>
      <c r="S83" s="210"/>
      <c r="T83" s="210"/>
      <c r="U83" s="210"/>
      <c r="V83" s="210"/>
      <c r="W83" s="210"/>
      <c r="X83" s="210"/>
      <c r="Y83" s="210"/>
      <c r="Z83" s="210"/>
      <c r="AA83" s="210"/>
      <c r="AB83" s="210"/>
      <c r="AC83" s="210"/>
      <c r="AD83" s="210"/>
      <c r="AE83" s="210"/>
    </row>
    <row r="84" spans="12:31" x14ac:dyDescent="0.25">
      <c r="Q84" s="210"/>
      <c r="R84" s="210"/>
      <c r="S84" s="210"/>
      <c r="T84" s="210"/>
      <c r="U84" s="210"/>
      <c r="V84" s="210"/>
      <c r="W84" s="210"/>
      <c r="X84" s="210"/>
      <c r="Y84" s="210"/>
      <c r="Z84" s="210"/>
      <c r="AA84" s="210"/>
      <c r="AB84" s="210"/>
      <c r="AC84" s="210"/>
      <c r="AD84" s="210"/>
      <c r="AE84" s="210"/>
    </row>
    <row r="96" spans="12:31" x14ac:dyDescent="0.25">
      <c r="L96" s="125">
        <v>31</v>
      </c>
      <c r="M96" s="125">
        <v>7.5</v>
      </c>
      <c r="N96" s="125">
        <v>7.5</v>
      </c>
      <c r="O96" s="125">
        <v>17.5</v>
      </c>
      <c r="P96" s="125">
        <v>17.5</v>
      </c>
    </row>
  </sheetData>
  <mergeCells count="101">
    <mergeCell ref="A43:A44"/>
    <mergeCell ref="B43:B44"/>
    <mergeCell ref="Q43:X44"/>
    <mergeCell ref="Y43:AE44"/>
    <mergeCell ref="A45:A46"/>
    <mergeCell ref="B45:B46"/>
    <mergeCell ref="Q45:X46"/>
    <mergeCell ref="Y45:AE46"/>
    <mergeCell ref="A47:A48"/>
    <mergeCell ref="B47:B48"/>
    <mergeCell ref="Q47:X48"/>
    <mergeCell ref="Y47:AE48"/>
    <mergeCell ref="Q39:AE39"/>
    <mergeCell ref="Q40:X40"/>
    <mergeCell ref="Y40:AE40"/>
    <mergeCell ref="A35:A36"/>
    <mergeCell ref="B35:B36"/>
    <mergeCell ref="Q35:T36"/>
    <mergeCell ref="U35:X36"/>
    <mergeCell ref="Y35:AB36"/>
    <mergeCell ref="A41:A42"/>
    <mergeCell ref="B41:B42"/>
    <mergeCell ref="Q41:X42"/>
    <mergeCell ref="Y41:AE42"/>
    <mergeCell ref="B30:C30"/>
    <mergeCell ref="Q30:X30"/>
    <mergeCell ref="Y30:AE30"/>
    <mergeCell ref="A32:AE32"/>
    <mergeCell ref="A33:A34"/>
    <mergeCell ref="B33:B34"/>
    <mergeCell ref="C33:C34"/>
    <mergeCell ref="D33:P33"/>
    <mergeCell ref="Q33:AE33"/>
    <mergeCell ref="Q34:T34"/>
    <mergeCell ref="U34:X34"/>
    <mergeCell ref="Y34:AB34"/>
    <mergeCell ref="AC34:AE34"/>
    <mergeCell ref="C16:AB16"/>
    <mergeCell ref="A17:B17"/>
    <mergeCell ref="C17:AE17"/>
    <mergeCell ref="A19:AE19"/>
    <mergeCell ref="B20:O20"/>
    <mergeCell ref="P20:AE20"/>
    <mergeCell ref="A27:AE27"/>
    <mergeCell ref="A28:A29"/>
    <mergeCell ref="B28:C29"/>
    <mergeCell ref="D28:O28"/>
    <mergeCell ref="P28:P29"/>
    <mergeCell ref="Q28:X29"/>
    <mergeCell ref="Y28:AE29"/>
    <mergeCell ref="AA15:AE15"/>
    <mergeCell ref="O7:P7"/>
    <mergeCell ref="M8:N8"/>
    <mergeCell ref="O8:P8"/>
    <mergeCell ref="M9:N9"/>
    <mergeCell ref="O9:P9"/>
    <mergeCell ref="A15:B15"/>
    <mergeCell ref="C15:K15"/>
    <mergeCell ref="L15:Q15"/>
    <mergeCell ref="R15:X15"/>
    <mergeCell ref="Y15:Z15"/>
    <mergeCell ref="A1:A4"/>
    <mergeCell ref="B1:AA1"/>
    <mergeCell ref="AB1:AE1"/>
    <mergeCell ref="B2:AA2"/>
    <mergeCell ref="AB2:AE2"/>
    <mergeCell ref="B3:AA4"/>
    <mergeCell ref="AB3:AE3"/>
    <mergeCell ref="AB4:AE4"/>
    <mergeCell ref="A11:B13"/>
    <mergeCell ref="C11:AE13"/>
    <mergeCell ref="A7:B9"/>
    <mergeCell ref="C7:C9"/>
    <mergeCell ref="D7:H9"/>
    <mergeCell ref="I7:J9"/>
    <mergeCell ref="K7:L9"/>
    <mergeCell ref="M7:N7"/>
    <mergeCell ref="AG35:AJ36"/>
    <mergeCell ref="A65:A66"/>
    <mergeCell ref="B65:B66"/>
    <mergeCell ref="A67:A68"/>
    <mergeCell ref="B67:B68"/>
    <mergeCell ref="A69:A70"/>
    <mergeCell ref="B69:B70"/>
    <mergeCell ref="A59:A60"/>
    <mergeCell ref="B59:B60"/>
    <mergeCell ref="A61:A62"/>
    <mergeCell ref="B61:B62"/>
    <mergeCell ref="A63:A64"/>
    <mergeCell ref="B63:B64"/>
    <mergeCell ref="A55:A56"/>
    <mergeCell ref="B55:B56"/>
    <mergeCell ref="C55:P55"/>
    <mergeCell ref="A57:A58"/>
    <mergeCell ref="B57:B58"/>
    <mergeCell ref="AC35:AE36"/>
    <mergeCell ref="A38:AE38"/>
    <mergeCell ref="A39:A40"/>
    <mergeCell ref="B39:B40"/>
    <mergeCell ref="C39:C40"/>
    <mergeCell ref="D39:P39"/>
  </mergeCells>
  <dataValidations count="3">
    <dataValidation type="list" allowBlank="1" showInputMessage="1" showErrorMessage="1" sqref="C7" xr:uid="{39538307-F343-48D1-A5B2-EBFF1DC531F2}">
      <formula1>$B$21:$M$21</formula1>
    </dataValidation>
    <dataValidation type="textLength" operator="lessThanOrEqual" allowBlank="1" showInputMessage="1" showErrorMessage="1" errorTitle="Máximo 2.000 caracteres" error="Máximo 2.000 caracteres" promptTitle="2.000 caracteres" sqref="Q30:Q31" xr:uid="{68D3F2C7-9CA0-4B83-A491-133FD41EE2AD}">
      <formula1>2000</formula1>
    </dataValidation>
    <dataValidation type="textLength" operator="lessThanOrEqual" allowBlank="1" showInputMessage="1" showErrorMessage="1" errorTitle="Máximo 2.000 caracteres" error="Máximo 2.000 caracteres" sqref="AC35 Q35 Q47 Q45 Q41 Q43 U35 AG35" xr:uid="{14A3AC6F-AE52-4CC4-97AB-014BB2E52FAB}">
      <formula1>2000</formula1>
    </dataValidation>
  </dataValidations>
  <hyperlinks>
    <hyperlink ref="Y41" r:id="rId1" display="Agosto _x000a_https://secretariadistritald.sharepoint.com/:f:/s/BogotCaminaSegura/ErEYkwm3ZTJHgHmDcbYV18ABhV2_Xm_hLA5SR1cNmQ7m6g?e=chq82o_x000a__x000a_Septiembre _x000a_https://secretariadistritald.sharepoint.com/:x:/s/BogotCaminaSegura/EaDU3BJQhNpJv49HYDBPXrAB32MnXH7VttTZG2jupg" xr:uid="{0D1EF0C7-7AF5-43DE-8494-090110B7DEF1}"/>
    <hyperlink ref="Y43" r:id="rId2" display="Agosto _x000a_https://secretariadistritald.sharepoint.com/:f:/s/BogotCaminaSegura/EjqAGpGrq4FOjG9Opvdc9yoBUeNBDQZiQUOhsXHdCXtTeQ?e=Sg7VNj_x000a__x000a_Septiembre._x000a_https://secretariadistritald.sharepoint.com/:b:/s/BogotCaminaSegura/EcOOl3MsjxdHiwJpPbmv7F0B8cCGq1_P9VbGx8RFKw" xr:uid="{DFF4A4E8-D2B1-415A-9BB4-B00C26A3E0F1}"/>
    <hyperlink ref="Y45" r:id="rId3" display="Actividad 3" xr:uid="{9DCC2FAD-27E1-4ECF-94F3-44910ED9E2CA}"/>
  </hyperlinks>
  <printOptions horizontalCentered="1"/>
  <pageMargins left="0.39370078740157483" right="0.39370078740157483" top="0.39370078740157483" bottom="0.39370078740157483" header="0" footer="0"/>
  <pageSetup paperSize="9" scale="21" orientation="landscape" r:id="rId4"/>
  <drawing r:id="rId5"/>
  <legacyDrawing r:id="rId6"/>
  <extLst>
    <ext xmlns:x14="http://schemas.microsoft.com/office/spreadsheetml/2009/9/main" uri="{CCE6A557-97BC-4b89-ADB6-D9C93CAAB3DF}">
      <x14:dataValidations xmlns:xm="http://schemas.microsoft.com/office/excel/2006/main" count="4">
        <x14:dataValidation type="list" allowBlank="1" showInputMessage="1" showErrorMessage="1" xr:uid="{ED4D352F-9517-4FB7-9C80-630FAA8A0349}">
          <x14:formula1>
            <xm:f>listas!$C$2:$C$20</xm:f>
          </x14:formula1>
          <xm:sqref>AA15:AE15</xm:sqref>
        </x14:dataValidation>
        <x14:dataValidation type="list" allowBlank="1" showInputMessage="1" showErrorMessage="1" xr:uid="{7EC779E5-8252-4901-A58F-0DD7D9E4F33E}">
          <x14:formula1>
            <xm:f>listas!$B$2:$B$8</xm:f>
          </x14:formula1>
          <xm:sqref>R15:X15</xm:sqref>
        </x14:dataValidation>
        <x14:dataValidation type="list" allowBlank="1" showInputMessage="1" showErrorMessage="1" xr:uid="{EF9DE93E-B784-4311-8E85-55607BEF5690}">
          <x14:formula1>
            <xm:f>listas!$A$2:$A$6</xm:f>
          </x14:formula1>
          <xm:sqref>C15:K15</xm:sqref>
        </x14:dataValidation>
        <x14:dataValidation type="list" allowBlank="1" showInputMessage="1" showErrorMessage="1" xr:uid="{7F67B074-10FD-4807-A2D6-C0F3B30859A4}">
          <x14:formula1>
            <xm:f>listas!$D$2:$D$15</xm:f>
          </x14:formula1>
          <xm:sqref>C11:AE13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E674EC"/>
    <pageSetUpPr fitToPage="1"/>
  </sheetPr>
  <dimension ref="A1:AO84"/>
  <sheetViews>
    <sheetView showGridLines="0" view="pageBreakPreview" topLeftCell="H2" zoomScale="85" zoomScaleNormal="60" zoomScaleSheetLayoutView="85" workbookViewId="0">
      <selection activeCell="O8" sqref="O8:P8"/>
    </sheetView>
  </sheetViews>
  <sheetFormatPr baseColWidth="10" defaultColWidth="10.85546875" defaultRowHeight="14.25" x14ac:dyDescent="0.25"/>
  <cols>
    <col min="1" max="1" width="47.140625" style="125" customWidth="1"/>
    <col min="2" max="2" width="18.28515625" style="183" customWidth="1"/>
    <col min="3" max="14" width="20.7109375" style="125" customWidth="1"/>
    <col min="15" max="15" width="20.5703125" style="125" customWidth="1"/>
    <col min="16" max="16" width="32.42578125" style="125" customWidth="1"/>
    <col min="17" max="27" width="18.140625" style="125" customWidth="1"/>
    <col min="28" max="28" width="22.7109375" style="125" customWidth="1"/>
    <col min="29" max="29" width="19" style="125" customWidth="1"/>
    <col min="30" max="30" width="19.42578125" style="125" customWidth="1"/>
    <col min="31" max="31" width="20.5703125" style="125" customWidth="1"/>
    <col min="32" max="32" width="22.85546875" style="125" customWidth="1"/>
    <col min="33" max="33" width="18.42578125" style="125" bestFit="1" customWidth="1"/>
    <col min="34" max="34" width="8.42578125" style="125" customWidth="1"/>
    <col min="35" max="35" width="18.42578125" style="125" bestFit="1" customWidth="1"/>
    <col min="36" max="36" width="5.7109375" style="125" customWidth="1"/>
    <col min="37" max="37" width="18.42578125" style="125" bestFit="1" customWidth="1"/>
    <col min="38" max="38" width="4.7109375" style="125" customWidth="1"/>
    <col min="39" max="39" width="23" style="125" bestFit="1" customWidth="1"/>
    <col min="40" max="40" width="10.85546875" style="125"/>
    <col min="41" max="41" width="18.42578125" style="125" bestFit="1" customWidth="1"/>
    <col min="42" max="42" width="16.140625" style="125" customWidth="1"/>
    <col min="43" max="16384" width="10.85546875" style="125"/>
  </cols>
  <sheetData>
    <row r="1" spans="1:31" ht="32.25" customHeight="1" thickBot="1" x14ac:dyDescent="0.3">
      <c r="A1" s="598"/>
      <c r="B1" s="601" t="s">
        <v>121</v>
      </c>
      <c r="C1" s="602"/>
      <c r="D1" s="602"/>
      <c r="E1" s="602"/>
      <c r="F1" s="602"/>
      <c r="G1" s="602"/>
      <c r="H1" s="602"/>
      <c r="I1" s="602"/>
      <c r="J1" s="602"/>
      <c r="K1" s="602"/>
      <c r="L1" s="602"/>
      <c r="M1" s="602"/>
      <c r="N1" s="602"/>
      <c r="O1" s="602"/>
      <c r="P1" s="602"/>
      <c r="Q1" s="602"/>
      <c r="R1" s="602"/>
      <c r="S1" s="602"/>
      <c r="T1" s="602"/>
      <c r="U1" s="602"/>
      <c r="V1" s="602"/>
      <c r="W1" s="602"/>
      <c r="X1" s="602"/>
      <c r="Y1" s="602"/>
      <c r="Z1" s="602"/>
      <c r="AA1" s="603"/>
      <c r="AB1" s="771" t="s">
        <v>122</v>
      </c>
      <c r="AC1" s="772"/>
      <c r="AD1" s="772"/>
      <c r="AE1" s="773"/>
    </row>
    <row r="2" spans="1:31" ht="30.75" customHeight="1" thickBot="1" x14ac:dyDescent="0.3">
      <c r="A2" s="599"/>
      <c r="B2" s="601" t="s">
        <v>123</v>
      </c>
      <c r="C2" s="602"/>
      <c r="D2" s="602"/>
      <c r="E2" s="602"/>
      <c r="F2" s="602"/>
      <c r="G2" s="602"/>
      <c r="H2" s="602"/>
      <c r="I2" s="602"/>
      <c r="J2" s="602"/>
      <c r="K2" s="602"/>
      <c r="L2" s="602"/>
      <c r="M2" s="602"/>
      <c r="N2" s="602"/>
      <c r="O2" s="602"/>
      <c r="P2" s="602"/>
      <c r="Q2" s="602"/>
      <c r="R2" s="602"/>
      <c r="S2" s="602"/>
      <c r="T2" s="602"/>
      <c r="U2" s="602"/>
      <c r="V2" s="602"/>
      <c r="W2" s="602"/>
      <c r="X2" s="602"/>
      <c r="Y2" s="602"/>
      <c r="Z2" s="602"/>
      <c r="AA2" s="603"/>
      <c r="AB2" s="771" t="s">
        <v>124</v>
      </c>
      <c r="AC2" s="772"/>
      <c r="AD2" s="772"/>
      <c r="AE2" s="773"/>
    </row>
    <row r="3" spans="1:31" ht="24" customHeight="1" thickBot="1" x14ac:dyDescent="0.3">
      <c r="A3" s="599"/>
      <c r="B3" s="607" t="s">
        <v>125</v>
      </c>
      <c r="C3" s="608"/>
      <c r="D3" s="608"/>
      <c r="E3" s="608"/>
      <c r="F3" s="608"/>
      <c r="G3" s="608"/>
      <c r="H3" s="608"/>
      <c r="I3" s="608"/>
      <c r="J3" s="608"/>
      <c r="K3" s="608"/>
      <c r="L3" s="608"/>
      <c r="M3" s="608"/>
      <c r="N3" s="608"/>
      <c r="O3" s="608"/>
      <c r="P3" s="608"/>
      <c r="Q3" s="608"/>
      <c r="R3" s="608"/>
      <c r="S3" s="608"/>
      <c r="T3" s="608"/>
      <c r="U3" s="608"/>
      <c r="V3" s="608"/>
      <c r="W3" s="608"/>
      <c r="X3" s="608"/>
      <c r="Y3" s="608"/>
      <c r="Z3" s="608"/>
      <c r="AA3" s="609"/>
      <c r="AB3" s="771" t="s">
        <v>126</v>
      </c>
      <c r="AC3" s="772"/>
      <c r="AD3" s="772"/>
      <c r="AE3" s="773"/>
    </row>
    <row r="4" spans="1:31" ht="21.75" customHeight="1" thickBot="1" x14ac:dyDescent="0.3">
      <c r="A4" s="600"/>
      <c r="B4" s="610"/>
      <c r="C4" s="611"/>
      <c r="D4" s="611"/>
      <c r="E4" s="611"/>
      <c r="F4" s="611"/>
      <c r="G4" s="611"/>
      <c r="H4" s="611"/>
      <c r="I4" s="611"/>
      <c r="J4" s="611"/>
      <c r="K4" s="611"/>
      <c r="L4" s="611"/>
      <c r="M4" s="611"/>
      <c r="N4" s="611"/>
      <c r="O4" s="611"/>
      <c r="P4" s="611"/>
      <c r="Q4" s="611"/>
      <c r="R4" s="611"/>
      <c r="S4" s="611"/>
      <c r="T4" s="611"/>
      <c r="U4" s="611"/>
      <c r="V4" s="611"/>
      <c r="W4" s="611"/>
      <c r="X4" s="611"/>
      <c r="Y4" s="611"/>
      <c r="Z4" s="611"/>
      <c r="AA4" s="612"/>
      <c r="AB4" s="771" t="s">
        <v>127</v>
      </c>
      <c r="AC4" s="772"/>
      <c r="AD4" s="772"/>
      <c r="AE4" s="773"/>
    </row>
    <row r="5" spans="1:31" ht="9" customHeight="1" thickBot="1" x14ac:dyDescent="0.3">
      <c r="A5" s="17"/>
      <c r="B5" s="168"/>
      <c r="C5" s="19"/>
      <c r="D5" s="20"/>
      <c r="E5" s="20"/>
      <c r="F5" s="20"/>
      <c r="G5" s="20"/>
      <c r="H5" s="20"/>
      <c r="I5" s="20"/>
      <c r="J5" s="20"/>
      <c r="K5" s="20"/>
      <c r="L5" s="20"/>
      <c r="M5" s="20"/>
      <c r="N5" s="20"/>
      <c r="O5" s="20"/>
      <c r="P5" s="20"/>
      <c r="Q5" s="20"/>
      <c r="R5" s="20"/>
      <c r="S5" s="20"/>
      <c r="T5" s="20"/>
      <c r="U5" s="20"/>
      <c r="V5" s="20"/>
      <c r="W5" s="20"/>
      <c r="X5" s="20"/>
      <c r="Y5" s="20"/>
      <c r="Z5" s="20"/>
      <c r="AA5" s="20"/>
      <c r="AB5" s="20"/>
      <c r="AD5" s="21"/>
      <c r="AE5" s="22"/>
    </row>
    <row r="6" spans="1:31" ht="9" customHeight="1" thickBot="1" x14ac:dyDescent="0.3">
      <c r="A6" s="23"/>
      <c r="B6" s="34"/>
      <c r="C6" s="20"/>
      <c r="D6" s="20"/>
      <c r="E6" s="20"/>
      <c r="F6" s="20"/>
      <c r="G6" s="20"/>
      <c r="H6" s="20"/>
      <c r="I6" s="20"/>
      <c r="J6" s="20"/>
      <c r="K6" s="20"/>
      <c r="L6" s="20"/>
      <c r="M6" s="20"/>
      <c r="N6" s="20"/>
      <c r="O6" s="20"/>
      <c r="P6" s="20"/>
      <c r="Q6" s="20"/>
      <c r="R6" s="20"/>
      <c r="S6" s="20"/>
      <c r="T6" s="20"/>
      <c r="U6" s="20"/>
      <c r="V6" s="20"/>
      <c r="W6" s="20"/>
      <c r="X6" s="20"/>
      <c r="Y6" s="20"/>
      <c r="Z6" s="20"/>
      <c r="AA6" s="20"/>
      <c r="AB6" s="20"/>
      <c r="AD6" s="21"/>
      <c r="AE6" s="22"/>
    </row>
    <row r="7" spans="1:31" ht="13.9" customHeight="1" x14ac:dyDescent="0.25">
      <c r="A7" s="613" t="s">
        <v>4</v>
      </c>
      <c r="B7" s="614"/>
      <c r="C7" s="625" t="s">
        <v>128</v>
      </c>
      <c r="D7" s="628" t="s">
        <v>6</v>
      </c>
      <c r="E7" s="629"/>
      <c r="F7" s="629"/>
      <c r="G7" s="629"/>
      <c r="H7" s="630"/>
      <c r="I7" s="637">
        <v>45639</v>
      </c>
      <c r="J7" s="638"/>
      <c r="K7" s="628" t="s">
        <v>8</v>
      </c>
      <c r="L7" s="630"/>
      <c r="M7" s="643" t="s">
        <v>129</v>
      </c>
      <c r="N7" s="644"/>
      <c r="O7" s="904"/>
      <c r="P7" s="905"/>
      <c r="Q7" s="20"/>
      <c r="R7" s="20"/>
      <c r="S7" s="20"/>
      <c r="T7" s="20"/>
      <c r="U7" s="20"/>
      <c r="V7" s="20"/>
      <c r="W7" s="20"/>
      <c r="X7" s="20"/>
      <c r="Y7" s="20"/>
      <c r="Z7" s="20"/>
      <c r="AA7" s="20"/>
      <c r="AB7" s="20"/>
      <c r="AD7" s="21"/>
      <c r="AE7" s="22"/>
    </row>
    <row r="8" spans="1:31" ht="13.9" customHeight="1" x14ac:dyDescent="0.25">
      <c r="A8" s="615"/>
      <c r="B8" s="616"/>
      <c r="C8" s="626"/>
      <c r="D8" s="631"/>
      <c r="E8" s="632"/>
      <c r="F8" s="632"/>
      <c r="G8" s="632"/>
      <c r="H8" s="633"/>
      <c r="I8" s="639"/>
      <c r="J8" s="640"/>
      <c r="K8" s="631"/>
      <c r="L8" s="633"/>
      <c r="M8" s="650" t="s">
        <v>130</v>
      </c>
      <c r="N8" s="651"/>
      <c r="O8" s="906" t="s">
        <v>131</v>
      </c>
      <c r="P8" s="907"/>
      <c r="Q8" s="20"/>
      <c r="R8" s="20"/>
      <c r="S8" s="20"/>
      <c r="T8" s="20"/>
      <c r="U8" s="20"/>
      <c r="V8" s="20"/>
      <c r="W8" s="20"/>
      <c r="X8" s="20"/>
      <c r="Y8" s="20"/>
      <c r="Z8" s="20"/>
      <c r="AA8" s="20"/>
      <c r="AB8" s="20"/>
      <c r="AD8" s="21"/>
      <c r="AE8" s="22"/>
    </row>
    <row r="9" spans="1:31" ht="14.45" customHeight="1" thickBot="1" x14ac:dyDescent="0.3">
      <c r="A9" s="617"/>
      <c r="B9" s="618"/>
      <c r="C9" s="627"/>
      <c r="D9" s="634"/>
      <c r="E9" s="635"/>
      <c r="F9" s="635"/>
      <c r="G9" s="635"/>
      <c r="H9" s="636"/>
      <c r="I9" s="641"/>
      <c r="J9" s="642"/>
      <c r="K9" s="634"/>
      <c r="L9" s="636"/>
      <c r="M9" s="652" t="s">
        <v>132</v>
      </c>
      <c r="N9" s="653"/>
      <c r="O9" s="654" t="s">
        <v>131</v>
      </c>
      <c r="P9" s="655"/>
      <c r="Q9" s="20"/>
      <c r="R9" s="20"/>
      <c r="S9" s="20"/>
      <c r="T9" s="20"/>
      <c r="U9" s="20"/>
      <c r="V9" s="20"/>
      <c r="W9" s="20"/>
      <c r="X9" s="20"/>
      <c r="Y9" s="20"/>
      <c r="Z9" s="20"/>
      <c r="AA9" s="20"/>
      <c r="AB9" s="20"/>
      <c r="AD9" s="21"/>
      <c r="AE9" s="22"/>
    </row>
    <row r="10" spans="1:31" ht="15" customHeight="1" thickBot="1" x14ac:dyDescent="0.3">
      <c r="A10" s="24"/>
      <c r="B10" s="26"/>
      <c r="C10" s="25"/>
      <c r="D10" s="26"/>
      <c r="E10" s="26"/>
      <c r="F10" s="26"/>
      <c r="G10" s="26"/>
      <c r="H10" s="26"/>
      <c r="I10" s="181"/>
      <c r="J10" s="181"/>
      <c r="K10" s="26"/>
      <c r="L10" s="26"/>
      <c r="M10" s="182"/>
      <c r="N10" s="182"/>
      <c r="O10" s="183"/>
      <c r="P10" s="183"/>
      <c r="Q10" s="25"/>
      <c r="R10" s="25"/>
      <c r="S10" s="25"/>
      <c r="T10" s="25"/>
      <c r="U10" s="25"/>
      <c r="V10" s="25"/>
      <c r="W10" s="25"/>
      <c r="X10" s="25"/>
      <c r="Y10" s="25"/>
      <c r="Z10" s="25"/>
      <c r="AA10" s="25"/>
      <c r="AB10" s="25"/>
      <c r="AD10" s="28"/>
      <c r="AE10" s="29"/>
    </row>
    <row r="11" spans="1:31" ht="15" customHeight="1" x14ac:dyDescent="0.25">
      <c r="A11" s="613" t="s">
        <v>10</v>
      </c>
      <c r="B11" s="614"/>
      <c r="C11" s="586" t="s">
        <v>133</v>
      </c>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8"/>
    </row>
    <row r="12" spans="1:31" ht="15" customHeight="1" x14ac:dyDescent="0.25">
      <c r="A12" s="615"/>
      <c r="B12" s="616"/>
      <c r="C12" s="619"/>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1"/>
    </row>
    <row r="13" spans="1:31" ht="15" customHeight="1" thickBot="1" x14ac:dyDescent="0.3">
      <c r="A13" s="617"/>
      <c r="B13" s="618"/>
      <c r="C13" s="622"/>
      <c r="D13" s="623"/>
      <c r="E13" s="623"/>
      <c r="F13" s="623"/>
      <c r="G13" s="623"/>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4"/>
    </row>
    <row r="14" spans="1:31" ht="9" customHeight="1" thickBot="1" x14ac:dyDescent="0.3">
      <c r="A14" s="31"/>
      <c r="B14" s="32"/>
      <c r="C14" s="33"/>
      <c r="D14" s="33"/>
      <c r="E14" s="33"/>
      <c r="F14" s="33"/>
      <c r="G14" s="33"/>
      <c r="H14" s="33"/>
      <c r="I14" s="33"/>
      <c r="J14" s="33"/>
      <c r="K14" s="33"/>
      <c r="L14" s="33"/>
      <c r="M14" s="34"/>
      <c r="N14" s="34"/>
      <c r="O14" s="34"/>
      <c r="P14" s="34"/>
      <c r="Q14" s="34"/>
      <c r="R14" s="35"/>
      <c r="S14" s="35"/>
      <c r="T14" s="35"/>
      <c r="U14" s="35"/>
      <c r="V14" s="35"/>
      <c r="W14" s="35"/>
      <c r="X14" s="35"/>
      <c r="Y14" s="26"/>
      <c r="Z14" s="26"/>
      <c r="AA14" s="26"/>
      <c r="AB14" s="26"/>
      <c r="AD14" s="26"/>
      <c r="AE14" s="30"/>
    </row>
    <row r="15" spans="1:31" ht="39" customHeight="1" thickBot="1" x14ac:dyDescent="0.3">
      <c r="A15" s="656" t="s">
        <v>12</v>
      </c>
      <c r="B15" s="657"/>
      <c r="C15" s="658" t="s">
        <v>134</v>
      </c>
      <c r="D15" s="659"/>
      <c r="E15" s="659"/>
      <c r="F15" s="659"/>
      <c r="G15" s="659"/>
      <c r="H15" s="659"/>
      <c r="I15" s="659"/>
      <c r="J15" s="659"/>
      <c r="K15" s="660"/>
      <c r="L15" s="661" t="s">
        <v>14</v>
      </c>
      <c r="M15" s="662"/>
      <c r="N15" s="662"/>
      <c r="O15" s="662"/>
      <c r="P15" s="662"/>
      <c r="Q15" s="663"/>
      <c r="R15" s="664" t="s">
        <v>135</v>
      </c>
      <c r="S15" s="665"/>
      <c r="T15" s="665"/>
      <c r="U15" s="665"/>
      <c r="V15" s="665"/>
      <c r="W15" s="665"/>
      <c r="X15" s="666"/>
      <c r="Y15" s="661" t="s">
        <v>15</v>
      </c>
      <c r="Z15" s="663"/>
      <c r="AA15" s="645" t="s">
        <v>136</v>
      </c>
      <c r="AB15" s="646"/>
      <c r="AC15" s="646"/>
      <c r="AD15" s="646"/>
      <c r="AE15" s="647"/>
    </row>
    <row r="16" spans="1:31" ht="9" customHeight="1" thickBot="1" x14ac:dyDescent="0.3">
      <c r="A16" s="23"/>
      <c r="B16" s="34"/>
      <c r="C16" s="667"/>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D16" s="21"/>
      <c r="AE16" s="22"/>
    </row>
    <row r="17" spans="1:32" s="36" customFormat="1" ht="37.5" customHeight="1" thickBot="1" x14ac:dyDescent="0.3">
      <c r="A17" s="656" t="s">
        <v>17</v>
      </c>
      <c r="B17" s="657"/>
      <c r="C17" s="645" t="s">
        <v>198</v>
      </c>
      <c r="D17" s="646"/>
      <c r="E17" s="646"/>
      <c r="F17" s="646"/>
      <c r="G17" s="646"/>
      <c r="H17" s="646"/>
      <c r="I17" s="646"/>
      <c r="J17" s="646"/>
      <c r="K17" s="646"/>
      <c r="L17" s="646"/>
      <c r="M17" s="646"/>
      <c r="N17" s="646"/>
      <c r="O17" s="646"/>
      <c r="P17" s="646"/>
      <c r="Q17" s="646"/>
      <c r="R17" s="646"/>
      <c r="S17" s="646"/>
      <c r="T17" s="646"/>
      <c r="U17" s="646"/>
      <c r="V17" s="646"/>
      <c r="W17" s="646"/>
      <c r="X17" s="646"/>
      <c r="Y17" s="646"/>
      <c r="Z17" s="646"/>
      <c r="AA17" s="646"/>
      <c r="AB17" s="646"/>
      <c r="AC17" s="646"/>
      <c r="AD17" s="646"/>
      <c r="AE17" s="647"/>
    </row>
    <row r="18" spans="1:32" ht="16.5" customHeight="1" thickBot="1" x14ac:dyDescent="0.3">
      <c r="A18" s="184"/>
      <c r="B18" s="246"/>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D18" s="185"/>
      <c r="AE18" s="186"/>
    </row>
    <row r="19" spans="1:32" ht="32.1" customHeight="1" thickBot="1" x14ac:dyDescent="0.3">
      <c r="A19" s="661" t="s">
        <v>138</v>
      </c>
      <c r="B19" s="662"/>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3"/>
      <c r="AF19" s="187"/>
    </row>
    <row r="20" spans="1:32" ht="32.1" customHeight="1" thickBot="1" x14ac:dyDescent="0.3">
      <c r="A20" s="37" t="s">
        <v>19</v>
      </c>
      <c r="B20" s="634" t="s">
        <v>139</v>
      </c>
      <c r="C20" s="635"/>
      <c r="D20" s="635"/>
      <c r="E20" s="635"/>
      <c r="F20" s="635"/>
      <c r="G20" s="635"/>
      <c r="H20" s="635"/>
      <c r="I20" s="635"/>
      <c r="J20" s="635"/>
      <c r="K20" s="635"/>
      <c r="L20" s="635"/>
      <c r="M20" s="635"/>
      <c r="N20" s="635"/>
      <c r="O20" s="636"/>
      <c r="P20" s="661" t="s">
        <v>140</v>
      </c>
      <c r="Q20" s="662"/>
      <c r="R20" s="662"/>
      <c r="S20" s="662"/>
      <c r="T20" s="662"/>
      <c r="U20" s="662"/>
      <c r="V20" s="662"/>
      <c r="W20" s="662"/>
      <c r="X20" s="662"/>
      <c r="Y20" s="662"/>
      <c r="Z20" s="662"/>
      <c r="AA20" s="662"/>
      <c r="AB20" s="662"/>
      <c r="AC20" s="662"/>
      <c r="AD20" s="662"/>
      <c r="AE20" s="663"/>
      <c r="AF20" s="187"/>
    </row>
    <row r="21" spans="1:32" ht="32.1" customHeight="1" thickBot="1" x14ac:dyDescent="0.3">
      <c r="A21" s="24"/>
      <c r="B21" s="38" t="s">
        <v>141</v>
      </c>
      <c r="C21" s="39" t="s">
        <v>142</v>
      </c>
      <c r="D21" s="39" t="s">
        <v>143</v>
      </c>
      <c r="E21" s="39" t="s">
        <v>144</v>
      </c>
      <c r="F21" s="39" t="s">
        <v>145</v>
      </c>
      <c r="G21" s="39" t="s">
        <v>146</v>
      </c>
      <c r="H21" s="39" t="s">
        <v>147</v>
      </c>
      <c r="I21" s="39" t="s">
        <v>148</v>
      </c>
      <c r="J21" s="39" t="s">
        <v>149</v>
      </c>
      <c r="K21" s="39" t="s">
        <v>150</v>
      </c>
      <c r="L21" s="39" t="s">
        <v>128</v>
      </c>
      <c r="M21" s="39" t="s">
        <v>151</v>
      </c>
      <c r="N21" s="39" t="s">
        <v>102</v>
      </c>
      <c r="O21" s="40" t="s">
        <v>100</v>
      </c>
      <c r="P21" s="41"/>
      <c r="Q21" s="37" t="s">
        <v>141</v>
      </c>
      <c r="R21" s="42" t="s">
        <v>142</v>
      </c>
      <c r="S21" s="42" t="s">
        <v>143</v>
      </c>
      <c r="T21" s="42" t="s">
        <v>144</v>
      </c>
      <c r="U21" s="42" t="s">
        <v>145</v>
      </c>
      <c r="V21" s="42" t="s">
        <v>146</v>
      </c>
      <c r="W21" s="42" t="s">
        <v>147</v>
      </c>
      <c r="X21" s="42" t="s">
        <v>148</v>
      </c>
      <c r="Y21" s="42" t="s">
        <v>149</v>
      </c>
      <c r="Z21" s="42" t="s">
        <v>150</v>
      </c>
      <c r="AA21" s="42" t="s">
        <v>128</v>
      </c>
      <c r="AB21" s="42" t="s">
        <v>151</v>
      </c>
      <c r="AC21" s="42" t="s">
        <v>102</v>
      </c>
      <c r="AD21" s="43" t="s">
        <v>152</v>
      </c>
      <c r="AE21" s="43" t="s">
        <v>153</v>
      </c>
      <c r="AF21" s="188"/>
    </row>
    <row r="22" spans="1:32" ht="32.1" customHeight="1" x14ac:dyDescent="0.25">
      <c r="A22" s="44" t="s">
        <v>31</v>
      </c>
      <c r="B22" s="247"/>
      <c r="C22" s="190"/>
      <c r="D22" s="190"/>
      <c r="E22" s="190"/>
      <c r="F22" s="190"/>
      <c r="G22" s="190"/>
      <c r="H22" s="190"/>
      <c r="I22" s="190"/>
      <c r="J22" s="190"/>
      <c r="K22" s="190"/>
      <c r="L22" s="190"/>
      <c r="M22" s="190"/>
      <c r="N22" s="190">
        <f>SUM(B22:M22)</f>
        <v>0</v>
      </c>
      <c r="O22" s="191"/>
      <c r="P22" s="44" t="s">
        <v>27</v>
      </c>
      <c r="Q22" s="192">
        <v>0</v>
      </c>
      <c r="R22" s="193">
        <v>0</v>
      </c>
      <c r="S22" s="193">
        <v>0</v>
      </c>
      <c r="T22" s="193">
        <v>0</v>
      </c>
      <c r="U22" s="193">
        <v>0</v>
      </c>
      <c r="V22" s="193">
        <v>0</v>
      </c>
      <c r="W22" s="193">
        <v>0</v>
      </c>
      <c r="X22" s="194">
        <v>354757112</v>
      </c>
      <c r="Y22" s="194">
        <v>0</v>
      </c>
      <c r="Z22" s="194"/>
      <c r="AA22" s="194">
        <v>0</v>
      </c>
      <c r="AB22" s="194">
        <v>52164686</v>
      </c>
      <c r="AC22" s="415">
        <v>406921798</v>
      </c>
      <c r="AD22" s="272"/>
      <c r="AE22" s="195"/>
      <c r="AF22" s="188"/>
    </row>
    <row r="23" spans="1:32" ht="32.1" customHeight="1" x14ac:dyDescent="0.25">
      <c r="A23" s="45" t="s">
        <v>21</v>
      </c>
      <c r="B23" s="248"/>
      <c r="C23" s="197"/>
      <c r="D23" s="197"/>
      <c r="E23" s="197"/>
      <c r="F23" s="197"/>
      <c r="G23" s="197"/>
      <c r="H23" s="197"/>
      <c r="I23" s="197"/>
      <c r="J23" s="197"/>
      <c r="K23" s="197"/>
      <c r="L23" s="197"/>
      <c r="M23" s="197"/>
      <c r="N23" s="197">
        <f>SUM(B23:M23)</f>
        <v>0</v>
      </c>
      <c r="O23" s="198" t="str">
        <f>IFERROR(N23/(SUMIF(B23:M23,"&gt;0",B22:M22))," ")</f>
        <v xml:space="preserve"> </v>
      </c>
      <c r="P23" s="45" t="s">
        <v>29</v>
      </c>
      <c r="Q23" s="196">
        <v>0</v>
      </c>
      <c r="R23" s="197">
        <v>0</v>
      </c>
      <c r="S23" s="197">
        <v>0</v>
      </c>
      <c r="T23" s="197">
        <v>0</v>
      </c>
      <c r="U23" s="197">
        <v>0</v>
      </c>
      <c r="V23" s="197">
        <v>0</v>
      </c>
      <c r="W23" s="197">
        <v>0</v>
      </c>
      <c r="X23" s="199">
        <v>334634016</v>
      </c>
      <c r="Y23" s="199">
        <v>0</v>
      </c>
      <c r="Z23" s="199">
        <f>-11127990+28500000</f>
        <v>17372010</v>
      </c>
      <c r="AA23" s="199">
        <f>AC23-X23-Z23</f>
        <v>25681941</v>
      </c>
      <c r="AB23" s="199">
        <v>0</v>
      </c>
      <c r="AC23" s="199">
        <v>377687967</v>
      </c>
      <c r="AD23" s="273">
        <f>AC23/SUM(Q22:AB22)</f>
        <v>0.92815860161907571</v>
      </c>
      <c r="AE23" s="200">
        <f>AC23/AC22</f>
        <v>0.92815860161907571</v>
      </c>
      <c r="AF23" s="188"/>
    </row>
    <row r="24" spans="1:32" ht="32.1" customHeight="1" x14ac:dyDescent="0.25">
      <c r="A24" s="45" t="s">
        <v>23</v>
      </c>
      <c r="B24" s="248">
        <f t="shared" ref="B24:M24" si="0">+B22-B23</f>
        <v>0</v>
      </c>
      <c r="C24" s="197">
        <f t="shared" si="0"/>
        <v>0</v>
      </c>
      <c r="D24" s="197">
        <f t="shared" si="0"/>
        <v>0</v>
      </c>
      <c r="E24" s="197">
        <f t="shared" si="0"/>
        <v>0</v>
      </c>
      <c r="F24" s="197">
        <f t="shared" si="0"/>
        <v>0</v>
      </c>
      <c r="G24" s="197">
        <f t="shared" si="0"/>
        <v>0</v>
      </c>
      <c r="H24" s="197">
        <f t="shared" si="0"/>
        <v>0</v>
      </c>
      <c r="I24" s="197">
        <f t="shared" si="0"/>
        <v>0</v>
      </c>
      <c r="J24" s="197">
        <f t="shared" si="0"/>
        <v>0</v>
      </c>
      <c r="K24" s="197">
        <f t="shared" si="0"/>
        <v>0</v>
      </c>
      <c r="L24" s="197">
        <f t="shared" si="0"/>
        <v>0</v>
      </c>
      <c r="M24" s="197">
        <f t="shared" si="0"/>
        <v>0</v>
      </c>
      <c r="N24" s="197">
        <f>SUM(B24:M24)</f>
        <v>0</v>
      </c>
      <c r="O24" s="201"/>
      <c r="P24" s="45" t="s">
        <v>31</v>
      </c>
      <c r="Q24" s="196">
        <v>0</v>
      </c>
      <c r="R24" s="197">
        <v>0</v>
      </c>
      <c r="S24" s="197">
        <v>0</v>
      </c>
      <c r="T24" s="197">
        <v>0</v>
      </c>
      <c r="U24" s="197">
        <v>0</v>
      </c>
      <c r="V24" s="197">
        <v>0</v>
      </c>
      <c r="W24" s="197">
        <v>0</v>
      </c>
      <c r="X24" s="199">
        <v>0</v>
      </c>
      <c r="Y24" s="199">
        <v>53369312</v>
      </c>
      <c r="Z24" s="199">
        <v>75346950</v>
      </c>
      <c r="AA24" s="199">
        <v>75346950</v>
      </c>
      <c r="AB24" s="199">
        <f>75346950+114607192+13488452</f>
        <v>203442594</v>
      </c>
      <c r="AC24" s="416">
        <f>SUM(Q24:AB24)</f>
        <v>407505806</v>
      </c>
      <c r="AD24" s="274"/>
      <c r="AE24" s="202"/>
      <c r="AF24" s="188"/>
    </row>
    <row r="25" spans="1:32" ht="32.1" customHeight="1" thickBot="1" x14ac:dyDescent="0.3">
      <c r="A25" s="46" t="s">
        <v>25</v>
      </c>
      <c r="B25" s="249"/>
      <c r="C25" s="204"/>
      <c r="D25" s="204"/>
      <c r="E25" s="204"/>
      <c r="F25" s="204"/>
      <c r="G25" s="204"/>
      <c r="H25" s="204"/>
      <c r="I25" s="204"/>
      <c r="J25" s="204"/>
      <c r="K25" s="204"/>
      <c r="L25" s="204"/>
      <c r="M25" s="204"/>
      <c r="N25" s="204">
        <f>SUM(B25:M25)</f>
        <v>0</v>
      </c>
      <c r="O25" s="205" t="str">
        <f>IFERROR(N25/(SUMIF(B25:M25,"&gt;0",B24:M24))," ")</f>
        <v xml:space="preserve"> </v>
      </c>
      <c r="P25" s="46" t="s">
        <v>25</v>
      </c>
      <c r="Q25" s="203">
        <v>0</v>
      </c>
      <c r="R25" s="204">
        <v>0</v>
      </c>
      <c r="S25" s="204">
        <v>0</v>
      </c>
      <c r="T25" s="204">
        <v>0</v>
      </c>
      <c r="U25" s="204">
        <v>0</v>
      </c>
      <c r="V25" s="204">
        <v>0</v>
      </c>
      <c r="W25" s="204">
        <v>0</v>
      </c>
      <c r="X25" s="204">
        <v>0</v>
      </c>
      <c r="Y25" s="204">
        <v>32741317</v>
      </c>
      <c r="Z25" s="204">
        <v>65846950</v>
      </c>
      <c r="AA25" s="204">
        <f>AC25-Y25-Z25</f>
        <v>68541721</v>
      </c>
      <c r="AB25" s="204">
        <v>0</v>
      </c>
      <c r="AC25" s="408">
        <v>167129988</v>
      </c>
      <c r="AD25" s="275">
        <f>AC25/SUM(Q24:AB24)</f>
        <v>0.41012909641832196</v>
      </c>
      <c r="AE25" s="206">
        <f>AC25/AC24</f>
        <v>0.41012909641832196</v>
      </c>
      <c r="AF25" s="188"/>
    </row>
    <row r="26" spans="1:32" s="207" customFormat="1" ht="16.5" customHeight="1" thickBot="1" x14ac:dyDescent="0.25">
      <c r="B26" s="250"/>
    </row>
    <row r="27" spans="1:32" ht="33.950000000000003" customHeight="1" x14ac:dyDescent="0.25">
      <c r="A27" s="668" t="s">
        <v>154</v>
      </c>
      <c r="B27" s="669"/>
      <c r="C27" s="669"/>
      <c r="D27" s="669"/>
      <c r="E27" s="669"/>
      <c r="F27" s="669"/>
      <c r="G27" s="669"/>
      <c r="H27" s="669"/>
      <c r="I27" s="669"/>
      <c r="J27" s="669"/>
      <c r="K27" s="669"/>
      <c r="L27" s="669"/>
      <c r="M27" s="669"/>
      <c r="N27" s="669"/>
      <c r="O27" s="669"/>
      <c r="P27" s="669"/>
      <c r="Q27" s="669"/>
      <c r="R27" s="669"/>
      <c r="S27" s="669"/>
      <c r="T27" s="669"/>
      <c r="U27" s="669"/>
      <c r="V27" s="669"/>
      <c r="W27" s="669"/>
      <c r="X27" s="669"/>
      <c r="Y27" s="669"/>
      <c r="Z27" s="669"/>
      <c r="AA27" s="669"/>
      <c r="AB27" s="669"/>
      <c r="AC27" s="669"/>
      <c r="AD27" s="669"/>
      <c r="AE27" s="670"/>
    </row>
    <row r="28" spans="1:32" ht="15" customHeight="1" x14ac:dyDescent="0.25">
      <c r="A28" s="590" t="s">
        <v>34</v>
      </c>
      <c r="B28" s="592" t="s">
        <v>36</v>
      </c>
      <c r="C28" s="592"/>
      <c r="D28" s="592" t="s">
        <v>155</v>
      </c>
      <c r="E28" s="592"/>
      <c r="F28" s="592"/>
      <c r="G28" s="592"/>
      <c r="H28" s="592"/>
      <c r="I28" s="592"/>
      <c r="J28" s="592"/>
      <c r="K28" s="592"/>
      <c r="L28" s="592"/>
      <c r="M28" s="592"/>
      <c r="N28" s="592"/>
      <c r="O28" s="592"/>
      <c r="P28" s="592" t="s">
        <v>102</v>
      </c>
      <c r="Q28" s="592" t="s">
        <v>156</v>
      </c>
      <c r="R28" s="592"/>
      <c r="S28" s="592"/>
      <c r="T28" s="592"/>
      <c r="U28" s="592"/>
      <c r="V28" s="592"/>
      <c r="W28" s="592"/>
      <c r="X28" s="592"/>
      <c r="Y28" s="592" t="s">
        <v>157</v>
      </c>
      <c r="Z28" s="592"/>
      <c r="AA28" s="592"/>
      <c r="AB28" s="592"/>
      <c r="AC28" s="592"/>
      <c r="AD28" s="592"/>
      <c r="AE28" s="671"/>
    </row>
    <row r="29" spans="1:32" ht="27" customHeight="1" x14ac:dyDescent="0.25">
      <c r="A29" s="590"/>
      <c r="B29" s="592"/>
      <c r="C29" s="592"/>
      <c r="D29" s="48" t="s">
        <v>141</v>
      </c>
      <c r="E29" s="48" t="s">
        <v>142</v>
      </c>
      <c r="F29" s="48" t="s">
        <v>143</v>
      </c>
      <c r="G29" s="48" t="s">
        <v>144</v>
      </c>
      <c r="H29" s="48" t="s">
        <v>145</v>
      </c>
      <c r="I29" s="48" t="s">
        <v>146</v>
      </c>
      <c r="J29" s="48" t="s">
        <v>147</v>
      </c>
      <c r="K29" s="48" t="s">
        <v>148</v>
      </c>
      <c r="L29" s="48" t="s">
        <v>149</v>
      </c>
      <c r="M29" s="48" t="s">
        <v>150</v>
      </c>
      <c r="N29" s="48" t="s">
        <v>128</v>
      </c>
      <c r="O29" s="48" t="s">
        <v>151</v>
      </c>
      <c r="P29" s="592"/>
      <c r="Q29" s="592"/>
      <c r="R29" s="592"/>
      <c r="S29" s="592"/>
      <c r="T29" s="592"/>
      <c r="U29" s="592"/>
      <c r="V29" s="592"/>
      <c r="W29" s="592"/>
      <c r="X29" s="592"/>
      <c r="Y29" s="592"/>
      <c r="Z29" s="592"/>
      <c r="AA29" s="592"/>
      <c r="AB29" s="592"/>
      <c r="AC29" s="592"/>
      <c r="AD29" s="592"/>
      <c r="AE29" s="671"/>
    </row>
    <row r="30" spans="1:32" ht="42" customHeight="1" thickBot="1" x14ac:dyDescent="0.3">
      <c r="A30" s="49"/>
      <c r="B30" s="672"/>
      <c r="C30" s="672"/>
      <c r="D30" s="16"/>
      <c r="E30" s="16"/>
      <c r="F30" s="16"/>
      <c r="G30" s="16"/>
      <c r="H30" s="16"/>
      <c r="I30" s="16"/>
      <c r="J30" s="16"/>
      <c r="K30" s="16"/>
      <c r="L30" s="16"/>
      <c r="M30" s="16"/>
      <c r="N30" s="16"/>
      <c r="O30" s="16"/>
      <c r="P30" s="50">
        <f>SUM(D30:O30)</f>
        <v>0</v>
      </c>
      <c r="Q30" s="673" t="s">
        <v>158</v>
      </c>
      <c r="R30" s="673"/>
      <c r="S30" s="673"/>
      <c r="T30" s="673"/>
      <c r="U30" s="673"/>
      <c r="V30" s="673"/>
      <c r="W30" s="673"/>
      <c r="X30" s="673"/>
      <c r="Y30" s="673" t="s">
        <v>43</v>
      </c>
      <c r="Z30" s="673"/>
      <c r="AA30" s="673"/>
      <c r="AB30" s="673"/>
      <c r="AC30" s="673"/>
      <c r="AD30" s="673"/>
      <c r="AE30" s="674"/>
    </row>
    <row r="31" spans="1:32" ht="12" customHeight="1" thickBot="1" x14ac:dyDescent="0.3">
      <c r="A31" s="51"/>
      <c r="B31" s="52"/>
      <c r="C31" s="52"/>
      <c r="D31" s="26"/>
      <c r="E31" s="26"/>
      <c r="F31" s="26"/>
      <c r="G31" s="26"/>
      <c r="H31" s="26"/>
      <c r="I31" s="26"/>
      <c r="J31" s="26"/>
      <c r="K31" s="26"/>
      <c r="L31" s="26"/>
      <c r="M31" s="26"/>
      <c r="N31" s="26"/>
      <c r="O31" s="26"/>
      <c r="P31" s="53"/>
      <c r="Q31" s="126"/>
      <c r="R31" s="126"/>
      <c r="S31" s="126"/>
      <c r="T31" s="126"/>
      <c r="U31" s="126"/>
      <c r="V31" s="126"/>
      <c r="W31" s="126"/>
      <c r="X31" s="126"/>
      <c r="Y31" s="126"/>
      <c r="Z31" s="126"/>
      <c r="AA31" s="126"/>
      <c r="AB31" s="126"/>
      <c r="AC31" s="126"/>
      <c r="AD31" s="126"/>
      <c r="AE31" s="127"/>
    </row>
    <row r="32" spans="1:32" ht="45" customHeight="1" x14ac:dyDescent="0.25">
      <c r="A32" s="586" t="s">
        <v>159</v>
      </c>
      <c r="B32" s="587"/>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8"/>
    </row>
    <row r="33" spans="1:41" ht="23.1" customHeight="1" x14ac:dyDescent="0.25">
      <c r="A33" s="590" t="s">
        <v>44</v>
      </c>
      <c r="B33" s="592" t="s">
        <v>46</v>
      </c>
      <c r="C33" s="592" t="s">
        <v>36</v>
      </c>
      <c r="D33" s="592" t="s">
        <v>160</v>
      </c>
      <c r="E33" s="592"/>
      <c r="F33" s="592"/>
      <c r="G33" s="592"/>
      <c r="H33" s="592"/>
      <c r="I33" s="592"/>
      <c r="J33" s="592"/>
      <c r="K33" s="592"/>
      <c r="L33" s="592"/>
      <c r="M33" s="592"/>
      <c r="N33" s="592"/>
      <c r="O33" s="592"/>
      <c r="P33" s="592"/>
      <c r="Q33" s="592" t="s">
        <v>161</v>
      </c>
      <c r="R33" s="592"/>
      <c r="S33" s="592"/>
      <c r="T33" s="592"/>
      <c r="U33" s="592"/>
      <c r="V33" s="592"/>
      <c r="W33" s="592"/>
      <c r="X33" s="592"/>
      <c r="Y33" s="592"/>
      <c r="Z33" s="592"/>
      <c r="AA33" s="592"/>
      <c r="AB33" s="592"/>
      <c r="AC33" s="592"/>
      <c r="AD33" s="592"/>
      <c r="AE33" s="671"/>
      <c r="AG33" s="128"/>
      <c r="AH33" s="128"/>
      <c r="AI33" s="128"/>
      <c r="AJ33" s="128"/>
      <c r="AK33" s="128"/>
      <c r="AL33" s="128"/>
      <c r="AM33" s="128"/>
      <c r="AN33" s="128"/>
      <c r="AO33" s="128"/>
    </row>
    <row r="34" spans="1:41" ht="27" customHeight="1" x14ac:dyDescent="0.25">
      <c r="A34" s="590"/>
      <c r="B34" s="592"/>
      <c r="C34" s="675"/>
      <c r="D34" s="48" t="s">
        <v>141</v>
      </c>
      <c r="E34" s="48" t="s">
        <v>142</v>
      </c>
      <c r="F34" s="48" t="s">
        <v>143</v>
      </c>
      <c r="G34" s="48" t="s">
        <v>144</v>
      </c>
      <c r="H34" s="48" t="s">
        <v>145</v>
      </c>
      <c r="I34" s="48" t="s">
        <v>146</v>
      </c>
      <c r="J34" s="48" t="s">
        <v>147</v>
      </c>
      <c r="K34" s="48" t="s">
        <v>148</v>
      </c>
      <c r="L34" s="48" t="s">
        <v>149</v>
      </c>
      <c r="M34" s="48" t="s">
        <v>150</v>
      </c>
      <c r="N34" s="48" t="s">
        <v>128</v>
      </c>
      <c r="O34" s="48" t="s">
        <v>151</v>
      </c>
      <c r="P34" s="48" t="s">
        <v>102</v>
      </c>
      <c r="Q34" s="676" t="s">
        <v>52</v>
      </c>
      <c r="R34" s="677"/>
      <c r="S34" s="677"/>
      <c r="T34" s="678"/>
      <c r="U34" s="592" t="s">
        <v>54</v>
      </c>
      <c r="V34" s="592"/>
      <c r="W34" s="592"/>
      <c r="X34" s="592"/>
      <c r="Y34" s="592" t="s">
        <v>56</v>
      </c>
      <c r="Z34" s="592"/>
      <c r="AA34" s="592"/>
      <c r="AB34" s="592"/>
      <c r="AC34" s="592" t="s">
        <v>58</v>
      </c>
      <c r="AD34" s="592"/>
      <c r="AE34" s="671"/>
      <c r="AG34" s="128"/>
      <c r="AH34" s="128"/>
      <c r="AI34" s="128"/>
      <c r="AJ34" s="128"/>
      <c r="AK34" s="128"/>
      <c r="AL34" s="128"/>
      <c r="AM34" s="128"/>
      <c r="AN34" s="128"/>
      <c r="AO34" s="128"/>
    </row>
    <row r="35" spans="1:41" ht="214.15" customHeight="1" x14ac:dyDescent="0.25">
      <c r="A35" s="681" t="str">
        <f>+C17</f>
        <v>Implementar 3 acciones de transformación cultural que promuevan la redistribución equitativa de las labores del cuidado en Bogotá. (Producto MGA - Servicio de promoción de la garantía de derechos)</v>
      </c>
      <c r="B35" s="683">
        <v>0.69</v>
      </c>
      <c r="C35" s="54" t="s">
        <v>48</v>
      </c>
      <c r="D35" s="162">
        <v>0</v>
      </c>
      <c r="E35" s="162">
        <v>0</v>
      </c>
      <c r="F35" s="162">
        <v>0</v>
      </c>
      <c r="G35" s="162">
        <v>0</v>
      </c>
      <c r="H35" s="162">
        <v>0</v>
      </c>
      <c r="I35" s="162">
        <v>0</v>
      </c>
      <c r="J35" s="162">
        <v>0</v>
      </c>
      <c r="K35" s="162">
        <f>+K82</f>
        <v>4.0579710144927547E-2</v>
      </c>
      <c r="L35" s="162">
        <f t="shared" ref="L35:O35" si="1">+L82</f>
        <v>0.17971014492753629</v>
      </c>
      <c r="M35" s="162">
        <f t="shared" si="1"/>
        <v>0.25797101449275367</v>
      </c>
      <c r="N35" s="162">
        <f t="shared" si="1"/>
        <v>0.29420289855072468</v>
      </c>
      <c r="O35" s="162">
        <f t="shared" si="1"/>
        <v>0.227536231884058</v>
      </c>
      <c r="P35" s="164">
        <f>SUM(D35:O35)</f>
        <v>1.0000000000000002</v>
      </c>
      <c r="Q35" s="751" t="s">
        <v>199</v>
      </c>
      <c r="R35" s="752"/>
      <c r="S35" s="752"/>
      <c r="T35" s="753"/>
      <c r="U35" s="757" t="s">
        <v>200</v>
      </c>
      <c r="V35" s="758"/>
      <c r="W35" s="758"/>
      <c r="X35" s="759"/>
      <c r="Y35" s="763" t="s">
        <v>201</v>
      </c>
      <c r="Z35" s="764"/>
      <c r="AA35" s="764"/>
      <c r="AB35" s="765"/>
      <c r="AC35" s="757" t="s">
        <v>202</v>
      </c>
      <c r="AD35" s="758"/>
      <c r="AE35" s="769"/>
      <c r="AG35" s="128" t="s">
        <v>203</v>
      </c>
      <c r="AH35" s="128">
        <f>LEN(AG35)</f>
        <v>300</v>
      </c>
      <c r="AI35" s="128"/>
      <c r="AJ35" s="128"/>
      <c r="AK35" s="128"/>
      <c r="AL35" s="128"/>
      <c r="AM35" s="128"/>
      <c r="AN35" s="128"/>
      <c r="AO35" s="128"/>
    </row>
    <row r="36" spans="1:41" ht="214.15" customHeight="1" thickBot="1" x14ac:dyDescent="0.3">
      <c r="A36" s="682"/>
      <c r="B36" s="684"/>
      <c r="C36" s="55" t="s">
        <v>50</v>
      </c>
      <c r="D36" s="165">
        <v>0</v>
      </c>
      <c r="E36" s="165">
        <v>0</v>
      </c>
      <c r="F36" s="165">
        <v>0</v>
      </c>
      <c r="G36" s="165">
        <v>0</v>
      </c>
      <c r="H36" s="165">
        <v>0</v>
      </c>
      <c r="I36" s="165">
        <v>0</v>
      </c>
      <c r="J36" s="165">
        <v>0</v>
      </c>
      <c r="K36" s="165">
        <f>+K79</f>
        <v>4.0579710144927547E-2</v>
      </c>
      <c r="L36" s="165">
        <f t="shared" ref="L36:O36" si="2">+L79</f>
        <v>0.17971014492753629</v>
      </c>
      <c r="M36" s="165">
        <f t="shared" si="2"/>
        <v>0.25797101449275367</v>
      </c>
      <c r="N36" s="165">
        <f t="shared" si="2"/>
        <v>0.29420289855072468</v>
      </c>
      <c r="O36" s="165">
        <f t="shared" si="2"/>
        <v>0</v>
      </c>
      <c r="P36" s="163">
        <f>SUM(D36:O36)</f>
        <v>0.7724637681159422</v>
      </c>
      <c r="Q36" s="754"/>
      <c r="R36" s="755"/>
      <c r="S36" s="755"/>
      <c r="T36" s="756"/>
      <c r="U36" s="760"/>
      <c r="V36" s="761"/>
      <c r="W36" s="761"/>
      <c r="X36" s="762"/>
      <c r="Y36" s="766"/>
      <c r="Z36" s="767"/>
      <c r="AA36" s="767"/>
      <c r="AB36" s="768"/>
      <c r="AC36" s="760"/>
      <c r="AD36" s="761"/>
      <c r="AE36" s="770"/>
      <c r="AG36" s="128"/>
      <c r="AH36" s="128"/>
      <c r="AI36" s="128"/>
      <c r="AJ36" s="128"/>
      <c r="AK36" s="128"/>
      <c r="AL36" s="128"/>
      <c r="AM36" s="128"/>
      <c r="AN36" s="128"/>
      <c r="AO36" s="128"/>
    </row>
    <row r="37" spans="1:41" s="207" customFormat="1" ht="17.25" customHeight="1" x14ac:dyDescent="0.2">
      <c r="B37" s="250"/>
    </row>
    <row r="38" spans="1:41" ht="45" customHeight="1" x14ac:dyDescent="0.25">
      <c r="A38" s="586" t="s">
        <v>166</v>
      </c>
      <c r="B38" s="587"/>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8"/>
      <c r="AG38" s="128"/>
      <c r="AH38" s="128"/>
      <c r="AI38" s="128"/>
      <c r="AJ38" s="128"/>
      <c r="AK38" s="128"/>
      <c r="AL38" s="128"/>
      <c r="AM38" s="128"/>
      <c r="AN38" s="128"/>
      <c r="AO38" s="128"/>
    </row>
    <row r="39" spans="1:41" ht="26.1" customHeight="1" x14ac:dyDescent="0.25">
      <c r="A39" s="589" t="s">
        <v>60</v>
      </c>
      <c r="B39" s="591" t="s">
        <v>167</v>
      </c>
      <c r="C39" s="593" t="s">
        <v>168</v>
      </c>
      <c r="D39" s="595" t="s">
        <v>169</v>
      </c>
      <c r="E39" s="596"/>
      <c r="F39" s="596"/>
      <c r="G39" s="596"/>
      <c r="H39" s="596"/>
      <c r="I39" s="596"/>
      <c r="J39" s="596"/>
      <c r="K39" s="596"/>
      <c r="L39" s="596"/>
      <c r="M39" s="596"/>
      <c r="N39" s="596"/>
      <c r="O39" s="596"/>
      <c r="P39" s="597"/>
      <c r="Q39" s="591" t="s">
        <v>170</v>
      </c>
      <c r="R39" s="591"/>
      <c r="S39" s="591"/>
      <c r="T39" s="591"/>
      <c r="U39" s="591"/>
      <c r="V39" s="591"/>
      <c r="W39" s="591"/>
      <c r="X39" s="591"/>
      <c r="Y39" s="591"/>
      <c r="Z39" s="591"/>
      <c r="AA39" s="591"/>
      <c r="AB39" s="591"/>
      <c r="AC39" s="591"/>
      <c r="AD39" s="591"/>
      <c r="AE39" s="679"/>
      <c r="AG39" s="128"/>
      <c r="AH39" s="128"/>
      <c r="AI39" s="128"/>
      <c r="AJ39" s="128"/>
      <c r="AK39" s="128"/>
      <c r="AL39" s="128"/>
      <c r="AM39" s="128"/>
      <c r="AN39" s="128"/>
      <c r="AO39" s="128"/>
    </row>
    <row r="40" spans="1:41" ht="26.1" customHeight="1" x14ac:dyDescent="0.25">
      <c r="A40" s="590"/>
      <c r="B40" s="592"/>
      <c r="C40" s="594"/>
      <c r="D40" s="48" t="s">
        <v>171</v>
      </c>
      <c r="E40" s="48" t="s">
        <v>172</v>
      </c>
      <c r="F40" s="48" t="s">
        <v>173</v>
      </c>
      <c r="G40" s="48" t="s">
        <v>174</v>
      </c>
      <c r="H40" s="48" t="s">
        <v>175</v>
      </c>
      <c r="I40" s="48" t="s">
        <v>176</v>
      </c>
      <c r="J40" s="48" t="s">
        <v>177</v>
      </c>
      <c r="K40" s="48" t="s">
        <v>178</v>
      </c>
      <c r="L40" s="48" t="s">
        <v>179</v>
      </c>
      <c r="M40" s="48" t="s">
        <v>180</v>
      </c>
      <c r="N40" s="48" t="s">
        <v>181</v>
      </c>
      <c r="O40" s="48" t="s">
        <v>182</v>
      </c>
      <c r="P40" s="48" t="s">
        <v>183</v>
      </c>
      <c r="Q40" s="676" t="s">
        <v>184</v>
      </c>
      <c r="R40" s="677"/>
      <c r="S40" s="677"/>
      <c r="T40" s="677"/>
      <c r="U40" s="677"/>
      <c r="V40" s="677"/>
      <c r="W40" s="677"/>
      <c r="X40" s="678"/>
      <c r="Y40" s="676" t="s">
        <v>68</v>
      </c>
      <c r="Z40" s="677"/>
      <c r="AA40" s="677"/>
      <c r="AB40" s="677"/>
      <c r="AC40" s="677"/>
      <c r="AD40" s="677"/>
      <c r="AE40" s="680"/>
      <c r="AG40" s="208"/>
      <c r="AH40" s="208"/>
      <c r="AI40" s="208"/>
      <c r="AJ40" s="208"/>
      <c r="AK40" s="208"/>
      <c r="AL40" s="208"/>
      <c r="AM40" s="208"/>
      <c r="AN40" s="208"/>
      <c r="AO40" s="208"/>
    </row>
    <row r="41" spans="1:41" ht="83.45" customHeight="1" x14ac:dyDescent="0.25">
      <c r="A41" s="691" t="s">
        <v>204</v>
      </c>
      <c r="B41" s="692">
        <v>0.1</v>
      </c>
      <c r="C41" s="56" t="s">
        <v>48</v>
      </c>
      <c r="D41" s="57">
        <v>0</v>
      </c>
      <c r="E41" s="57">
        <v>0</v>
      </c>
      <c r="F41" s="57">
        <v>0</v>
      </c>
      <c r="G41" s="57">
        <v>0</v>
      </c>
      <c r="H41" s="57">
        <v>0</v>
      </c>
      <c r="I41" s="57">
        <v>0</v>
      </c>
      <c r="J41" s="57">
        <v>0</v>
      </c>
      <c r="K41" s="57">
        <v>0.2</v>
      </c>
      <c r="L41" s="57">
        <v>0.2</v>
      </c>
      <c r="M41" s="57">
        <v>0.2</v>
      </c>
      <c r="N41" s="57">
        <v>0.2</v>
      </c>
      <c r="O41" s="57">
        <v>0.2</v>
      </c>
      <c r="P41" s="58">
        <f t="shared" ref="P41:P52" si="3">SUM(D41:O41)</f>
        <v>1</v>
      </c>
      <c r="Q41" s="713" t="s">
        <v>205</v>
      </c>
      <c r="R41" s="702"/>
      <c r="S41" s="702"/>
      <c r="T41" s="702"/>
      <c r="U41" s="702"/>
      <c r="V41" s="702"/>
      <c r="W41" s="702"/>
      <c r="X41" s="703"/>
      <c r="Y41" s="743" t="s">
        <v>781</v>
      </c>
      <c r="Z41" s="744"/>
      <c r="AA41" s="744"/>
      <c r="AB41" s="744"/>
      <c r="AC41" s="744"/>
      <c r="AD41" s="744"/>
      <c r="AE41" s="745"/>
      <c r="AG41" s="209"/>
      <c r="AH41" s="209"/>
      <c r="AI41" s="209"/>
      <c r="AJ41" s="209"/>
      <c r="AK41" s="209"/>
      <c r="AL41" s="209"/>
      <c r="AM41" s="209"/>
      <c r="AN41" s="209"/>
      <c r="AO41" s="209"/>
    </row>
    <row r="42" spans="1:41" ht="83.45" customHeight="1" x14ac:dyDescent="0.25">
      <c r="A42" s="691"/>
      <c r="B42" s="692"/>
      <c r="C42" s="59" t="s">
        <v>50</v>
      </c>
      <c r="D42" s="60">
        <v>0</v>
      </c>
      <c r="E42" s="60">
        <v>0</v>
      </c>
      <c r="F42" s="60">
        <v>0</v>
      </c>
      <c r="G42" s="60">
        <v>0</v>
      </c>
      <c r="H42" s="60">
        <v>0</v>
      </c>
      <c r="I42" s="60">
        <v>0</v>
      </c>
      <c r="J42" s="60">
        <v>0</v>
      </c>
      <c r="K42" s="60">
        <v>0.2</v>
      </c>
      <c r="L42" s="60">
        <v>0.2</v>
      </c>
      <c r="M42" s="60">
        <v>0.2</v>
      </c>
      <c r="N42" s="60">
        <v>0.2</v>
      </c>
      <c r="O42" s="60"/>
      <c r="P42" s="58">
        <f t="shared" si="3"/>
        <v>0.8</v>
      </c>
      <c r="Q42" s="704"/>
      <c r="R42" s="705"/>
      <c r="S42" s="705"/>
      <c r="T42" s="705"/>
      <c r="U42" s="705"/>
      <c r="V42" s="705"/>
      <c r="W42" s="705"/>
      <c r="X42" s="706"/>
      <c r="Y42" s="746"/>
      <c r="Z42" s="747"/>
      <c r="AA42" s="747"/>
      <c r="AB42" s="747"/>
      <c r="AC42" s="747"/>
      <c r="AD42" s="747"/>
      <c r="AE42" s="748"/>
    </row>
    <row r="43" spans="1:41" ht="55.15" customHeight="1" x14ac:dyDescent="0.25">
      <c r="A43" s="691" t="s">
        <v>206</v>
      </c>
      <c r="B43" s="692">
        <v>0.32</v>
      </c>
      <c r="C43" s="56" t="s">
        <v>48</v>
      </c>
      <c r="D43" s="57">
        <v>0</v>
      </c>
      <c r="E43" s="57">
        <v>0</v>
      </c>
      <c r="F43" s="57">
        <v>0</v>
      </c>
      <c r="G43" s="57">
        <v>0</v>
      </c>
      <c r="H43" s="57">
        <v>0</v>
      </c>
      <c r="I43" s="57">
        <v>0</v>
      </c>
      <c r="J43" s="57">
        <v>0</v>
      </c>
      <c r="K43" s="57">
        <v>0</v>
      </c>
      <c r="L43" s="57">
        <v>0.3</v>
      </c>
      <c r="M43" s="57">
        <v>0.3</v>
      </c>
      <c r="N43" s="57">
        <v>0.3</v>
      </c>
      <c r="O43" s="57">
        <v>0.1</v>
      </c>
      <c r="P43" s="58">
        <f t="shared" si="3"/>
        <v>0.99999999999999989</v>
      </c>
      <c r="Q43" s="713" t="s">
        <v>207</v>
      </c>
      <c r="R43" s="702"/>
      <c r="S43" s="702"/>
      <c r="T43" s="702"/>
      <c r="U43" s="702"/>
      <c r="V43" s="702"/>
      <c r="W43" s="702"/>
      <c r="X43" s="703"/>
      <c r="Y43" s="713" t="s">
        <v>208</v>
      </c>
      <c r="Z43" s="702"/>
      <c r="AA43" s="702"/>
      <c r="AB43" s="702"/>
      <c r="AC43" s="702"/>
      <c r="AD43" s="702"/>
      <c r="AE43" s="702"/>
    </row>
    <row r="44" spans="1:41" ht="55.15" customHeight="1" x14ac:dyDescent="0.25">
      <c r="A44" s="691"/>
      <c r="B44" s="692"/>
      <c r="C44" s="59" t="s">
        <v>50</v>
      </c>
      <c r="D44" s="60">
        <v>0</v>
      </c>
      <c r="E44" s="60">
        <v>0</v>
      </c>
      <c r="F44" s="60">
        <v>0</v>
      </c>
      <c r="G44" s="60">
        <v>0</v>
      </c>
      <c r="H44" s="60">
        <v>0</v>
      </c>
      <c r="I44" s="60">
        <v>0</v>
      </c>
      <c r="J44" s="60">
        <v>0</v>
      </c>
      <c r="K44" s="60">
        <v>0</v>
      </c>
      <c r="L44" s="60">
        <v>0.3</v>
      </c>
      <c r="M44" s="60">
        <v>0.3</v>
      </c>
      <c r="N44" s="60">
        <v>0.3</v>
      </c>
      <c r="O44" s="60"/>
      <c r="P44" s="58">
        <f t="shared" si="3"/>
        <v>0.89999999999999991</v>
      </c>
      <c r="Q44" s="704"/>
      <c r="R44" s="705"/>
      <c r="S44" s="705"/>
      <c r="T44" s="705"/>
      <c r="U44" s="705"/>
      <c r="V44" s="705"/>
      <c r="W44" s="705"/>
      <c r="X44" s="706"/>
      <c r="Y44" s="704"/>
      <c r="Z44" s="705"/>
      <c r="AA44" s="705"/>
      <c r="AB44" s="705"/>
      <c r="AC44" s="705"/>
      <c r="AD44" s="705"/>
      <c r="AE44" s="705"/>
    </row>
    <row r="45" spans="1:41" ht="81.599999999999994" customHeight="1" x14ac:dyDescent="0.25">
      <c r="A45" s="739" t="s">
        <v>209</v>
      </c>
      <c r="B45" s="692">
        <v>0.18</v>
      </c>
      <c r="C45" s="56" t="s">
        <v>48</v>
      </c>
      <c r="D45" s="151">
        <v>0</v>
      </c>
      <c r="E45" s="57">
        <v>0</v>
      </c>
      <c r="F45" s="57">
        <v>0</v>
      </c>
      <c r="G45" s="57">
        <v>0</v>
      </c>
      <c r="H45" s="57">
        <v>0</v>
      </c>
      <c r="I45" s="57">
        <v>0</v>
      </c>
      <c r="J45" s="57">
        <v>0</v>
      </c>
      <c r="K45" s="57">
        <v>0</v>
      </c>
      <c r="L45" s="57">
        <v>0</v>
      </c>
      <c r="M45" s="57">
        <v>0.3</v>
      </c>
      <c r="N45" s="57">
        <v>0.3</v>
      </c>
      <c r="O45" s="57">
        <v>0.4</v>
      </c>
      <c r="P45" s="58">
        <f t="shared" si="3"/>
        <v>1</v>
      </c>
      <c r="Q45" s="713" t="s">
        <v>210</v>
      </c>
      <c r="R45" s="702"/>
      <c r="S45" s="702"/>
      <c r="T45" s="702"/>
      <c r="U45" s="702"/>
      <c r="V45" s="702"/>
      <c r="W45" s="702"/>
      <c r="X45" s="749"/>
      <c r="Y45" s="700" t="s">
        <v>211</v>
      </c>
      <c r="Z45" s="700"/>
      <c r="AA45" s="700"/>
      <c r="AB45" s="700"/>
      <c r="AC45" s="700"/>
      <c r="AD45" s="700"/>
      <c r="AE45" s="700"/>
    </row>
    <row r="46" spans="1:41" ht="81.599999999999994" customHeight="1" x14ac:dyDescent="0.25">
      <c r="A46" s="740"/>
      <c r="B46" s="692"/>
      <c r="C46" s="59" t="s">
        <v>50</v>
      </c>
      <c r="D46" s="60">
        <v>0</v>
      </c>
      <c r="E46" s="60">
        <v>0</v>
      </c>
      <c r="F46" s="60">
        <v>0</v>
      </c>
      <c r="G46" s="60">
        <v>0</v>
      </c>
      <c r="H46" s="60">
        <v>0</v>
      </c>
      <c r="I46" s="60">
        <v>0</v>
      </c>
      <c r="J46" s="60">
        <v>0</v>
      </c>
      <c r="K46" s="60">
        <v>0</v>
      </c>
      <c r="L46" s="60">
        <v>0</v>
      </c>
      <c r="M46" s="60">
        <v>0.3</v>
      </c>
      <c r="N46" s="60">
        <v>0.3</v>
      </c>
      <c r="O46" s="60"/>
      <c r="P46" s="58">
        <f t="shared" si="3"/>
        <v>0.6</v>
      </c>
      <c r="Q46" s="704"/>
      <c r="R46" s="705"/>
      <c r="S46" s="705"/>
      <c r="T46" s="705"/>
      <c r="U46" s="705"/>
      <c r="V46" s="705"/>
      <c r="W46" s="705"/>
      <c r="X46" s="750"/>
      <c r="Y46" s="700"/>
      <c r="Z46" s="700"/>
      <c r="AA46" s="700"/>
      <c r="AB46" s="700"/>
      <c r="AC46" s="700"/>
      <c r="AD46" s="700"/>
      <c r="AE46" s="700"/>
    </row>
    <row r="47" spans="1:41" ht="55.15" customHeight="1" x14ac:dyDescent="0.25">
      <c r="A47" s="733" t="s">
        <v>212</v>
      </c>
      <c r="B47" s="692">
        <v>0.05</v>
      </c>
      <c r="C47" s="149" t="s">
        <v>48</v>
      </c>
      <c r="D47" s="151">
        <v>0</v>
      </c>
      <c r="E47" s="57">
        <v>0</v>
      </c>
      <c r="F47" s="57">
        <v>0</v>
      </c>
      <c r="G47" s="57">
        <v>0</v>
      </c>
      <c r="H47" s="57">
        <v>0</v>
      </c>
      <c r="I47" s="57">
        <v>0</v>
      </c>
      <c r="J47" s="57">
        <v>0</v>
      </c>
      <c r="K47" s="57">
        <v>0</v>
      </c>
      <c r="L47" s="57">
        <v>0</v>
      </c>
      <c r="M47" s="57">
        <v>0</v>
      </c>
      <c r="N47" s="57">
        <v>0.5</v>
      </c>
      <c r="O47" s="57">
        <v>0.5</v>
      </c>
      <c r="P47" s="58">
        <f t="shared" si="3"/>
        <v>1</v>
      </c>
      <c r="Q47" s="693" t="s">
        <v>213</v>
      </c>
      <c r="R47" s="694"/>
      <c r="S47" s="694"/>
      <c r="T47" s="694"/>
      <c r="U47" s="694"/>
      <c r="V47" s="694"/>
      <c r="W47" s="694"/>
      <c r="X47" s="741"/>
      <c r="Y47" s="700" t="s">
        <v>214</v>
      </c>
      <c r="Z47" s="700"/>
      <c r="AA47" s="700"/>
      <c r="AB47" s="700"/>
      <c r="AC47" s="700"/>
      <c r="AD47" s="700"/>
      <c r="AE47" s="700"/>
    </row>
    <row r="48" spans="1:41" ht="55.15" customHeight="1" x14ac:dyDescent="0.25">
      <c r="A48" s="734"/>
      <c r="B48" s="692"/>
      <c r="C48" s="150" t="s">
        <v>50</v>
      </c>
      <c r="D48" s="60">
        <v>0</v>
      </c>
      <c r="E48" s="60">
        <v>0</v>
      </c>
      <c r="F48" s="60">
        <v>0</v>
      </c>
      <c r="G48" s="60">
        <v>0</v>
      </c>
      <c r="H48" s="60">
        <v>0</v>
      </c>
      <c r="I48" s="60">
        <v>0</v>
      </c>
      <c r="J48" s="60">
        <v>0</v>
      </c>
      <c r="K48" s="148">
        <v>0</v>
      </c>
      <c r="L48" s="148">
        <v>0</v>
      </c>
      <c r="M48" s="148">
        <v>0</v>
      </c>
      <c r="N48" s="148">
        <v>0.5</v>
      </c>
      <c r="O48" s="148"/>
      <c r="P48" s="138">
        <f t="shared" si="3"/>
        <v>0.5</v>
      </c>
      <c r="Q48" s="696"/>
      <c r="R48" s="697"/>
      <c r="S48" s="697"/>
      <c r="T48" s="697"/>
      <c r="U48" s="697"/>
      <c r="V48" s="697"/>
      <c r="W48" s="697"/>
      <c r="X48" s="742"/>
      <c r="Y48" s="700"/>
      <c r="Z48" s="700"/>
      <c r="AA48" s="700"/>
      <c r="AB48" s="700"/>
      <c r="AC48" s="700"/>
      <c r="AD48" s="700"/>
      <c r="AE48" s="700"/>
    </row>
    <row r="49" spans="1:31" ht="97.15" customHeight="1" x14ac:dyDescent="0.25">
      <c r="A49" s="774" t="s">
        <v>215</v>
      </c>
      <c r="B49" s="692">
        <v>0.02</v>
      </c>
      <c r="C49" s="149" t="s">
        <v>48</v>
      </c>
      <c r="D49" s="57">
        <v>0</v>
      </c>
      <c r="E49" s="57">
        <v>0</v>
      </c>
      <c r="F49" s="57">
        <v>0</v>
      </c>
      <c r="G49" s="57">
        <v>0</v>
      </c>
      <c r="H49" s="57">
        <v>0</v>
      </c>
      <c r="I49" s="57">
        <v>0</v>
      </c>
      <c r="J49" s="57">
        <v>0</v>
      </c>
      <c r="K49" s="57">
        <v>0.2</v>
      </c>
      <c r="L49" s="57">
        <v>0.2</v>
      </c>
      <c r="M49" s="57">
        <v>0.2</v>
      </c>
      <c r="N49" s="57">
        <v>0.2</v>
      </c>
      <c r="O49" s="57">
        <v>0.2</v>
      </c>
      <c r="P49" s="58">
        <f t="shared" si="3"/>
        <v>1</v>
      </c>
      <c r="Q49" s="685" t="s">
        <v>216</v>
      </c>
      <c r="R49" s="686"/>
      <c r="S49" s="686"/>
      <c r="T49" s="686"/>
      <c r="U49" s="686"/>
      <c r="V49" s="686"/>
      <c r="W49" s="686"/>
      <c r="X49" s="776"/>
      <c r="Y49" s="780" t="s">
        <v>217</v>
      </c>
      <c r="Z49" s="715"/>
      <c r="AA49" s="715"/>
      <c r="AB49" s="715"/>
      <c r="AC49" s="715"/>
      <c r="AD49" s="715"/>
      <c r="AE49" s="716"/>
    </row>
    <row r="50" spans="1:31" ht="97.15" customHeight="1" x14ac:dyDescent="0.25">
      <c r="A50" s="775"/>
      <c r="B50" s="692"/>
      <c r="C50" s="150" t="s">
        <v>50</v>
      </c>
      <c r="D50" s="60">
        <v>0</v>
      </c>
      <c r="E50" s="60">
        <v>0</v>
      </c>
      <c r="F50" s="60">
        <v>0</v>
      </c>
      <c r="G50" s="60">
        <v>0</v>
      </c>
      <c r="H50" s="60">
        <v>0</v>
      </c>
      <c r="I50" s="60">
        <v>0</v>
      </c>
      <c r="J50" s="60">
        <v>0</v>
      </c>
      <c r="K50" s="148">
        <v>0.2</v>
      </c>
      <c r="L50" s="148">
        <v>0.2</v>
      </c>
      <c r="M50" s="148">
        <v>0.2</v>
      </c>
      <c r="N50" s="148">
        <v>0.2</v>
      </c>
      <c r="O50" s="148"/>
      <c r="P50" s="138">
        <f t="shared" si="3"/>
        <v>0.8</v>
      </c>
      <c r="Q50" s="779"/>
      <c r="R50" s="777"/>
      <c r="S50" s="777"/>
      <c r="T50" s="777"/>
      <c r="U50" s="777"/>
      <c r="V50" s="777"/>
      <c r="W50" s="777"/>
      <c r="X50" s="778"/>
      <c r="Y50" s="717"/>
      <c r="Z50" s="718"/>
      <c r="AA50" s="718"/>
      <c r="AB50" s="718"/>
      <c r="AC50" s="718"/>
      <c r="AD50" s="718"/>
      <c r="AE50" s="719"/>
    </row>
    <row r="51" spans="1:31" ht="75.599999999999994" customHeight="1" x14ac:dyDescent="0.25">
      <c r="A51" s="774" t="s">
        <v>218</v>
      </c>
      <c r="B51" s="692">
        <v>0.02</v>
      </c>
      <c r="C51" s="149" t="s">
        <v>48</v>
      </c>
      <c r="D51" s="57">
        <v>0</v>
      </c>
      <c r="E51" s="57">
        <v>0</v>
      </c>
      <c r="F51" s="57">
        <v>0</v>
      </c>
      <c r="G51" s="57">
        <v>0</v>
      </c>
      <c r="H51" s="57">
        <v>0</v>
      </c>
      <c r="I51" s="57">
        <v>0</v>
      </c>
      <c r="J51" s="57">
        <v>0</v>
      </c>
      <c r="K51" s="57">
        <v>0.2</v>
      </c>
      <c r="L51" s="57">
        <v>0.2</v>
      </c>
      <c r="M51" s="57">
        <v>0.2</v>
      </c>
      <c r="N51" s="57">
        <v>0.2</v>
      </c>
      <c r="O51" s="57">
        <v>0.2</v>
      </c>
      <c r="P51" s="138">
        <f t="shared" si="3"/>
        <v>1</v>
      </c>
      <c r="Q51" s="685" t="s">
        <v>219</v>
      </c>
      <c r="R51" s="686"/>
      <c r="S51" s="686"/>
      <c r="T51" s="686"/>
      <c r="U51" s="686"/>
      <c r="V51" s="686"/>
      <c r="W51" s="686"/>
      <c r="X51" s="776"/>
      <c r="Y51" s="714" t="s">
        <v>220</v>
      </c>
      <c r="Z51" s="715"/>
      <c r="AA51" s="715"/>
      <c r="AB51" s="715"/>
      <c r="AC51" s="715"/>
      <c r="AD51" s="715"/>
      <c r="AE51" s="716"/>
    </row>
    <row r="52" spans="1:31" ht="75.599999999999994" customHeight="1" x14ac:dyDescent="0.25">
      <c r="A52" s="775"/>
      <c r="B52" s="692"/>
      <c r="C52" s="150" t="s">
        <v>50</v>
      </c>
      <c r="D52" s="60">
        <v>0</v>
      </c>
      <c r="E52" s="60">
        <v>0</v>
      </c>
      <c r="F52" s="60">
        <v>0</v>
      </c>
      <c r="G52" s="60">
        <v>0</v>
      </c>
      <c r="H52" s="60">
        <v>0</v>
      </c>
      <c r="I52" s="60">
        <v>0</v>
      </c>
      <c r="J52" s="60">
        <v>0</v>
      </c>
      <c r="K52" s="148">
        <v>0.2</v>
      </c>
      <c r="L52" s="148">
        <v>0.2</v>
      </c>
      <c r="M52" s="148">
        <v>0.2</v>
      </c>
      <c r="N52" s="148">
        <v>0.2</v>
      </c>
      <c r="O52" s="414"/>
      <c r="P52" s="413">
        <f t="shared" si="3"/>
        <v>0.8</v>
      </c>
      <c r="Q52" s="777"/>
      <c r="R52" s="777"/>
      <c r="S52" s="777"/>
      <c r="T52" s="777"/>
      <c r="U52" s="777"/>
      <c r="V52" s="777"/>
      <c r="W52" s="777"/>
      <c r="X52" s="778"/>
      <c r="Y52" s="717"/>
      <c r="Z52" s="718"/>
      <c r="AA52" s="718"/>
      <c r="AB52" s="718"/>
      <c r="AC52" s="718"/>
      <c r="AD52" s="718"/>
      <c r="AE52" s="719"/>
    </row>
    <row r="53" spans="1:31" ht="15" customHeight="1" x14ac:dyDescent="0.25">
      <c r="A53" s="125" t="s">
        <v>197</v>
      </c>
      <c r="B53" s="251">
        <f>SUM(B41:B51)</f>
        <v>0.69000000000000017</v>
      </c>
      <c r="Q53" s="210"/>
      <c r="R53" s="210"/>
      <c r="S53" s="210"/>
      <c r="T53" s="210"/>
      <c r="U53" s="210"/>
      <c r="V53" s="210"/>
      <c r="W53" s="210"/>
      <c r="X53" s="210"/>
      <c r="Y53" s="210"/>
      <c r="Z53" s="210"/>
      <c r="AA53" s="210"/>
      <c r="AB53" s="210"/>
      <c r="AC53" s="210"/>
      <c r="AD53" s="210"/>
      <c r="AE53" s="210"/>
    </row>
    <row r="54" spans="1:31" x14ac:dyDescent="0.25">
      <c r="Q54" s="210"/>
      <c r="R54" s="210"/>
      <c r="S54" s="210"/>
      <c r="T54" s="210"/>
      <c r="U54" s="210"/>
      <c r="V54" s="210"/>
      <c r="W54" s="210"/>
      <c r="X54" s="210"/>
      <c r="Y54" s="210"/>
      <c r="Z54" s="210"/>
      <c r="AA54" s="210"/>
      <c r="AB54" s="210"/>
      <c r="AC54" s="210"/>
      <c r="AD54" s="210"/>
      <c r="AE54" s="210"/>
    </row>
    <row r="55" spans="1:31" x14ac:dyDescent="0.25">
      <c r="B55" s="244"/>
      <c r="Q55" s="210"/>
      <c r="R55" s="210"/>
      <c r="S55" s="210"/>
      <c r="T55" s="210"/>
      <c r="U55" s="210"/>
      <c r="V55" s="210"/>
      <c r="W55" s="210"/>
      <c r="X55" s="210"/>
      <c r="Y55" s="210"/>
      <c r="Z55" s="210"/>
      <c r="AA55" s="210"/>
      <c r="AB55" s="210"/>
      <c r="AC55" s="210"/>
      <c r="AD55" s="210"/>
      <c r="AE55" s="210"/>
    </row>
    <row r="56" spans="1:31" x14ac:dyDescent="0.25">
      <c r="B56" s="244"/>
      <c r="Q56" s="210"/>
      <c r="R56" s="210"/>
      <c r="S56" s="210"/>
      <c r="T56" s="210"/>
      <c r="U56" s="210"/>
      <c r="V56" s="210"/>
      <c r="W56" s="210"/>
      <c r="X56" s="210"/>
      <c r="Y56" s="210"/>
      <c r="Z56" s="210"/>
      <c r="AA56" s="210"/>
      <c r="AB56" s="210"/>
      <c r="AC56" s="210"/>
      <c r="AD56" s="210"/>
      <c r="AE56" s="210"/>
    </row>
    <row r="57" spans="1:31" x14ac:dyDescent="0.25">
      <c r="C57" s="252"/>
      <c r="Q57" s="210"/>
      <c r="R57" s="210"/>
      <c r="S57" s="210"/>
      <c r="T57" s="210"/>
      <c r="U57" s="210"/>
      <c r="V57" s="210"/>
      <c r="W57" s="210"/>
      <c r="X57" s="210"/>
      <c r="Y57" s="210"/>
      <c r="Z57" s="210"/>
      <c r="AA57" s="210"/>
      <c r="AB57" s="210"/>
      <c r="AC57" s="210"/>
      <c r="AD57" s="210"/>
      <c r="AE57" s="210"/>
    </row>
    <row r="58" spans="1:31" hidden="1" x14ac:dyDescent="0.25">
      <c r="A58" s="735" t="s">
        <v>44</v>
      </c>
      <c r="B58" s="737" t="s">
        <v>167</v>
      </c>
      <c r="C58" s="724" t="s">
        <v>169</v>
      </c>
      <c r="D58" s="725"/>
      <c r="E58" s="725"/>
      <c r="F58" s="725"/>
      <c r="G58" s="725"/>
      <c r="H58" s="725"/>
      <c r="I58" s="725"/>
      <c r="J58" s="725"/>
      <c r="K58" s="725"/>
      <c r="L58" s="725"/>
      <c r="M58" s="725"/>
      <c r="N58" s="725"/>
      <c r="O58" s="725"/>
      <c r="P58" s="726"/>
      <c r="Q58" s="245"/>
      <c r="R58" s="245"/>
      <c r="S58" s="245"/>
      <c r="T58" s="245"/>
      <c r="U58" s="245"/>
      <c r="V58" s="245"/>
      <c r="W58" s="245"/>
      <c r="X58" s="245"/>
      <c r="Y58" s="245"/>
      <c r="Z58" s="245"/>
      <c r="AA58" s="245"/>
      <c r="AB58" s="245"/>
      <c r="AC58" s="245"/>
      <c r="AD58" s="245"/>
      <c r="AE58" s="210"/>
    </row>
    <row r="59" spans="1:31" ht="30" hidden="1" x14ac:dyDescent="0.25">
      <c r="A59" s="736"/>
      <c r="B59" s="738"/>
      <c r="C59" s="253" t="s">
        <v>168</v>
      </c>
      <c r="D59" s="253" t="s">
        <v>171</v>
      </c>
      <c r="E59" s="253" t="s">
        <v>172</v>
      </c>
      <c r="F59" s="253" t="s">
        <v>173</v>
      </c>
      <c r="G59" s="253" t="s">
        <v>174</v>
      </c>
      <c r="H59" s="253" t="s">
        <v>175</v>
      </c>
      <c r="I59" s="253" t="s">
        <v>176</v>
      </c>
      <c r="J59" s="253" t="s">
        <v>177</v>
      </c>
      <c r="K59" s="253" t="s">
        <v>178</v>
      </c>
      <c r="L59" s="253" t="s">
        <v>179</v>
      </c>
      <c r="M59" s="253" t="s">
        <v>180</v>
      </c>
      <c r="N59" s="253" t="s">
        <v>181</v>
      </c>
      <c r="O59" s="253" t="s">
        <v>182</v>
      </c>
      <c r="P59" s="254" t="s">
        <v>183</v>
      </c>
      <c r="Q59" s="245"/>
      <c r="R59" s="245"/>
      <c r="S59" s="245"/>
      <c r="T59" s="245"/>
      <c r="U59" s="245"/>
      <c r="V59" s="245"/>
      <c r="W59" s="245"/>
      <c r="X59" s="245"/>
      <c r="Y59" s="245"/>
      <c r="Z59" s="245"/>
      <c r="AA59" s="245"/>
      <c r="AB59" s="245"/>
      <c r="AC59" s="245"/>
      <c r="AD59" s="245"/>
      <c r="AE59" s="210"/>
    </row>
    <row r="60" spans="1:31" ht="18" hidden="1" customHeight="1" x14ac:dyDescent="0.25">
      <c r="A60" s="727" t="str">
        <f>+A41</f>
        <v>5. Diseñar dos estrategias de transformación cultural con matrices de consistencia y teorías del cambio (a partir de la línea base de investigación)</v>
      </c>
      <c r="B60" s="729">
        <f>+B41</f>
        <v>0.1</v>
      </c>
      <c r="C60" s="255" t="s">
        <v>48</v>
      </c>
      <c r="D60" s="256">
        <f>D41*$B$41/$P$41</f>
        <v>0</v>
      </c>
      <c r="E60" s="256">
        <f t="shared" ref="E60:O60" si="4">E41*$B$41/$P$41</f>
        <v>0</v>
      </c>
      <c r="F60" s="256">
        <f t="shared" si="4"/>
        <v>0</v>
      </c>
      <c r="G60" s="256">
        <f t="shared" si="4"/>
        <v>0</v>
      </c>
      <c r="H60" s="256">
        <f t="shared" si="4"/>
        <v>0</v>
      </c>
      <c r="I60" s="256">
        <f t="shared" si="4"/>
        <v>0</v>
      </c>
      <c r="J60" s="256">
        <f t="shared" si="4"/>
        <v>0</v>
      </c>
      <c r="K60" s="256">
        <f t="shared" si="4"/>
        <v>2.0000000000000004E-2</v>
      </c>
      <c r="L60" s="256">
        <f t="shared" si="4"/>
        <v>2.0000000000000004E-2</v>
      </c>
      <c r="M60" s="256">
        <f t="shared" si="4"/>
        <v>2.0000000000000004E-2</v>
      </c>
      <c r="N60" s="256">
        <f t="shared" si="4"/>
        <v>2.0000000000000004E-2</v>
      </c>
      <c r="O60" s="256">
        <f t="shared" si="4"/>
        <v>2.0000000000000004E-2</v>
      </c>
      <c r="P60" s="257">
        <f>SUM(D60:O60)</f>
        <v>0.10000000000000002</v>
      </c>
      <c r="Q60" s="245"/>
      <c r="R60" s="258"/>
      <c r="S60" s="245"/>
      <c r="T60" s="245"/>
      <c r="U60" s="245"/>
      <c r="V60" s="245"/>
      <c r="W60" s="245"/>
      <c r="X60" s="245"/>
      <c r="Y60" s="245"/>
      <c r="Z60" s="245"/>
      <c r="AA60" s="245"/>
      <c r="AB60" s="245"/>
      <c r="AC60" s="245"/>
      <c r="AD60" s="245"/>
      <c r="AE60" s="210"/>
    </row>
    <row r="61" spans="1:31" ht="18" hidden="1" customHeight="1" x14ac:dyDescent="0.25">
      <c r="A61" s="728"/>
      <c r="B61" s="730"/>
      <c r="C61" s="259" t="s">
        <v>50</v>
      </c>
      <c r="D61" s="260">
        <f>D42*$B$41/$P$41</f>
        <v>0</v>
      </c>
      <c r="E61" s="260">
        <f t="shared" ref="E61:O61" si="5">E42*$B$41/$P$41</f>
        <v>0</v>
      </c>
      <c r="F61" s="260">
        <f t="shared" si="5"/>
        <v>0</v>
      </c>
      <c r="G61" s="260">
        <f t="shared" si="5"/>
        <v>0</v>
      </c>
      <c r="H61" s="260">
        <f t="shared" si="5"/>
        <v>0</v>
      </c>
      <c r="I61" s="260">
        <f t="shared" si="5"/>
        <v>0</v>
      </c>
      <c r="J61" s="260">
        <f t="shared" si="5"/>
        <v>0</v>
      </c>
      <c r="K61" s="260">
        <f t="shared" si="5"/>
        <v>2.0000000000000004E-2</v>
      </c>
      <c r="L61" s="260">
        <f t="shared" si="5"/>
        <v>2.0000000000000004E-2</v>
      </c>
      <c r="M61" s="260">
        <f t="shared" si="5"/>
        <v>2.0000000000000004E-2</v>
      </c>
      <c r="N61" s="260">
        <f t="shared" si="5"/>
        <v>2.0000000000000004E-2</v>
      </c>
      <c r="O61" s="260">
        <f t="shared" si="5"/>
        <v>0</v>
      </c>
      <c r="P61" s="261">
        <f>SUM(D61:O61)</f>
        <v>8.0000000000000016E-2</v>
      </c>
      <c r="Q61" s="258"/>
      <c r="R61" s="258"/>
      <c r="S61" s="245"/>
      <c r="T61" s="245"/>
      <c r="U61" s="245"/>
      <c r="V61" s="245"/>
      <c r="W61" s="245"/>
      <c r="X61" s="245"/>
      <c r="Y61" s="245"/>
      <c r="Z61" s="245"/>
      <c r="AA61" s="245"/>
      <c r="AB61" s="245"/>
      <c r="AC61" s="245"/>
      <c r="AD61" s="245"/>
      <c r="AE61" s="210"/>
    </row>
    <row r="62" spans="1:31" ht="18" hidden="1" customHeight="1" x14ac:dyDescent="0.25">
      <c r="A62" s="727" t="str">
        <f t="shared" ref="A62:B62" si="6">+A43</f>
        <v>6. Ejecutar el pilotaje de las estrategias en comunidades seleccionadas, realizar el seguimiento de su implementación y ajustar las estrategias basándose en los resultados obtenidos. Desarrollar las acciones narrativas y comunicativas de cada estrategia.</v>
      </c>
      <c r="B62" s="729">
        <f t="shared" si="6"/>
        <v>0.32</v>
      </c>
      <c r="C62" s="255" t="s">
        <v>48</v>
      </c>
      <c r="D62" s="256">
        <f>D43*$B$43/$P$43</f>
        <v>0</v>
      </c>
      <c r="E62" s="256">
        <f t="shared" ref="E62:O62" si="7">E43*$B$43/$P$43</f>
        <v>0</v>
      </c>
      <c r="F62" s="256">
        <f t="shared" si="7"/>
        <v>0</v>
      </c>
      <c r="G62" s="256">
        <f t="shared" si="7"/>
        <v>0</v>
      </c>
      <c r="H62" s="256">
        <f t="shared" si="7"/>
        <v>0</v>
      </c>
      <c r="I62" s="256">
        <f t="shared" si="7"/>
        <v>0</v>
      </c>
      <c r="J62" s="256">
        <f t="shared" si="7"/>
        <v>0</v>
      </c>
      <c r="K62" s="256">
        <f t="shared" si="7"/>
        <v>0</v>
      </c>
      <c r="L62" s="256">
        <f t="shared" si="7"/>
        <v>9.6000000000000016E-2</v>
      </c>
      <c r="M62" s="256">
        <f t="shared" si="7"/>
        <v>9.6000000000000016E-2</v>
      </c>
      <c r="N62" s="256">
        <f t="shared" si="7"/>
        <v>9.6000000000000016E-2</v>
      </c>
      <c r="O62" s="256">
        <f t="shared" si="7"/>
        <v>3.2000000000000008E-2</v>
      </c>
      <c r="P62" s="257">
        <f>SUM(D62:O62)</f>
        <v>0.32000000000000006</v>
      </c>
      <c r="Q62" s="245"/>
      <c r="R62" s="258"/>
      <c r="S62" s="245"/>
      <c r="T62" s="245"/>
      <c r="U62" s="245"/>
      <c r="V62" s="245"/>
      <c r="W62" s="245"/>
      <c r="X62" s="245"/>
      <c r="Y62" s="245"/>
      <c r="Z62" s="245"/>
      <c r="AA62" s="245"/>
      <c r="AB62" s="245"/>
      <c r="AC62" s="245"/>
      <c r="AD62" s="245"/>
      <c r="AE62" s="210"/>
    </row>
    <row r="63" spans="1:31" ht="18" hidden="1" customHeight="1" x14ac:dyDescent="0.25">
      <c r="A63" s="728"/>
      <c r="B63" s="730"/>
      <c r="C63" s="259" t="s">
        <v>50</v>
      </c>
      <c r="D63" s="260">
        <f>D44*$B$43/$P$43</f>
        <v>0</v>
      </c>
      <c r="E63" s="260">
        <f t="shared" ref="E63:O63" si="8">E44*$B$43/$P$43</f>
        <v>0</v>
      </c>
      <c r="F63" s="260">
        <f t="shared" si="8"/>
        <v>0</v>
      </c>
      <c r="G63" s="260">
        <f t="shared" si="8"/>
        <v>0</v>
      </c>
      <c r="H63" s="260">
        <f t="shared" si="8"/>
        <v>0</v>
      </c>
      <c r="I63" s="260">
        <f t="shared" si="8"/>
        <v>0</v>
      </c>
      <c r="J63" s="260">
        <f t="shared" si="8"/>
        <v>0</v>
      </c>
      <c r="K63" s="260">
        <f t="shared" si="8"/>
        <v>0</v>
      </c>
      <c r="L63" s="260">
        <f t="shared" si="8"/>
        <v>9.6000000000000016E-2</v>
      </c>
      <c r="M63" s="260">
        <f t="shared" si="8"/>
        <v>9.6000000000000016E-2</v>
      </c>
      <c r="N63" s="260">
        <f t="shared" si="8"/>
        <v>9.6000000000000016E-2</v>
      </c>
      <c r="O63" s="260">
        <f t="shared" si="8"/>
        <v>0</v>
      </c>
      <c r="P63" s="261">
        <f t="shared" ref="P63:P67" si="9">SUM(D63:O63)</f>
        <v>0.28800000000000003</v>
      </c>
      <c r="Q63" s="258"/>
      <c r="R63" s="258"/>
      <c r="S63" s="245"/>
      <c r="T63" s="245"/>
      <c r="U63" s="245"/>
      <c r="V63" s="245"/>
      <c r="W63" s="245"/>
      <c r="X63" s="245"/>
      <c r="Y63" s="245"/>
      <c r="Z63" s="245"/>
      <c r="AA63" s="245"/>
      <c r="AB63" s="245"/>
      <c r="AC63" s="245"/>
      <c r="AD63" s="245"/>
      <c r="AE63" s="210"/>
    </row>
    <row r="64" spans="1:31" ht="18" hidden="1" customHeight="1" x14ac:dyDescent="0.25">
      <c r="A64" s="727" t="str">
        <f t="shared" ref="A64:B64" si="10">+A45</f>
        <v>7. Elaborar documentos de formulación técnica que detallen el desarrollo y los resultados de las estrategias de transformación cultural. Incluir un balance de las acciones adelantadas y su impacto.</v>
      </c>
      <c r="B64" s="729">
        <f t="shared" si="10"/>
        <v>0.18</v>
      </c>
      <c r="C64" s="255" t="s">
        <v>48</v>
      </c>
      <c r="D64" s="256">
        <f>D45*$B$45/$P$45</f>
        <v>0</v>
      </c>
      <c r="E64" s="256">
        <f t="shared" ref="E64:O64" si="11">E45*$B$45/$P$45</f>
        <v>0</v>
      </c>
      <c r="F64" s="256">
        <f t="shared" si="11"/>
        <v>0</v>
      </c>
      <c r="G64" s="256">
        <f t="shared" si="11"/>
        <v>0</v>
      </c>
      <c r="H64" s="256">
        <f t="shared" si="11"/>
        <v>0</v>
      </c>
      <c r="I64" s="256">
        <f t="shared" si="11"/>
        <v>0</v>
      </c>
      <c r="J64" s="256">
        <f t="shared" si="11"/>
        <v>0</v>
      </c>
      <c r="K64" s="256">
        <f t="shared" si="11"/>
        <v>0</v>
      </c>
      <c r="L64" s="256">
        <f t="shared" si="11"/>
        <v>0</v>
      </c>
      <c r="M64" s="256">
        <f t="shared" si="11"/>
        <v>5.3999999999999999E-2</v>
      </c>
      <c r="N64" s="256">
        <f t="shared" si="11"/>
        <v>5.3999999999999999E-2</v>
      </c>
      <c r="O64" s="256">
        <f t="shared" si="11"/>
        <v>7.1999999999999995E-2</v>
      </c>
      <c r="P64" s="257">
        <f>SUM(D64:O64)</f>
        <v>0.18</v>
      </c>
      <c r="Q64" s="245"/>
      <c r="R64" s="258"/>
      <c r="S64" s="245"/>
      <c r="T64" s="245"/>
      <c r="U64" s="245"/>
      <c r="V64" s="245"/>
      <c r="W64" s="245"/>
      <c r="X64" s="245"/>
      <c r="Y64" s="245"/>
      <c r="Z64" s="245"/>
      <c r="AA64" s="245"/>
      <c r="AB64" s="245"/>
      <c r="AC64" s="245"/>
      <c r="AD64" s="245"/>
      <c r="AE64" s="210"/>
    </row>
    <row r="65" spans="1:31" ht="18" hidden="1" customHeight="1" x14ac:dyDescent="0.25">
      <c r="A65" s="728"/>
      <c r="B65" s="730"/>
      <c r="C65" s="259" t="s">
        <v>50</v>
      </c>
      <c r="D65" s="260">
        <f>D46*$B$45/$P$45</f>
        <v>0</v>
      </c>
      <c r="E65" s="260">
        <f t="shared" ref="E65:O65" si="12">E46*$B$45/$P$45</f>
        <v>0</v>
      </c>
      <c r="F65" s="260">
        <f t="shared" si="12"/>
        <v>0</v>
      </c>
      <c r="G65" s="260">
        <f t="shared" si="12"/>
        <v>0</v>
      </c>
      <c r="H65" s="260">
        <f t="shared" si="12"/>
        <v>0</v>
      </c>
      <c r="I65" s="260">
        <f t="shared" si="12"/>
        <v>0</v>
      </c>
      <c r="J65" s="260">
        <f t="shared" si="12"/>
        <v>0</v>
      </c>
      <c r="K65" s="260">
        <f t="shared" si="12"/>
        <v>0</v>
      </c>
      <c r="L65" s="260">
        <f t="shared" si="12"/>
        <v>0</v>
      </c>
      <c r="M65" s="260">
        <f t="shared" si="12"/>
        <v>5.3999999999999999E-2</v>
      </c>
      <c r="N65" s="260">
        <f t="shared" si="12"/>
        <v>5.3999999999999999E-2</v>
      </c>
      <c r="O65" s="260">
        <f t="shared" si="12"/>
        <v>0</v>
      </c>
      <c r="P65" s="261">
        <f t="shared" si="9"/>
        <v>0.108</v>
      </c>
      <c r="Q65" s="258"/>
      <c r="R65" s="258"/>
      <c r="S65" s="245"/>
      <c r="T65" s="245"/>
      <c r="U65" s="245"/>
      <c r="V65" s="245"/>
      <c r="W65" s="245"/>
      <c r="X65" s="245"/>
      <c r="Y65" s="245"/>
      <c r="Z65" s="245"/>
      <c r="AA65" s="245"/>
      <c r="AB65" s="245"/>
      <c r="AC65" s="245"/>
      <c r="AD65" s="245"/>
      <c r="AE65" s="210"/>
    </row>
    <row r="66" spans="1:31" ht="18" hidden="1" customHeight="1" x14ac:dyDescent="0.25">
      <c r="A66" s="727" t="str">
        <f t="shared" ref="A66:B66" si="13">+A47</f>
        <v>8. Evaluar de manera integral las estrategias implementadas, identificar áreas de mejora y planificar ajustes para futuras intervenciones.</v>
      </c>
      <c r="B66" s="729">
        <f t="shared" si="13"/>
        <v>0.05</v>
      </c>
      <c r="C66" s="255" t="s">
        <v>48</v>
      </c>
      <c r="D66" s="256">
        <f>D47*$B$47/$P$47</f>
        <v>0</v>
      </c>
      <c r="E66" s="256">
        <f t="shared" ref="E66:O66" si="14">E47*$B$47/$P$47</f>
        <v>0</v>
      </c>
      <c r="F66" s="256">
        <f t="shared" si="14"/>
        <v>0</v>
      </c>
      <c r="G66" s="256">
        <f t="shared" si="14"/>
        <v>0</v>
      </c>
      <c r="H66" s="256">
        <f t="shared" si="14"/>
        <v>0</v>
      </c>
      <c r="I66" s="256">
        <f t="shared" si="14"/>
        <v>0</v>
      </c>
      <c r="J66" s="256">
        <f t="shared" si="14"/>
        <v>0</v>
      </c>
      <c r="K66" s="256">
        <f t="shared" si="14"/>
        <v>0</v>
      </c>
      <c r="L66" s="256">
        <f t="shared" si="14"/>
        <v>0</v>
      </c>
      <c r="M66" s="256">
        <f t="shared" si="14"/>
        <v>0</v>
      </c>
      <c r="N66" s="256">
        <f t="shared" si="14"/>
        <v>2.5000000000000001E-2</v>
      </c>
      <c r="O66" s="256">
        <f t="shared" si="14"/>
        <v>2.5000000000000001E-2</v>
      </c>
      <c r="P66" s="257">
        <f>SUM(D66:O66)</f>
        <v>0.05</v>
      </c>
      <c r="Q66" s="245"/>
      <c r="R66" s="258"/>
      <c r="S66" s="245"/>
      <c r="T66" s="245"/>
      <c r="U66" s="245"/>
      <c r="V66" s="245"/>
      <c r="W66" s="245"/>
      <c r="X66" s="245"/>
      <c r="Y66" s="245"/>
      <c r="Z66" s="245"/>
      <c r="AA66" s="245"/>
      <c r="AB66" s="245"/>
      <c r="AC66" s="245"/>
      <c r="AD66" s="245"/>
      <c r="AE66" s="210"/>
    </row>
    <row r="67" spans="1:31" ht="18" hidden="1" customHeight="1" thickBot="1" x14ac:dyDescent="0.3">
      <c r="A67" s="728"/>
      <c r="B67" s="730"/>
      <c r="C67" s="262" t="s">
        <v>50</v>
      </c>
      <c r="D67" s="260">
        <f>D48*$B$47/$P$47</f>
        <v>0</v>
      </c>
      <c r="E67" s="260">
        <f t="shared" ref="E67:O67" si="15">E48*$B$47/$P$47</f>
        <v>0</v>
      </c>
      <c r="F67" s="260">
        <f t="shared" si="15"/>
        <v>0</v>
      </c>
      <c r="G67" s="260">
        <f t="shared" si="15"/>
        <v>0</v>
      </c>
      <c r="H67" s="260">
        <f t="shared" si="15"/>
        <v>0</v>
      </c>
      <c r="I67" s="260">
        <f t="shared" si="15"/>
        <v>0</v>
      </c>
      <c r="J67" s="260">
        <f t="shared" si="15"/>
        <v>0</v>
      </c>
      <c r="K67" s="260">
        <f t="shared" si="15"/>
        <v>0</v>
      </c>
      <c r="L67" s="260">
        <f t="shared" si="15"/>
        <v>0</v>
      </c>
      <c r="M67" s="260">
        <f t="shared" si="15"/>
        <v>0</v>
      </c>
      <c r="N67" s="260">
        <f t="shared" si="15"/>
        <v>2.5000000000000001E-2</v>
      </c>
      <c r="O67" s="260">
        <f t="shared" si="15"/>
        <v>0</v>
      </c>
      <c r="P67" s="261">
        <f t="shared" si="9"/>
        <v>2.5000000000000001E-2</v>
      </c>
      <c r="Q67" s="258"/>
      <c r="R67" s="258"/>
      <c r="S67" s="245"/>
      <c r="T67" s="245"/>
      <c r="U67" s="245"/>
      <c r="V67" s="245"/>
      <c r="W67" s="245"/>
      <c r="X67" s="245"/>
      <c r="Y67" s="245"/>
      <c r="Z67" s="245"/>
      <c r="AA67" s="245"/>
      <c r="AB67" s="245"/>
      <c r="AC67" s="245"/>
      <c r="AD67" s="245"/>
      <c r="AE67" s="210"/>
    </row>
    <row r="68" spans="1:31" ht="18" hidden="1" customHeight="1" x14ac:dyDescent="0.25">
      <c r="A68" s="727" t="str">
        <f t="shared" ref="A68:B68" si="16">+A49</f>
        <v>9. Realizar las acciones pertinentes para el desarrollo de la secretaría técnica del Consejo Consultivo de Mujeres de Bogotá, Mesa Coordinadora, Espacio Autónomo, Espacio Ampliado, según las funciones establecidas en el Decreto 364 de 2021.</v>
      </c>
      <c r="B68" s="729">
        <f t="shared" si="16"/>
        <v>0.02</v>
      </c>
      <c r="C68" s="255" t="s">
        <v>48</v>
      </c>
      <c r="D68" s="256">
        <f>D49*$B$49/$P$49</f>
        <v>0</v>
      </c>
      <c r="E68" s="256">
        <f t="shared" ref="E68:O68" si="17">E49*$B$49/$P$49</f>
        <v>0</v>
      </c>
      <c r="F68" s="256">
        <f t="shared" si="17"/>
        <v>0</v>
      </c>
      <c r="G68" s="256">
        <f t="shared" si="17"/>
        <v>0</v>
      </c>
      <c r="H68" s="256">
        <f t="shared" si="17"/>
        <v>0</v>
      </c>
      <c r="I68" s="256">
        <f t="shared" si="17"/>
        <v>0</v>
      </c>
      <c r="J68" s="256">
        <f t="shared" si="17"/>
        <v>0</v>
      </c>
      <c r="K68" s="256">
        <f t="shared" si="17"/>
        <v>4.0000000000000001E-3</v>
      </c>
      <c r="L68" s="256">
        <f t="shared" si="17"/>
        <v>4.0000000000000001E-3</v>
      </c>
      <c r="M68" s="256">
        <f t="shared" si="17"/>
        <v>4.0000000000000001E-3</v>
      </c>
      <c r="N68" s="256">
        <f t="shared" si="17"/>
        <v>4.0000000000000001E-3</v>
      </c>
      <c r="O68" s="256">
        <f t="shared" si="17"/>
        <v>4.0000000000000001E-3</v>
      </c>
      <c r="P68" s="257">
        <f>SUM(D68:O68)</f>
        <v>0.02</v>
      </c>
      <c r="Q68" s="245"/>
      <c r="R68" s="258"/>
      <c r="S68" s="245"/>
      <c r="T68" s="245"/>
      <c r="U68" s="245"/>
      <c r="V68" s="245"/>
      <c r="W68" s="245"/>
      <c r="X68" s="245"/>
      <c r="Y68" s="245"/>
      <c r="Z68" s="245"/>
      <c r="AA68" s="245"/>
      <c r="AB68" s="245"/>
      <c r="AC68" s="245"/>
      <c r="AD68" s="245"/>
      <c r="AE68" s="210"/>
    </row>
    <row r="69" spans="1:31" ht="18" hidden="1" customHeight="1" x14ac:dyDescent="0.25">
      <c r="A69" s="728"/>
      <c r="B69" s="730"/>
      <c r="C69" s="259" t="s">
        <v>50</v>
      </c>
      <c r="D69" s="260">
        <f>D50*$B$49/$P$49</f>
        <v>0</v>
      </c>
      <c r="E69" s="260">
        <f t="shared" ref="E69:O69" si="18">E50*$B$49/$P$49</f>
        <v>0</v>
      </c>
      <c r="F69" s="260">
        <f t="shared" si="18"/>
        <v>0</v>
      </c>
      <c r="G69" s="260">
        <f t="shared" si="18"/>
        <v>0</v>
      </c>
      <c r="H69" s="260">
        <f t="shared" si="18"/>
        <v>0</v>
      </c>
      <c r="I69" s="260">
        <f t="shared" si="18"/>
        <v>0</v>
      </c>
      <c r="J69" s="260">
        <f t="shared" si="18"/>
        <v>0</v>
      </c>
      <c r="K69" s="260">
        <f t="shared" si="18"/>
        <v>4.0000000000000001E-3</v>
      </c>
      <c r="L69" s="260">
        <f t="shared" si="18"/>
        <v>4.0000000000000001E-3</v>
      </c>
      <c r="M69" s="260">
        <f t="shared" si="18"/>
        <v>4.0000000000000001E-3</v>
      </c>
      <c r="N69" s="260">
        <f t="shared" si="18"/>
        <v>4.0000000000000001E-3</v>
      </c>
      <c r="O69" s="260">
        <f t="shared" si="18"/>
        <v>0</v>
      </c>
      <c r="P69" s="261">
        <f>SUM(D69:O69)</f>
        <v>1.6E-2</v>
      </c>
      <c r="Q69" s="258"/>
      <c r="R69" s="258"/>
      <c r="S69" s="245"/>
      <c r="T69" s="245"/>
      <c r="U69" s="245"/>
      <c r="V69" s="245"/>
      <c r="W69" s="245"/>
      <c r="X69" s="245"/>
      <c r="Y69" s="245"/>
      <c r="Z69" s="245"/>
      <c r="AA69" s="245"/>
      <c r="AB69" s="245"/>
      <c r="AC69" s="245"/>
      <c r="AD69" s="245"/>
      <c r="AE69" s="210"/>
    </row>
    <row r="70" spans="1:31" ht="18" hidden="1" customHeight="1" x14ac:dyDescent="0.25">
      <c r="A70" s="727" t="str">
        <f t="shared" ref="A70:B70" si="19">+A51</f>
        <v>10. Acompañar técnicamente la transversalización del enfoque de género en el Concejo de Bogotá, con énfasis en las bancadas de mujeres de este órgano</v>
      </c>
      <c r="B70" s="729">
        <f t="shared" si="19"/>
        <v>0.02</v>
      </c>
      <c r="C70" s="255" t="s">
        <v>48</v>
      </c>
      <c r="D70" s="256">
        <f>D51*$B$51/$P$51</f>
        <v>0</v>
      </c>
      <c r="E70" s="256">
        <f t="shared" ref="E70:O70" si="20">E51*$B$51/$P$51</f>
        <v>0</v>
      </c>
      <c r="F70" s="256">
        <f t="shared" si="20"/>
        <v>0</v>
      </c>
      <c r="G70" s="256">
        <f t="shared" si="20"/>
        <v>0</v>
      </c>
      <c r="H70" s="256">
        <f t="shared" si="20"/>
        <v>0</v>
      </c>
      <c r="I70" s="256">
        <f t="shared" si="20"/>
        <v>0</v>
      </c>
      <c r="J70" s="256">
        <f t="shared" si="20"/>
        <v>0</v>
      </c>
      <c r="K70" s="256">
        <f t="shared" si="20"/>
        <v>4.0000000000000001E-3</v>
      </c>
      <c r="L70" s="256">
        <f t="shared" si="20"/>
        <v>4.0000000000000001E-3</v>
      </c>
      <c r="M70" s="256">
        <f t="shared" si="20"/>
        <v>4.0000000000000001E-3</v>
      </c>
      <c r="N70" s="256">
        <f t="shared" si="20"/>
        <v>4.0000000000000001E-3</v>
      </c>
      <c r="O70" s="256">
        <f t="shared" si="20"/>
        <v>4.0000000000000001E-3</v>
      </c>
      <c r="P70" s="257">
        <f>SUM(D70:O70)</f>
        <v>0.02</v>
      </c>
      <c r="Q70" s="245"/>
      <c r="R70" s="258"/>
      <c r="S70" s="245"/>
      <c r="T70" s="245"/>
      <c r="U70" s="245"/>
      <c r="V70" s="245"/>
      <c r="W70" s="245"/>
      <c r="X70" s="245"/>
      <c r="Y70" s="245"/>
      <c r="Z70" s="245"/>
      <c r="AA70" s="245"/>
      <c r="AB70" s="245"/>
      <c r="AC70" s="245"/>
      <c r="AD70" s="245"/>
      <c r="AE70" s="210"/>
    </row>
    <row r="71" spans="1:31" ht="18" hidden="1" customHeight="1" x14ac:dyDescent="0.25">
      <c r="A71" s="728"/>
      <c r="B71" s="730"/>
      <c r="C71" s="259" t="s">
        <v>50</v>
      </c>
      <c r="D71" s="260">
        <f>D52*$B$51/$P$51</f>
        <v>0</v>
      </c>
      <c r="E71" s="260">
        <f t="shared" ref="E71:O71" si="21">E52*$B$51/$P$51</f>
        <v>0</v>
      </c>
      <c r="F71" s="260">
        <f t="shared" si="21"/>
        <v>0</v>
      </c>
      <c r="G71" s="260">
        <f t="shared" si="21"/>
        <v>0</v>
      </c>
      <c r="H71" s="260">
        <f t="shared" si="21"/>
        <v>0</v>
      </c>
      <c r="I71" s="260">
        <f t="shared" si="21"/>
        <v>0</v>
      </c>
      <c r="J71" s="260">
        <f t="shared" si="21"/>
        <v>0</v>
      </c>
      <c r="K71" s="260">
        <f t="shared" si="21"/>
        <v>4.0000000000000001E-3</v>
      </c>
      <c r="L71" s="260">
        <f t="shared" si="21"/>
        <v>4.0000000000000001E-3</v>
      </c>
      <c r="M71" s="260">
        <f t="shared" si="21"/>
        <v>4.0000000000000001E-3</v>
      </c>
      <c r="N71" s="260">
        <f t="shared" si="21"/>
        <v>4.0000000000000001E-3</v>
      </c>
      <c r="O71" s="260">
        <f t="shared" si="21"/>
        <v>0</v>
      </c>
      <c r="P71" s="261">
        <f t="shared" ref="P71" si="22">SUM(D71:O71)</f>
        <v>1.6E-2</v>
      </c>
      <c r="Q71" s="258"/>
      <c r="R71" s="258"/>
      <c r="S71" s="245"/>
      <c r="T71" s="245"/>
      <c r="U71" s="245"/>
      <c r="V71" s="245"/>
      <c r="W71" s="245"/>
      <c r="X71" s="245"/>
      <c r="Y71" s="245"/>
      <c r="Z71" s="245"/>
      <c r="AA71" s="245"/>
      <c r="AB71" s="245"/>
      <c r="AC71" s="245"/>
      <c r="AD71" s="245"/>
      <c r="AE71" s="210"/>
    </row>
    <row r="72" spans="1:31" ht="15" hidden="1" x14ac:dyDescent="0.25">
      <c r="A72" s="732"/>
      <c r="B72" s="731"/>
      <c r="C72" s="182"/>
      <c r="D72" s="256"/>
      <c r="E72" s="256"/>
      <c r="F72" s="256"/>
      <c r="G72" s="256"/>
      <c r="H72" s="256"/>
      <c r="I72" s="256"/>
      <c r="J72" s="256"/>
      <c r="K72" s="256"/>
      <c r="L72" s="256"/>
      <c r="M72" s="256"/>
      <c r="N72" s="256"/>
      <c r="O72" s="256"/>
      <c r="P72" s="263"/>
      <c r="Q72" s="245"/>
      <c r="R72" s="258"/>
      <c r="S72" s="245"/>
      <c r="T72" s="245"/>
      <c r="U72" s="245"/>
      <c r="V72" s="245"/>
      <c r="W72" s="245"/>
      <c r="X72" s="245"/>
      <c r="Y72" s="245"/>
      <c r="Z72" s="245"/>
      <c r="AA72" s="245"/>
      <c r="AB72" s="245"/>
      <c r="AC72" s="245"/>
      <c r="AD72" s="245"/>
      <c r="AE72" s="210"/>
    </row>
    <row r="73" spans="1:31" ht="15" hidden="1" x14ac:dyDescent="0.25">
      <c r="A73" s="732"/>
      <c r="B73" s="731"/>
      <c r="C73" s="182"/>
      <c r="D73" s="264"/>
      <c r="E73" s="264"/>
      <c r="F73" s="264"/>
      <c r="G73" s="264"/>
      <c r="H73" s="264"/>
      <c r="I73" s="264"/>
      <c r="J73" s="264"/>
      <c r="K73" s="264"/>
      <c r="L73" s="264"/>
      <c r="M73" s="264"/>
      <c r="N73" s="264"/>
      <c r="O73" s="264"/>
      <c r="P73" s="263"/>
      <c r="Q73" s="258"/>
      <c r="R73" s="258"/>
      <c r="S73" s="245"/>
      <c r="T73" s="245"/>
      <c r="U73" s="245"/>
      <c r="V73" s="245"/>
      <c r="W73" s="245"/>
      <c r="X73" s="245"/>
      <c r="Y73" s="245"/>
      <c r="Z73" s="245"/>
      <c r="AA73" s="245"/>
      <c r="AB73" s="245"/>
      <c r="AC73" s="245"/>
      <c r="AD73" s="245"/>
      <c r="AE73" s="210"/>
    </row>
    <row r="74" spans="1:31" ht="15" hidden="1" x14ac:dyDescent="0.25">
      <c r="A74" s="732"/>
      <c r="B74" s="731"/>
      <c r="C74" s="182"/>
      <c r="D74" s="256"/>
      <c r="E74" s="256"/>
      <c r="F74" s="256"/>
      <c r="G74" s="256"/>
      <c r="H74" s="256"/>
      <c r="I74" s="256"/>
      <c r="J74" s="256"/>
      <c r="K74" s="256"/>
      <c r="L74" s="256"/>
      <c r="M74" s="256"/>
      <c r="N74" s="256"/>
      <c r="O74" s="256"/>
      <c r="P74" s="263"/>
      <c r="Q74" s="245"/>
      <c r="R74" s="258"/>
      <c r="S74" s="245"/>
      <c r="T74" s="245"/>
      <c r="U74" s="245"/>
      <c r="V74" s="245"/>
      <c r="W74" s="245"/>
      <c r="X74" s="245"/>
      <c r="Y74" s="245"/>
      <c r="Z74" s="245"/>
      <c r="AA74" s="245"/>
      <c r="AB74" s="245"/>
      <c r="AC74" s="245"/>
      <c r="AD74" s="245"/>
      <c r="AE74" s="210"/>
    </row>
    <row r="75" spans="1:31" ht="15" hidden="1" x14ac:dyDescent="0.25">
      <c r="A75" s="732"/>
      <c r="B75" s="731"/>
      <c r="C75" s="182"/>
      <c r="D75" s="264"/>
      <c r="E75" s="264"/>
      <c r="F75" s="264"/>
      <c r="G75" s="264"/>
      <c r="H75" s="264"/>
      <c r="I75" s="264"/>
      <c r="J75" s="264"/>
      <c r="K75" s="264"/>
      <c r="L75" s="264"/>
      <c r="M75" s="264"/>
      <c r="N75" s="264"/>
      <c r="O75" s="264"/>
      <c r="P75" s="263"/>
      <c r="Q75" s="258"/>
      <c r="R75" s="258"/>
      <c r="S75" s="245"/>
      <c r="T75" s="245"/>
      <c r="U75" s="245"/>
      <c r="V75" s="245"/>
      <c r="W75" s="245"/>
      <c r="X75" s="245"/>
      <c r="Y75" s="245"/>
      <c r="Z75" s="245"/>
      <c r="AA75" s="245"/>
      <c r="AB75" s="245"/>
      <c r="AC75" s="245"/>
      <c r="AD75" s="245"/>
      <c r="AE75" s="210"/>
    </row>
    <row r="76" spans="1:31" ht="15" hidden="1" x14ac:dyDescent="0.25">
      <c r="A76" s="732"/>
      <c r="B76" s="731"/>
      <c r="C76" s="182"/>
      <c r="D76" s="256"/>
      <c r="E76" s="256"/>
      <c r="F76" s="256"/>
      <c r="G76" s="256"/>
      <c r="H76" s="256"/>
      <c r="I76" s="256"/>
      <c r="J76" s="256"/>
      <c r="K76" s="256"/>
      <c r="L76" s="256"/>
      <c r="M76" s="256"/>
      <c r="N76" s="256"/>
      <c r="O76" s="256"/>
      <c r="P76" s="263"/>
      <c r="Q76" s="245"/>
      <c r="R76" s="258"/>
      <c r="S76" s="245"/>
      <c r="T76" s="245"/>
      <c r="U76" s="245"/>
      <c r="V76" s="245"/>
      <c r="W76" s="245"/>
      <c r="X76" s="245"/>
      <c r="Y76" s="245"/>
      <c r="Z76" s="245"/>
      <c r="AA76" s="245"/>
      <c r="AB76" s="245"/>
      <c r="AC76" s="245"/>
      <c r="AD76" s="245"/>
      <c r="AE76" s="210"/>
    </row>
    <row r="77" spans="1:31" ht="15" hidden="1" x14ac:dyDescent="0.25">
      <c r="A77" s="732"/>
      <c r="B77" s="731"/>
      <c r="C77" s="182"/>
      <c r="D77" s="264"/>
      <c r="E77" s="264"/>
      <c r="F77" s="264"/>
      <c r="G77" s="264"/>
      <c r="H77" s="264"/>
      <c r="I77" s="264"/>
      <c r="J77" s="264"/>
      <c r="K77" s="264"/>
      <c r="L77" s="264"/>
      <c r="M77" s="264"/>
      <c r="N77" s="264"/>
      <c r="O77" s="264"/>
      <c r="P77" s="263"/>
      <c r="Q77" s="258"/>
      <c r="R77" s="258"/>
      <c r="S77" s="245"/>
      <c r="T77" s="245"/>
      <c r="U77" s="245"/>
      <c r="V77" s="245"/>
      <c r="W77" s="245"/>
      <c r="X77" s="245"/>
      <c r="Y77" s="245"/>
      <c r="Z77" s="245"/>
      <c r="AA77" s="245"/>
      <c r="AB77" s="245"/>
      <c r="AC77" s="245"/>
      <c r="AD77" s="245"/>
      <c r="AE77" s="210"/>
    </row>
    <row r="78" spans="1:31" ht="15" hidden="1" x14ac:dyDescent="0.25">
      <c r="A78" s="245"/>
      <c r="C78" s="265"/>
      <c r="D78" s="266">
        <f>+D61+D63+D65+D67+D69+D71</f>
        <v>0</v>
      </c>
      <c r="E78" s="266">
        <f t="shared" ref="E78:P78" si="23">+E61+E63+E65+E67+E69+E71</f>
        <v>0</v>
      </c>
      <c r="F78" s="266">
        <f t="shared" si="23"/>
        <v>0</v>
      </c>
      <c r="G78" s="266">
        <f t="shared" si="23"/>
        <v>0</v>
      </c>
      <c r="H78" s="266">
        <f t="shared" si="23"/>
        <v>0</v>
      </c>
      <c r="I78" s="266">
        <f t="shared" si="23"/>
        <v>0</v>
      </c>
      <c r="J78" s="266">
        <f t="shared" si="23"/>
        <v>0</v>
      </c>
      <c r="K78" s="266">
        <f t="shared" si="23"/>
        <v>2.8000000000000004E-2</v>
      </c>
      <c r="L78" s="266">
        <f t="shared" si="23"/>
        <v>0.12400000000000003</v>
      </c>
      <c r="M78" s="266">
        <f t="shared" si="23"/>
        <v>0.17800000000000002</v>
      </c>
      <c r="N78" s="266">
        <f t="shared" si="23"/>
        <v>0.20300000000000001</v>
      </c>
      <c r="O78" s="266">
        <f t="shared" si="23"/>
        <v>0</v>
      </c>
      <c r="P78" s="266">
        <f t="shared" si="23"/>
        <v>0.53300000000000003</v>
      </c>
      <c r="Q78" s="245"/>
      <c r="R78" s="258"/>
      <c r="S78" s="245"/>
      <c r="T78" s="245"/>
      <c r="U78" s="245"/>
      <c r="V78" s="245"/>
      <c r="W78" s="245"/>
      <c r="X78" s="245"/>
      <c r="Y78" s="245"/>
      <c r="Z78" s="245"/>
      <c r="AA78" s="245"/>
      <c r="AB78" s="245"/>
      <c r="AC78" s="245"/>
      <c r="AD78" s="245"/>
      <c r="AE78" s="210"/>
    </row>
    <row r="79" spans="1:31" ht="15" hidden="1" x14ac:dyDescent="0.25">
      <c r="A79" s="245"/>
      <c r="C79" s="267" t="s">
        <v>50</v>
      </c>
      <c r="D79" s="268">
        <f>D78*1/$B$35</f>
        <v>0</v>
      </c>
      <c r="E79" s="268">
        <f t="shared" ref="E79:O79" si="24">E78*1/$B$35</f>
        <v>0</v>
      </c>
      <c r="F79" s="268">
        <f t="shared" si="24"/>
        <v>0</v>
      </c>
      <c r="G79" s="268">
        <f t="shared" si="24"/>
        <v>0</v>
      </c>
      <c r="H79" s="268">
        <f t="shared" si="24"/>
        <v>0</v>
      </c>
      <c r="I79" s="268">
        <f t="shared" si="24"/>
        <v>0</v>
      </c>
      <c r="J79" s="268">
        <f t="shared" si="24"/>
        <v>0</v>
      </c>
      <c r="K79" s="268">
        <f t="shared" si="24"/>
        <v>4.0579710144927547E-2</v>
      </c>
      <c r="L79" s="268">
        <f t="shared" si="24"/>
        <v>0.17971014492753629</v>
      </c>
      <c r="M79" s="268">
        <f t="shared" si="24"/>
        <v>0.25797101449275367</v>
      </c>
      <c r="N79" s="268">
        <f t="shared" si="24"/>
        <v>0.29420289855072468</v>
      </c>
      <c r="O79" s="268">
        <f t="shared" si="24"/>
        <v>0</v>
      </c>
      <c r="P79" s="269">
        <f>SUM(D79:O79)</f>
        <v>0.7724637681159422</v>
      </c>
      <c r="Q79" s="245"/>
      <c r="R79" s="245"/>
      <c r="S79" s="245"/>
      <c r="T79" s="245"/>
      <c r="U79" s="245"/>
      <c r="V79" s="245"/>
      <c r="W79" s="245"/>
      <c r="X79" s="245"/>
      <c r="Y79" s="245"/>
      <c r="Z79" s="245"/>
      <c r="AA79" s="245"/>
      <c r="AB79" s="245"/>
      <c r="AC79" s="245"/>
      <c r="AD79" s="245"/>
      <c r="AE79" s="210"/>
    </row>
    <row r="80" spans="1:31" hidden="1" x14ac:dyDescent="0.25">
      <c r="A80" s="245"/>
      <c r="Q80" s="245"/>
      <c r="R80" s="245"/>
      <c r="S80" s="245"/>
      <c r="T80" s="245"/>
      <c r="U80" s="245"/>
      <c r="V80" s="245"/>
      <c r="W80" s="245"/>
      <c r="X80" s="245"/>
      <c r="Y80" s="245"/>
      <c r="Z80" s="245"/>
      <c r="AA80" s="245"/>
      <c r="AB80" s="245"/>
      <c r="AC80" s="245"/>
      <c r="AD80" s="245"/>
      <c r="AE80" s="210"/>
    </row>
    <row r="81" spans="1:31" ht="15" hidden="1" x14ac:dyDescent="0.25">
      <c r="A81" s="245"/>
      <c r="D81" s="266">
        <f>+D60+D62+D64+D66+D68+D70</f>
        <v>0</v>
      </c>
      <c r="E81" s="266">
        <f t="shared" ref="E81:P81" si="25">+E60+E62+E64+E66+E68+E70</f>
        <v>0</v>
      </c>
      <c r="F81" s="266">
        <f t="shared" si="25"/>
        <v>0</v>
      </c>
      <c r="G81" s="266">
        <f t="shared" si="25"/>
        <v>0</v>
      </c>
      <c r="H81" s="266">
        <f t="shared" si="25"/>
        <v>0</v>
      </c>
      <c r="I81" s="266">
        <f t="shared" si="25"/>
        <v>0</v>
      </c>
      <c r="J81" s="266">
        <f t="shared" si="25"/>
        <v>0</v>
      </c>
      <c r="K81" s="266">
        <f t="shared" si="25"/>
        <v>2.8000000000000004E-2</v>
      </c>
      <c r="L81" s="266">
        <f t="shared" si="25"/>
        <v>0.12400000000000003</v>
      </c>
      <c r="M81" s="266">
        <f t="shared" si="25"/>
        <v>0.17800000000000002</v>
      </c>
      <c r="N81" s="266">
        <f t="shared" si="25"/>
        <v>0.20300000000000001</v>
      </c>
      <c r="O81" s="266">
        <f t="shared" si="25"/>
        <v>0.157</v>
      </c>
      <c r="P81" s="266">
        <f t="shared" si="25"/>
        <v>0.69000000000000017</v>
      </c>
      <c r="Q81" s="245"/>
      <c r="R81" s="245"/>
      <c r="S81" s="245"/>
      <c r="T81" s="245"/>
      <c r="U81" s="245"/>
      <c r="V81" s="245"/>
      <c r="W81" s="245"/>
      <c r="X81" s="245"/>
      <c r="Y81" s="245"/>
      <c r="Z81" s="245"/>
      <c r="AA81" s="245"/>
      <c r="AB81" s="245"/>
      <c r="AC81" s="245"/>
      <c r="AD81" s="245"/>
      <c r="AE81" s="210"/>
    </row>
    <row r="82" spans="1:31" ht="15" hidden="1" x14ac:dyDescent="0.25">
      <c r="A82" s="245"/>
      <c r="C82" s="267" t="s">
        <v>48</v>
      </c>
      <c r="D82" s="268">
        <f>D81*1/$B$35</f>
        <v>0</v>
      </c>
      <c r="E82" s="268">
        <f t="shared" ref="E82:O82" si="26">E81*1/$B$35</f>
        <v>0</v>
      </c>
      <c r="F82" s="268">
        <f t="shared" si="26"/>
        <v>0</v>
      </c>
      <c r="G82" s="268">
        <f t="shared" si="26"/>
        <v>0</v>
      </c>
      <c r="H82" s="268">
        <f t="shared" si="26"/>
        <v>0</v>
      </c>
      <c r="I82" s="268">
        <f t="shared" si="26"/>
        <v>0</v>
      </c>
      <c r="J82" s="268">
        <f t="shared" si="26"/>
        <v>0</v>
      </c>
      <c r="K82" s="268">
        <f t="shared" si="26"/>
        <v>4.0579710144927547E-2</v>
      </c>
      <c r="L82" s="268">
        <f t="shared" si="26"/>
        <v>0.17971014492753629</v>
      </c>
      <c r="M82" s="268">
        <f t="shared" si="26"/>
        <v>0.25797101449275367</v>
      </c>
      <c r="N82" s="268">
        <f t="shared" si="26"/>
        <v>0.29420289855072468</v>
      </c>
      <c r="O82" s="268">
        <f t="shared" si="26"/>
        <v>0.227536231884058</v>
      </c>
      <c r="P82" s="269">
        <f>SUM(D82:O82)</f>
        <v>1.0000000000000002</v>
      </c>
      <c r="Q82" s="245"/>
      <c r="R82" s="245"/>
      <c r="S82" s="245"/>
      <c r="T82" s="245"/>
      <c r="U82" s="245"/>
      <c r="V82" s="245"/>
      <c r="W82" s="245"/>
      <c r="X82" s="245"/>
      <c r="Y82" s="245"/>
      <c r="Z82" s="245"/>
      <c r="AA82" s="245"/>
      <c r="AB82" s="245"/>
      <c r="AC82" s="245"/>
      <c r="AD82" s="245"/>
      <c r="AE82" s="210"/>
    </row>
    <row r="83" spans="1:31" x14ac:dyDescent="0.25">
      <c r="Q83" s="210"/>
      <c r="R83" s="210"/>
      <c r="S83" s="210"/>
      <c r="T83" s="210"/>
      <c r="U83" s="210"/>
      <c r="V83" s="210"/>
      <c r="W83" s="210"/>
      <c r="X83" s="210"/>
      <c r="Y83" s="210"/>
      <c r="Z83" s="210"/>
      <c r="AA83" s="210"/>
      <c r="AB83" s="210"/>
      <c r="AC83" s="210"/>
      <c r="AD83" s="210"/>
      <c r="AE83" s="210"/>
    </row>
    <row r="84" spans="1:31" x14ac:dyDescent="0.25">
      <c r="Q84" s="210"/>
      <c r="R84" s="210"/>
      <c r="S84" s="210"/>
      <c r="T84" s="210"/>
      <c r="U84" s="210"/>
      <c r="V84" s="210"/>
      <c r="W84" s="210"/>
      <c r="X84" s="210"/>
      <c r="Y84" s="210"/>
      <c r="Z84" s="210"/>
      <c r="AA84" s="210"/>
      <c r="AB84" s="210"/>
      <c r="AC84" s="210"/>
      <c r="AD84" s="210"/>
      <c r="AE84" s="210"/>
    </row>
  </sheetData>
  <mergeCells count="112">
    <mergeCell ref="Y51:AE52"/>
    <mergeCell ref="A51:A52"/>
    <mergeCell ref="B51:B52"/>
    <mergeCell ref="Q51:X52"/>
    <mergeCell ref="A49:A50"/>
    <mergeCell ref="B49:B50"/>
    <mergeCell ref="Q49:X50"/>
    <mergeCell ref="Y49:AE50"/>
    <mergeCell ref="C17:AE17"/>
    <mergeCell ref="Y28:AE29"/>
    <mergeCell ref="Y30:AE30"/>
    <mergeCell ref="B20:O20"/>
    <mergeCell ref="U34:X34"/>
    <mergeCell ref="Y34:AB34"/>
    <mergeCell ref="A32:AE32"/>
    <mergeCell ref="Q33:AE33"/>
    <mergeCell ref="Q34:T34"/>
    <mergeCell ref="A33:A34"/>
    <mergeCell ref="B33:B34"/>
    <mergeCell ref="C33:C34"/>
    <mergeCell ref="D33:P33"/>
    <mergeCell ref="AC34:AE34"/>
    <mergeCell ref="A35:A36"/>
    <mergeCell ref="B35:B36"/>
    <mergeCell ref="L15:Q15"/>
    <mergeCell ref="AA15:AE15"/>
    <mergeCell ref="R15:X15"/>
    <mergeCell ref="Q28:X29"/>
    <mergeCell ref="Q30:X30"/>
    <mergeCell ref="B30:C30"/>
    <mergeCell ref="A19:AE19"/>
    <mergeCell ref="P20:AE20"/>
    <mergeCell ref="C16:AB16"/>
    <mergeCell ref="B28:C29"/>
    <mergeCell ref="A28:A29"/>
    <mergeCell ref="A17:B17"/>
    <mergeCell ref="A15:B15"/>
    <mergeCell ref="C15:K15"/>
    <mergeCell ref="Y15:Z15"/>
    <mergeCell ref="D28:O28"/>
    <mergeCell ref="P28:P29"/>
    <mergeCell ref="A27:AE27"/>
    <mergeCell ref="A1:A4"/>
    <mergeCell ref="B1:AA1"/>
    <mergeCell ref="B2:AA2"/>
    <mergeCell ref="B3:AA4"/>
    <mergeCell ref="AB1:AE1"/>
    <mergeCell ref="AB2:AE2"/>
    <mergeCell ref="AB3:AE3"/>
    <mergeCell ref="AB4:AE4"/>
    <mergeCell ref="A11:B13"/>
    <mergeCell ref="D7:H9"/>
    <mergeCell ref="O7:P7"/>
    <mergeCell ref="C11:AE13"/>
    <mergeCell ref="M7:N7"/>
    <mergeCell ref="O8:P8"/>
    <mergeCell ref="M9:N9"/>
    <mergeCell ref="O9:P9"/>
    <mergeCell ref="I7:J9"/>
    <mergeCell ref="K7:L9"/>
    <mergeCell ref="A7:B9"/>
    <mergeCell ref="C7:C9"/>
    <mergeCell ref="M8:N8"/>
    <mergeCell ref="A38:AE38"/>
    <mergeCell ref="Q40:X40"/>
    <mergeCell ref="C39:C40"/>
    <mergeCell ref="D39:P39"/>
    <mergeCell ref="Q35:T36"/>
    <mergeCell ref="U35:X36"/>
    <mergeCell ref="Y35:AB36"/>
    <mergeCell ref="AC35:AE36"/>
    <mergeCell ref="Q39:AE39"/>
    <mergeCell ref="A43:A44"/>
    <mergeCell ref="B43:B44"/>
    <mergeCell ref="A45:A46"/>
    <mergeCell ref="B45:B46"/>
    <mergeCell ref="Q47:X48"/>
    <mergeCell ref="Y47:AE48"/>
    <mergeCell ref="Y40:AE40"/>
    <mergeCell ref="Y41:AE42"/>
    <mergeCell ref="Q43:X44"/>
    <mergeCell ref="Y43:AE44"/>
    <mergeCell ref="Q45:X46"/>
    <mergeCell ref="Y45:AE46"/>
    <mergeCell ref="Q41:X42"/>
    <mergeCell ref="A39:A40"/>
    <mergeCell ref="B39:B40"/>
    <mergeCell ref="A41:A42"/>
    <mergeCell ref="B41:B42"/>
    <mergeCell ref="B76:B77"/>
    <mergeCell ref="B74:B75"/>
    <mergeCell ref="A74:A75"/>
    <mergeCell ref="A76:A77"/>
    <mergeCell ref="A47:A48"/>
    <mergeCell ref="B47:B48"/>
    <mergeCell ref="A58:A59"/>
    <mergeCell ref="B58:B59"/>
    <mergeCell ref="A72:A73"/>
    <mergeCell ref="B72:B73"/>
    <mergeCell ref="A68:A69"/>
    <mergeCell ref="B68:B69"/>
    <mergeCell ref="A70:A71"/>
    <mergeCell ref="B70:B71"/>
    <mergeCell ref="C58:P58"/>
    <mergeCell ref="A60:A61"/>
    <mergeCell ref="B60:B61"/>
    <mergeCell ref="A62:A63"/>
    <mergeCell ref="B62:B63"/>
    <mergeCell ref="A64:A65"/>
    <mergeCell ref="B64:B65"/>
    <mergeCell ref="A66:A67"/>
    <mergeCell ref="B66:B67"/>
  </mergeCells>
  <dataValidations count="3">
    <dataValidation type="textLength" operator="lessThanOrEqual" allowBlank="1" showInputMessage="1" showErrorMessage="1" errorTitle="Máximo 2.000 caracteres" error="Máximo 2.000 caracteres" sqref="Q43 Q51 Q47 Q45 Q41" xr:uid="{00000000-0002-0000-0000-000000000000}">
      <formula1>2000</formula1>
    </dataValidation>
    <dataValidation type="textLength" operator="lessThanOrEqual" allowBlank="1" showInputMessage="1" showErrorMessage="1" errorTitle="Máximo 2.000 caracteres" error="Máximo 2.000 caracteres" promptTitle="2.000 caracteres" sqref="Q30:Q31" xr:uid="{00000000-0002-0000-0000-000001000000}">
      <formula1>2000</formula1>
    </dataValidation>
    <dataValidation type="list" allowBlank="1" showInputMessage="1" showErrorMessage="1" sqref="C7" xr:uid="{58CC7987-5B01-4346-A4B0-5B866694AC93}">
      <formula1>$B$21:$M$21</formula1>
    </dataValidation>
  </dataValidations>
  <hyperlinks>
    <hyperlink ref="Y41" r:id="rId1" display="Agosto _x000a_https://secretariadistritald.sharepoint.com/:w:/s/BogotCaminaSegura/EQigQQA7-5BArSTr3R6K9ZsBghwEozjCVdizdPgRIei2EA?e=6Ksayw_x000a__x000a_Septiembre_x000a_https://secretariadistritald.sharepoint.com/:b:/s/BogotCaminaSegura/ESD19aneqfNImRWUsXXZ1oIB1PoiBxpMhUcOwofMYwY" xr:uid="{B9E2F1DD-CB43-4DCF-BA57-252619789C0E}"/>
    <hyperlink ref="Y51:AE52" r:id="rId2" display="https://secretariadistritald.sharepoint.com/:f:/s/BogotCaminaSegura/EurZa_flzwFOnnVzpBvZD4IBZfHB1kQykkK4X-2h4oUAdg?e=bZKoRx" xr:uid="{D61121D2-BEA2-4635-95FC-C8DD936C1121}"/>
    <hyperlink ref="Y49:AE50" r:id="rId3" display="https://secretariadistritald.sharepoint.com/:f:/s/BogotCaminaSegura/ErejKm-PqpZIgfvqQQgMPY0Bm_-j7mlIOluT7QEE1vmcww?e=clAJYP" xr:uid="{D308E6E4-6C02-446E-8C2D-4374ED6C8B69}"/>
    <hyperlink ref="Y49" r:id="rId4" xr:uid="{D11501F5-AF23-49E7-A864-40EECC7B4EE5}"/>
  </hyperlinks>
  <printOptions horizontalCentered="1"/>
  <pageMargins left="0.39370078740157483" right="0.39370078740157483" top="0.39370078740157483" bottom="0.39370078740157483" header="0" footer="0"/>
  <pageSetup scale="20" orientation="landscape" r:id="rId5"/>
  <drawing r:id="rId6"/>
  <legacyDrawing r:id="rId7"/>
  <extLst>
    <ext xmlns:x14="http://schemas.microsoft.com/office/spreadsheetml/2009/9/main" uri="{CCE6A557-97BC-4b89-ADB6-D9C93CAAB3DF}">
      <x14:dataValidations xmlns:xm="http://schemas.microsoft.com/office/excel/2006/main" count="4">
        <x14:dataValidation type="list" allowBlank="1" showInputMessage="1" showErrorMessage="1" xr:uid="{08E4D5EC-48B6-48B0-9CFF-49BF9A007553}">
          <x14:formula1>
            <xm:f>listas!$D$2:$D$15</xm:f>
          </x14:formula1>
          <xm:sqref>C11:AE13</xm:sqref>
        </x14:dataValidation>
        <x14:dataValidation type="list" allowBlank="1" showInputMessage="1" showErrorMessage="1" xr:uid="{DE3819A2-E2C6-40B8-AA71-26E1B8A63CDB}">
          <x14:formula1>
            <xm:f>listas!$A$2:$A$6</xm:f>
          </x14:formula1>
          <xm:sqref>C15:K15</xm:sqref>
        </x14:dataValidation>
        <x14:dataValidation type="list" allowBlank="1" showInputMessage="1" showErrorMessage="1" xr:uid="{8846E161-823A-4370-AD42-5BD0B7F51418}">
          <x14:formula1>
            <xm:f>listas!$B$2:$B$8</xm:f>
          </x14:formula1>
          <xm:sqref>R15:X15</xm:sqref>
        </x14:dataValidation>
        <x14:dataValidation type="list" allowBlank="1" showInputMessage="1" showErrorMessage="1" xr:uid="{B110DE27-57FC-46FF-A6C8-F855FB03735E}">
          <x14:formula1>
            <xm:f>listas!$C$2:$C$20</xm:f>
          </x14:formula1>
          <xm:sqref>AA15:AE15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95DB8-8F99-4B28-8D6B-F58B016A1763}">
  <sheetPr>
    <tabColor rgb="FFE674EC"/>
    <pageSetUpPr fitToPage="1"/>
  </sheetPr>
  <dimension ref="A1:AO84"/>
  <sheetViews>
    <sheetView showGridLines="0" view="pageBreakPreview" topLeftCell="H1" zoomScale="85" zoomScaleNormal="60" zoomScaleSheetLayoutView="85" workbookViewId="0">
      <selection activeCell="O8" sqref="O8:P8"/>
    </sheetView>
  </sheetViews>
  <sheetFormatPr baseColWidth="10" defaultColWidth="10.85546875" defaultRowHeight="14.25" x14ac:dyDescent="0.25"/>
  <cols>
    <col min="1" max="1" width="38.42578125" style="125" customWidth="1"/>
    <col min="2" max="2" width="20.5703125" style="125" customWidth="1"/>
    <col min="3" max="14" width="20.7109375" style="125" customWidth="1"/>
    <col min="15" max="15" width="20.5703125" style="125" customWidth="1"/>
    <col min="16" max="16" width="32.42578125" style="125" customWidth="1"/>
    <col min="17" max="27" width="18.140625" style="125" customWidth="1"/>
    <col min="28" max="28" width="22.7109375" style="125" customWidth="1"/>
    <col min="29" max="29" width="19" style="125" customWidth="1"/>
    <col min="30" max="30" width="19.42578125" style="125" customWidth="1"/>
    <col min="31" max="31" width="20.5703125" style="125" customWidth="1"/>
    <col min="32" max="32" width="22.85546875" style="125" customWidth="1"/>
    <col min="33" max="33" width="28.7109375" style="125" customWidth="1"/>
    <col min="34" max="34" width="8.42578125" style="125" customWidth="1"/>
    <col min="35" max="35" width="18.42578125" style="125" bestFit="1" customWidth="1"/>
    <col min="36" max="36" width="5.7109375" style="125" customWidth="1"/>
    <col min="37" max="37" width="18.42578125" style="125" bestFit="1" customWidth="1"/>
    <col min="38" max="38" width="4.7109375" style="125" customWidth="1"/>
    <col min="39" max="39" width="23" style="125" bestFit="1" customWidth="1"/>
    <col min="40" max="40" width="10.85546875" style="125"/>
    <col min="41" max="41" width="18.42578125" style="125" bestFit="1" customWidth="1"/>
    <col min="42" max="42" width="16.140625" style="125" customWidth="1"/>
    <col min="43" max="16384" width="10.85546875" style="125"/>
  </cols>
  <sheetData>
    <row r="1" spans="1:31" ht="32.25" customHeight="1" thickBot="1" x14ac:dyDescent="0.3">
      <c r="A1" s="598"/>
      <c r="B1" s="601" t="s">
        <v>121</v>
      </c>
      <c r="C1" s="602"/>
      <c r="D1" s="602"/>
      <c r="E1" s="602"/>
      <c r="F1" s="602"/>
      <c r="G1" s="602"/>
      <c r="H1" s="602"/>
      <c r="I1" s="602"/>
      <c r="J1" s="602"/>
      <c r="K1" s="602"/>
      <c r="L1" s="602"/>
      <c r="M1" s="602"/>
      <c r="N1" s="602"/>
      <c r="O1" s="602"/>
      <c r="P1" s="602"/>
      <c r="Q1" s="602"/>
      <c r="R1" s="602"/>
      <c r="S1" s="602"/>
      <c r="T1" s="602"/>
      <c r="U1" s="602"/>
      <c r="V1" s="602"/>
      <c r="W1" s="602"/>
      <c r="X1" s="602"/>
      <c r="Y1" s="602"/>
      <c r="Z1" s="602"/>
      <c r="AA1" s="603"/>
      <c r="AB1" s="604" t="s">
        <v>122</v>
      </c>
      <c r="AC1" s="605"/>
      <c r="AD1" s="605"/>
      <c r="AE1" s="606"/>
    </row>
    <row r="2" spans="1:31" ht="30.75" customHeight="1" thickBot="1" x14ac:dyDescent="0.3">
      <c r="A2" s="599"/>
      <c r="B2" s="601" t="s">
        <v>123</v>
      </c>
      <c r="C2" s="602"/>
      <c r="D2" s="602"/>
      <c r="E2" s="602"/>
      <c r="F2" s="602"/>
      <c r="G2" s="602"/>
      <c r="H2" s="602"/>
      <c r="I2" s="602"/>
      <c r="J2" s="602"/>
      <c r="K2" s="602"/>
      <c r="L2" s="602"/>
      <c r="M2" s="602"/>
      <c r="N2" s="602"/>
      <c r="O2" s="602"/>
      <c r="P2" s="602"/>
      <c r="Q2" s="602"/>
      <c r="R2" s="602"/>
      <c r="S2" s="602"/>
      <c r="T2" s="602"/>
      <c r="U2" s="602"/>
      <c r="V2" s="602"/>
      <c r="W2" s="602"/>
      <c r="X2" s="602"/>
      <c r="Y2" s="602"/>
      <c r="Z2" s="602"/>
      <c r="AA2" s="603"/>
      <c r="AB2" s="604" t="s">
        <v>124</v>
      </c>
      <c r="AC2" s="605"/>
      <c r="AD2" s="605"/>
      <c r="AE2" s="606"/>
    </row>
    <row r="3" spans="1:31" ht="24" customHeight="1" thickBot="1" x14ac:dyDescent="0.3">
      <c r="A3" s="599"/>
      <c r="B3" s="607" t="s">
        <v>125</v>
      </c>
      <c r="C3" s="608"/>
      <c r="D3" s="608"/>
      <c r="E3" s="608"/>
      <c r="F3" s="608"/>
      <c r="G3" s="608"/>
      <c r="H3" s="608"/>
      <c r="I3" s="608"/>
      <c r="J3" s="608"/>
      <c r="K3" s="608"/>
      <c r="L3" s="608"/>
      <c r="M3" s="608"/>
      <c r="N3" s="608"/>
      <c r="O3" s="608"/>
      <c r="P3" s="608"/>
      <c r="Q3" s="608"/>
      <c r="R3" s="608"/>
      <c r="S3" s="608"/>
      <c r="T3" s="608"/>
      <c r="U3" s="608"/>
      <c r="V3" s="608"/>
      <c r="W3" s="608"/>
      <c r="X3" s="608"/>
      <c r="Y3" s="608"/>
      <c r="Z3" s="608"/>
      <c r="AA3" s="609"/>
      <c r="AB3" s="604" t="s">
        <v>126</v>
      </c>
      <c r="AC3" s="605"/>
      <c r="AD3" s="605"/>
      <c r="AE3" s="606"/>
    </row>
    <row r="4" spans="1:31" ht="21.75" customHeight="1" thickBot="1" x14ac:dyDescent="0.3">
      <c r="A4" s="600"/>
      <c r="B4" s="610"/>
      <c r="C4" s="611"/>
      <c r="D4" s="611"/>
      <c r="E4" s="611"/>
      <c r="F4" s="611"/>
      <c r="G4" s="611"/>
      <c r="H4" s="611"/>
      <c r="I4" s="611"/>
      <c r="J4" s="611"/>
      <c r="K4" s="611"/>
      <c r="L4" s="611"/>
      <c r="M4" s="611"/>
      <c r="N4" s="611"/>
      <c r="O4" s="611"/>
      <c r="P4" s="611"/>
      <c r="Q4" s="611"/>
      <c r="R4" s="611"/>
      <c r="S4" s="611"/>
      <c r="T4" s="611"/>
      <c r="U4" s="611"/>
      <c r="V4" s="611"/>
      <c r="W4" s="611"/>
      <c r="X4" s="611"/>
      <c r="Y4" s="611"/>
      <c r="Z4" s="611"/>
      <c r="AA4" s="612"/>
      <c r="AB4" s="604" t="s">
        <v>127</v>
      </c>
      <c r="AC4" s="605"/>
      <c r="AD4" s="605"/>
      <c r="AE4" s="606"/>
    </row>
    <row r="5" spans="1:31" ht="9" customHeight="1" thickBot="1" x14ac:dyDescent="0.3">
      <c r="A5" s="17"/>
      <c r="B5" s="18"/>
      <c r="C5" s="19"/>
      <c r="D5" s="20"/>
      <c r="E5" s="20"/>
      <c r="F5" s="20"/>
      <c r="G5" s="20"/>
      <c r="H5" s="20"/>
      <c r="I5" s="20"/>
      <c r="J5" s="20"/>
      <c r="K5" s="20"/>
      <c r="L5" s="20"/>
      <c r="M5" s="20"/>
      <c r="N5" s="20"/>
      <c r="O5" s="20"/>
      <c r="P5" s="20"/>
      <c r="Q5" s="20"/>
      <c r="R5" s="20"/>
      <c r="S5" s="20"/>
      <c r="T5" s="20"/>
      <c r="U5" s="20"/>
      <c r="V5" s="20"/>
      <c r="W5" s="20"/>
      <c r="X5" s="20"/>
      <c r="Y5" s="20"/>
      <c r="Z5" s="20"/>
      <c r="AA5" s="20"/>
      <c r="AB5" s="20"/>
      <c r="AD5" s="21"/>
      <c r="AE5" s="22"/>
    </row>
    <row r="6" spans="1:31" ht="9" customHeight="1" thickBot="1" x14ac:dyDescent="0.3">
      <c r="A6" s="23"/>
      <c r="B6" s="20"/>
      <c r="C6" s="20"/>
      <c r="D6" s="20"/>
      <c r="E6" s="20"/>
      <c r="F6" s="20"/>
      <c r="G6" s="20"/>
      <c r="H6" s="20"/>
      <c r="I6" s="20"/>
      <c r="J6" s="20"/>
      <c r="K6" s="20"/>
      <c r="L6" s="20"/>
      <c r="M6" s="20"/>
      <c r="N6" s="20"/>
      <c r="O6" s="20"/>
      <c r="P6" s="20"/>
      <c r="Q6" s="20"/>
      <c r="R6" s="20"/>
      <c r="S6" s="20"/>
      <c r="T6" s="20"/>
      <c r="U6" s="20"/>
      <c r="V6" s="20"/>
      <c r="W6" s="20"/>
      <c r="X6" s="20"/>
      <c r="Y6" s="20"/>
      <c r="Z6" s="20"/>
      <c r="AA6" s="20"/>
      <c r="AB6" s="20"/>
      <c r="AD6" s="21"/>
      <c r="AE6" s="22"/>
    </row>
    <row r="7" spans="1:31" ht="13.9" customHeight="1" x14ac:dyDescent="0.25">
      <c r="A7" s="613" t="s">
        <v>4</v>
      </c>
      <c r="B7" s="614"/>
      <c r="C7" s="625" t="s">
        <v>128</v>
      </c>
      <c r="D7" s="628" t="s">
        <v>6</v>
      </c>
      <c r="E7" s="629"/>
      <c r="F7" s="629"/>
      <c r="G7" s="629"/>
      <c r="H7" s="630"/>
      <c r="I7" s="637">
        <v>45639</v>
      </c>
      <c r="J7" s="638"/>
      <c r="K7" s="628" t="s">
        <v>8</v>
      </c>
      <c r="L7" s="630"/>
      <c r="M7" s="643" t="s">
        <v>129</v>
      </c>
      <c r="N7" s="644"/>
      <c r="O7" s="648"/>
      <c r="P7" s="649"/>
      <c r="Q7" s="20"/>
      <c r="R7" s="20"/>
      <c r="S7" s="20"/>
      <c r="T7" s="20"/>
      <c r="U7" s="20"/>
      <c r="V7" s="20"/>
      <c r="W7" s="20"/>
      <c r="X7" s="20"/>
      <c r="Y7" s="20"/>
      <c r="Z7" s="20"/>
      <c r="AA7" s="20"/>
      <c r="AB7" s="20"/>
      <c r="AD7" s="21"/>
      <c r="AE7" s="22"/>
    </row>
    <row r="8" spans="1:31" ht="13.9" customHeight="1" x14ac:dyDescent="0.25">
      <c r="A8" s="615"/>
      <c r="B8" s="616"/>
      <c r="C8" s="626"/>
      <c r="D8" s="631"/>
      <c r="E8" s="632"/>
      <c r="F8" s="632"/>
      <c r="G8" s="632"/>
      <c r="H8" s="633"/>
      <c r="I8" s="639"/>
      <c r="J8" s="640"/>
      <c r="K8" s="631"/>
      <c r="L8" s="633"/>
      <c r="M8" s="650" t="s">
        <v>130</v>
      </c>
      <c r="N8" s="651"/>
      <c r="O8" s="781"/>
      <c r="P8" s="782"/>
      <c r="Q8" s="20"/>
      <c r="R8" s="20"/>
      <c r="S8" s="20"/>
      <c r="T8" s="20"/>
      <c r="U8" s="20"/>
      <c r="V8" s="20"/>
      <c r="W8" s="20"/>
      <c r="X8" s="20"/>
      <c r="Y8" s="20"/>
      <c r="Z8" s="20"/>
      <c r="AA8" s="20"/>
      <c r="AB8" s="20"/>
      <c r="AD8" s="21"/>
      <c r="AE8" s="22"/>
    </row>
    <row r="9" spans="1:31" ht="14.45" customHeight="1" thickBot="1" x14ac:dyDescent="0.3">
      <c r="A9" s="617"/>
      <c r="B9" s="618"/>
      <c r="C9" s="627"/>
      <c r="D9" s="634"/>
      <c r="E9" s="635"/>
      <c r="F9" s="635"/>
      <c r="G9" s="635"/>
      <c r="H9" s="636"/>
      <c r="I9" s="641"/>
      <c r="J9" s="642"/>
      <c r="K9" s="634"/>
      <c r="L9" s="636"/>
      <c r="M9" s="652" t="s">
        <v>132</v>
      </c>
      <c r="N9" s="653"/>
      <c r="O9" s="654" t="s">
        <v>131</v>
      </c>
      <c r="P9" s="655"/>
      <c r="Q9" s="20"/>
      <c r="R9" s="20"/>
      <c r="S9" s="20"/>
      <c r="T9" s="20"/>
      <c r="U9" s="20"/>
      <c r="V9" s="20"/>
      <c r="W9" s="20"/>
      <c r="X9" s="20"/>
      <c r="Y9" s="20"/>
      <c r="Z9" s="20"/>
      <c r="AA9" s="20"/>
      <c r="AB9" s="20"/>
      <c r="AD9" s="21"/>
      <c r="AE9" s="22"/>
    </row>
    <row r="10" spans="1:31" ht="15" customHeight="1" thickBot="1" x14ac:dyDescent="0.3">
      <c r="A10" s="24"/>
      <c r="B10" s="25"/>
      <c r="C10" s="25"/>
      <c r="D10" s="26"/>
      <c r="E10" s="26"/>
      <c r="F10" s="26"/>
      <c r="G10" s="26"/>
      <c r="H10" s="26"/>
      <c r="I10" s="181"/>
      <c r="J10" s="181"/>
      <c r="K10" s="26"/>
      <c r="L10" s="26"/>
      <c r="M10" s="182"/>
      <c r="N10" s="182"/>
      <c r="O10" s="183"/>
      <c r="P10" s="183"/>
      <c r="Q10" s="25"/>
      <c r="R10" s="25"/>
      <c r="S10" s="25"/>
      <c r="T10" s="25"/>
      <c r="U10" s="25"/>
      <c r="V10" s="25"/>
      <c r="W10" s="25"/>
      <c r="X10" s="25"/>
      <c r="Y10" s="25"/>
      <c r="Z10" s="25"/>
      <c r="AA10" s="25"/>
      <c r="AB10" s="25"/>
      <c r="AD10" s="28"/>
      <c r="AE10" s="29"/>
    </row>
    <row r="11" spans="1:31" ht="15" customHeight="1" x14ac:dyDescent="0.25">
      <c r="A11" s="613" t="s">
        <v>10</v>
      </c>
      <c r="B11" s="614"/>
      <c r="C11" s="586" t="s">
        <v>133</v>
      </c>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8"/>
    </row>
    <row r="12" spans="1:31" ht="15" customHeight="1" x14ac:dyDescent="0.25">
      <c r="A12" s="615"/>
      <c r="B12" s="616"/>
      <c r="C12" s="619"/>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1"/>
    </row>
    <row r="13" spans="1:31" ht="15" customHeight="1" thickBot="1" x14ac:dyDescent="0.3">
      <c r="A13" s="617"/>
      <c r="B13" s="618"/>
      <c r="C13" s="622"/>
      <c r="D13" s="623"/>
      <c r="E13" s="623"/>
      <c r="F13" s="623"/>
      <c r="G13" s="623"/>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4"/>
    </row>
    <row r="14" spans="1:31" ht="9" customHeight="1" thickBot="1" x14ac:dyDescent="0.3">
      <c r="A14" s="31"/>
      <c r="B14" s="32"/>
      <c r="C14" s="33"/>
      <c r="D14" s="33"/>
      <c r="E14" s="33"/>
      <c r="F14" s="33"/>
      <c r="G14" s="33"/>
      <c r="H14" s="33"/>
      <c r="I14" s="33"/>
      <c r="J14" s="33"/>
      <c r="K14" s="33"/>
      <c r="L14" s="33"/>
      <c r="M14" s="34"/>
      <c r="N14" s="34"/>
      <c r="O14" s="34"/>
      <c r="P14" s="34"/>
      <c r="Q14" s="34"/>
      <c r="R14" s="35"/>
      <c r="S14" s="35"/>
      <c r="T14" s="35"/>
      <c r="U14" s="35"/>
      <c r="V14" s="35"/>
      <c r="W14" s="35"/>
      <c r="X14" s="35"/>
      <c r="Y14" s="26"/>
      <c r="Z14" s="26"/>
      <c r="AA14" s="26"/>
      <c r="AB14" s="26"/>
      <c r="AD14" s="26"/>
      <c r="AE14" s="30"/>
    </row>
    <row r="15" spans="1:31" ht="39" customHeight="1" thickBot="1" x14ac:dyDescent="0.3">
      <c r="A15" s="656" t="s">
        <v>12</v>
      </c>
      <c r="B15" s="657"/>
      <c r="C15" s="658" t="s">
        <v>134</v>
      </c>
      <c r="D15" s="659"/>
      <c r="E15" s="659"/>
      <c r="F15" s="659"/>
      <c r="G15" s="659"/>
      <c r="H15" s="659"/>
      <c r="I15" s="659"/>
      <c r="J15" s="659"/>
      <c r="K15" s="660"/>
      <c r="L15" s="661" t="s">
        <v>14</v>
      </c>
      <c r="M15" s="662"/>
      <c r="N15" s="662"/>
      <c r="O15" s="662"/>
      <c r="P15" s="662"/>
      <c r="Q15" s="663"/>
      <c r="R15" s="664" t="s">
        <v>135</v>
      </c>
      <c r="S15" s="665"/>
      <c r="T15" s="665"/>
      <c r="U15" s="665"/>
      <c r="V15" s="665"/>
      <c r="W15" s="665"/>
      <c r="X15" s="666"/>
      <c r="Y15" s="661" t="s">
        <v>15</v>
      </c>
      <c r="Z15" s="663"/>
      <c r="AA15" s="645" t="s">
        <v>136</v>
      </c>
      <c r="AB15" s="646"/>
      <c r="AC15" s="646"/>
      <c r="AD15" s="646"/>
      <c r="AE15" s="647"/>
    </row>
    <row r="16" spans="1:31" ht="9" customHeight="1" thickBot="1" x14ac:dyDescent="0.3">
      <c r="A16" s="23"/>
      <c r="B16" s="20"/>
      <c r="C16" s="667"/>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D16" s="21"/>
      <c r="AE16" s="22"/>
    </row>
    <row r="17" spans="1:32" s="36" customFormat="1" ht="37.5" customHeight="1" thickBot="1" x14ac:dyDescent="0.3">
      <c r="A17" s="656" t="s">
        <v>17</v>
      </c>
      <c r="B17" s="657"/>
      <c r="C17" s="645" t="s">
        <v>221</v>
      </c>
      <c r="D17" s="646"/>
      <c r="E17" s="646"/>
      <c r="F17" s="646"/>
      <c r="G17" s="646"/>
      <c r="H17" s="646"/>
      <c r="I17" s="646"/>
      <c r="J17" s="646"/>
      <c r="K17" s="646"/>
      <c r="L17" s="646"/>
      <c r="M17" s="646"/>
      <c r="N17" s="646"/>
      <c r="O17" s="646"/>
      <c r="P17" s="646"/>
      <c r="Q17" s="646"/>
      <c r="R17" s="646"/>
      <c r="S17" s="646"/>
      <c r="T17" s="646"/>
      <c r="U17" s="646"/>
      <c r="V17" s="646"/>
      <c r="W17" s="646"/>
      <c r="X17" s="646"/>
      <c r="Y17" s="646"/>
      <c r="Z17" s="646"/>
      <c r="AA17" s="646"/>
      <c r="AB17" s="646"/>
      <c r="AC17" s="646"/>
      <c r="AD17" s="646"/>
      <c r="AE17" s="647"/>
    </row>
    <row r="18" spans="1:32" ht="16.5" customHeight="1" thickBot="1" x14ac:dyDescent="0.3">
      <c r="A18" s="184"/>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D18" s="185"/>
      <c r="AE18" s="186"/>
    </row>
    <row r="19" spans="1:32" ht="32.1" customHeight="1" thickBot="1" x14ac:dyDescent="0.3">
      <c r="A19" s="661" t="s">
        <v>138</v>
      </c>
      <c r="B19" s="662"/>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3"/>
      <c r="AF19" s="187"/>
    </row>
    <row r="20" spans="1:32" ht="32.1" customHeight="1" thickBot="1" x14ac:dyDescent="0.3">
      <c r="A20" s="37" t="s">
        <v>19</v>
      </c>
      <c r="B20" s="634" t="s">
        <v>139</v>
      </c>
      <c r="C20" s="635"/>
      <c r="D20" s="635"/>
      <c r="E20" s="635"/>
      <c r="F20" s="635"/>
      <c r="G20" s="635"/>
      <c r="H20" s="635"/>
      <c r="I20" s="635"/>
      <c r="J20" s="635"/>
      <c r="K20" s="635"/>
      <c r="L20" s="635"/>
      <c r="M20" s="635"/>
      <c r="N20" s="635"/>
      <c r="O20" s="636"/>
      <c r="P20" s="661" t="s">
        <v>140</v>
      </c>
      <c r="Q20" s="662"/>
      <c r="R20" s="662"/>
      <c r="S20" s="662"/>
      <c r="T20" s="662"/>
      <c r="U20" s="662"/>
      <c r="V20" s="662"/>
      <c r="W20" s="662"/>
      <c r="X20" s="662"/>
      <c r="Y20" s="662"/>
      <c r="Z20" s="662"/>
      <c r="AA20" s="662"/>
      <c r="AB20" s="662"/>
      <c r="AC20" s="662"/>
      <c r="AD20" s="662"/>
      <c r="AE20" s="663"/>
      <c r="AF20" s="187"/>
    </row>
    <row r="21" spans="1:32" ht="32.1" customHeight="1" thickBot="1" x14ac:dyDescent="0.3">
      <c r="A21" s="24"/>
      <c r="B21" s="38" t="s">
        <v>141</v>
      </c>
      <c r="C21" s="39" t="s">
        <v>142</v>
      </c>
      <c r="D21" s="39" t="s">
        <v>143</v>
      </c>
      <c r="E21" s="39" t="s">
        <v>144</v>
      </c>
      <c r="F21" s="39" t="s">
        <v>145</v>
      </c>
      <c r="G21" s="39" t="s">
        <v>146</v>
      </c>
      <c r="H21" s="39" t="s">
        <v>147</v>
      </c>
      <c r="I21" s="39" t="s">
        <v>148</v>
      </c>
      <c r="J21" s="39" t="s">
        <v>149</v>
      </c>
      <c r="K21" s="39" t="s">
        <v>150</v>
      </c>
      <c r="L21" s="39" t="s">
        <v>128</v>
      </c>
      <c r="M21" s="39" t="s">
        <v>151</v>
      </c>
      <c r="N21" s="39" t="s">
        <v>102</v>
      </c>
      <c r="O21" s="40" t="s">
        <v>100</v>
      </c>
      <c r="P21" s="41"/>
      <c r="Q21" s="37" t="s">
        <v>141</v>
      </c>
      <c r="R21" s="42" t="s">
        <v>142</v>
      </c>
      <c r="S21" s="42" t="s">
        <v>143</v>
      </c>
      <c r="T21" s="42" t="s">
        <v>144</v>
      </c>
      <c r="U21" s="42" t="s">
        <v>145</v>
      </c>
      <c r="V21" s="42" t="s">
        <v>146</v>
      </c>
      <c r="W21" s="42" t="s">
        <v>147</v>
      </c>
      <c r="X21" s="42" t="s">
        <v>148</v>
      </c>
      <c r="Y21" s="42" t="s">
        <v>149</v>
      </c>
      <c r="Z21" s="42" t="s">
        <v>150</v>
      </c>
      <c r="AA21" s="42" t="s">
        <v>128</v>
      </c>
      <c r="AB21" s="42" t="s">
        <v>151</v>
      </c>
      <c r="AC21" s="42" t="s">
        <v>102</v>
      </c>
      <c r="AD21" s="43" t="s">
        <v>152</v>
      </c>
      <c r="AE21" s="43" t="s">
        <v>153</v>
      </c>
      <c r="AF21" s="188"/>
    </row>
    <row r="22" spans="1:32" ht="32.1" customHeight="1" x14ac:dyDescent="0.25">
      <c r="A22" s="44" t="s">
        <v>31</v>
      </c>
      <c r="B22" s="189"/>
      <c r="C22" s="190"/>
      <c r="D22" s="190"/>
      <c r="E22" s="190"/>
      <c r="F22" s="190"/>
      <c r="G22" s="190"/>
      <c r="H22" s="190"/>
      <c r="I22" s="190"/>
      <c r="J22" s="190"/>
      <c r="K22" s="190"/>
      <c r="L22" s="190"/>
      <c r="M22" s="190"/>
      <c r="N22" s="190">
        <f>SUM(B22:M22)</f>
        <v>0</v>
      </c>
      <c r="O22" s="191"/>
      <c r="P22" s="44" t="s">
        <v>27</v>
      </c>
      <c r="Q22" s="192">
        <v>0</v>
      </c>
      <c r="R22" s="193">
        <v>0</v>
      </c>
      <c r="S22" s="193">
        <v>0</v>
      </c>
      <c r="T22" s="193">
        <v>0</v>
      </c>
      <c r="U22" s="193">
        <v>0</v>
      </c>
      <c r="V22" s="193">
        <v>0</v>
      </c>
      <c r="W22" s="193">
        <v>0</v>
      </c>
      <c r="X22" s="194">
        <v>72277053</v>
      </c>
      <c r="Y22" s="194">
        <v>0</v>
      </c>
      <c r="Z22" s="194">
        <v>0</v>
      </c>
      <c r="AA22" s="194">
        <v>0</v>
      </c>
      <c r="AB22" s="194">
        <v>245447</v>
      </c>
      <c r="AC22" s="415">
        <f>SUM(Q22:AB22)</f>
        <v>72522500</v>
      </c>
      <c r="AD22" s="272"/>
      <c r="AE22" s="195"/>
      <c r="AF22" s="188"/>
    </row>
    <row r="23" spans="1:32" ht="32.1" customHeight="1" x14ac:dyDescent="0.25">
      <c r="A23" s="45" t="s">
        <v>21</v>
      </c>
      <c r="B23" s="196"/>
      <c r="C23" s="197"/>
      <c r="D23" s="197"/>
      <c r="E23" s="197"/>
      <c r="F23" s="197"/>
      <c r="G23" s="197"/>
      <c r="H23" s="197"/>
      <c r="I23" s="197"/>
      <c r="J23" s="197"/>
      <c r="K23" s="197"/>
      <c r="L23" s="197"/>
      <c r="M23" s="197"/>
      <c r="N23" s="197">
        <f>SUM(B23:M23)</f>
        <v>0</v>
      </c>
      <c r="O23" s="198" t="str">
        <f>IFERROR(N23/(SUMIF(B23:M23,"&gt;0",B22:M22))," ")</f>
        <v xml:space="preserve"> </v>
      </c>
      <c r="P23" s="45" t="s">
        <v>29</v>
      </c>
      <c r="Q23" s="196">
        <v>0</v>
      </c>
      <c r="R23" s="197">
        <v>0</v>
      </c>
      <c r="S23" s="197">
        <v>0</v>
      </c>
      <c r="T23" s="197">
        <v>0</v>
      </c>
      <c r="U23" s="197">
        <v>0</v>
      </c>
      <c r="V23" s="197">
        <v>0</v>
      </c>
      <c r="W23" s="197">
        <v>0</v>
      </c>
      <c r="X23" s="199">
        <v>72277052</v>
      </c>
      <c r="Y23" s="199">
        <v>0</v>
      </c>
      <c r="Z23" s="199">
        <v>-2941841</v>
      </c>
      <c r="AA23" s="199">
        <v>0</v>
      </c>
      <c r="AB23" s="199">
        <v>0</v>
      </c>
      <c r="AC23" s="199">
        <f>SUM(Q23:AB23)</f>
        <v>69335211</v>
      </c>
      <c r="AD23" s="273">
        <f>AC23/SUM(Q22:AB22)</f>
        <v>0.95605103243820888</v>
      </c>
      <c r="AE23" s="200">
        <f>AC23/AC22</f>
        <v>0.95605103243820888</v>
      </c>
      <c r="AF23" s="188"/>
    </row>
    <row r="24" spans="1:32" ht="32.1" customHeight="1" x14ac:dyDescent="0.25">
      <c r="A24" s="45" t="s">
        <v>23</v>
      </c>
      <c r="B24" s="196">
        <f>+B22-B23</f>
        <v>0</v>
      </c>
      <c r="C24" s="197">
        <f t="shared" ref="C24:M24" si="0">+C22-C23</f>
        <v>0</v>
      </c>
      <c r="D24" s="197">
        <f t="shared" si="0"/>
        <v>0</v>
      </c>
      <c r="E24" s="197">
        <f t="shared" si="0"/>
        <v>0</v>
      </c>
      <c r="F24" s="197">
        <f t="shared" si="0"/>
        <v>0</v>
      </c>
      <c r="G24" s="197">
        <f t="shared" si="0"/>
        <v>0</v>
      </c>
      <c r="H24" s="197">
        <f t="shared" si="0"/>
        <v>0</v>
      </c>
      <c r="I24" s="197">
        <f t="shared" si="0"/>
        <v>0</v>
      </c>
      <c r="J24" s="197">
        <f t="shared" si="0"/>
        <v>0</v>
      </c>
      <c r="K24" s="197">
        <f t="shared" si="0"/>
        <v>0</v>
      </c>
      <c r="L24" s="197">
        <f t="shared" si="0"/>
        <v>0</v>
      </c>
      <c r="M24" s="197">
        <f t="shared" si="0"/>
        <v>0</v>
      </c>
      <c r="N24" s="197">
        <f>SUM(B24:M24)</f>
        <v>0</v>
      </c>
      <c r="O24" s="201"/>
      <c r="P24" s="45" t="s">
        <v>31</v>
      </c>
      <c r="Q24" s="196">
        <v>0</v>
      </c>
      <c r="R24" s="197">
        <v>0</v>
      </c>
      <c r="S24" s="197">
        <v>0</v>
      </c>
      <c r="T24" s="197">
        <v>0</v>
      </c>
      <c r="U24" s="197">
        <v>0</v>
      </c>
      <c r="V24" s="197">
        <v>0</v>
      </c>
      <c r="W24" s="197">
        <v>0</v>
      </c>
      <c r="X24" s="197">
        <v>0</v>
      </c>
      <c r="Y24" s="197">
        <v>10144853</v>
      </c>
      <c r="Z24" s="197">
        <v>15533050</v>
      </c>
      <c r="AA24" s="197">
        <v>15533050</v>
      </c>
      <c r="AB24" s="197">
        <f>15533050+15778497</f>
        <v>31311547</v>
      </c>
      <c r="AC24" s="416">
        <f>SUM(Q24:AB24)</f>
        <v>72522500</v>
      </c>
      <c r="AD24" s="274"/>
      <c r="AE24" s="202"/>
      <c r="AF24" s="188"/>
    </row>
    <row r="25" spans="1:32" ht="32.1" customHeight="1" thickBot="1" x14ac:dyDescent="0.3">
      <c r="A25" s="46" t="s">
        <v>25</v>
      </c>
      <c r="B25" s="203"/>
      <c r="C25" s="204"/>
      <c r="D25" s="204"/>
      <c r="E25" s="204"/>
      <c r="F25" s="204"/>
      <c r="G25" s="204"/>
      <c r="H25" s="204"/>
      <c r="I25" s="204"/>
      <c r="J25" s="204"/>
      <c r="K25" s="204"/>
      <c r="L25" s="204"/>
      <c r="M25" s="204"/>
      <c r="N25" s="204">
        <f>SUM(B25:M25)</f>
        <v>0</v>
      </c>
      <c r="O25" s="205" t="str">
        <f>IFERROR(N25/(SUMIF(B25:M25,"&gt;0",B24:M24))," ")</f>
        <v xml:space="preserve"> </v>
      </c>
      <c r="P25" s="46" t="s">
        <v>25</v>
      </c>
      <c r="Q25" s="203">
        <v>0</v>
      </c>
      <c r="R25" s="204">
        <v>0</v>
      </c>
      <c r="S25" s="204">
        <v>0</v>
      </c>
      <c r="T25" s="204">
        <v>0</v>
      </c>
      <c r="U25" s="204">
        <v>0</v>
      </c>
      <c r="V25" s="204">
        <v>0</v>
      </c>
      <c r="W25" s="204">
        <v>0</v>
      </c>
      <c r="X25" s="204">
        <v>0</v>
      </c>
      <c r="Y25" s="204">
        <v>7203016</v>
      </c>
      <c r="Z25" s="204">
        <v>15533050</v>
      </c>
      <c r="AA25" s="204">
        <f>+AC25-Y25-Z25</f>
        <v>15533050</v>
      </c>
      <c r="AB25" s="204">
        <v>0</v>
      </c>
      <c r="AC25" s="408">
        <v>38269116</v>
      </c>
      <c r="AD25" s="275">
        <f>AC25/SUM(Q24:AB24)</f>
        <v>0.52768611120686681</v>
      </c>
      <c r="AE25" s="206">
        <f>AC25/AC24</f>
        <v>0.52768611120686681</v>
      </c>
      <c r="AF25" s="188"/>
    </row>
    <row r="26" spans="1:32" s="207" customFormat="1" ht="16.5" customHeight="1" thickBot="1" x14ac:dyDescent="0.25"/>
    <row r="27" spans="1:32" ht="33.950000000000003" customHeight="1" x14ac:dyDescent="0.25">
      <c r="A27" s="668" t="s">
        <v>154</v>
      </c>
      <c r="B27" s="669"/>
      <c r="C27" s="669"/>
      <c r="D27" s="669"/>
      <c r="E27" s="669"/>
      <c r="F27" s="669"/>
      <c r="G27" s="669"/>
      <c r="H27" s="669"/>
      <c r="I27" s="669"/>
      <c r="J27" s="669"/>
      <c r="K27" s="669"/>
      <c r="L27" s="669"/>
      <c r="M27" s="669"/>
      <c r="N27" s="669"/>
      <c r="O27" s="669"/>
      <c r="P27" s="669"/>
      <c r="Q27" s="669"/>
      <c r="R27" s="669"/>
      <c r="S27" s="669"/>
      <c r="T27" s="669"/>
      <c r="U27" s="669"/>
      <c r="V27" s="669"/>
      <c r="W27" s="669"/>
      <c r="X27" s="669"/>
      <c r="Y27" s="669"/>
      <c r="Z27" s="669"/>
      <c r="AA27" s="669"/>
      <c r="AB27" s="669"/>
      <c r="AC27" s="669"/>
      <c r="AD27" s="669"/>
      <c r="AE27" s="670"/>
    </row>
    <row r="28" spans="1:32" ht="15" customHeight="1" x14ac:dyDescent="0.25">
      <c r="A28" s="590" t="s">
        <v>34</v>
      </c>
      <c r="B28" s="592" t="s">
        <v>36</v>
      </c>
      <c r="C28" s="592"/>
      <c r="D28" s="592" t="s">
        <v>155</v>
      </c>
      <c r="E28" s="592"/>
      <c r="F28" s="592"/>
      <c r="G28" s="592"/>
      <c r="H28" s="592"/>
      <c r="I28" s="592"/>
      <c r="J28" s="592"/>
      <c r="K28" s="592"/>
      <c r="L28" s="592"/>
      <c r="M28" s="592"/>
      <c r="N28" s="592"/>
      <c r="O28" s="592"/>
      <c r="P28" s="592" t="s">
        <v>102</v>
      </c>
      <c r="Q28" s="592" t="s">
        <v>156</v>
      </c>
      <c r="R28" s="592"/>
      <c r="S28" s="592"/>
      <c r="T28" s="592"/>
      <c r="U28" s="592"/>
      <c r="V28" s="592"/>
      <c r="W28" s="592"/>
      <c r="X28" s="592"/>
      <c r="Y28" s="592" t="s">
        <v>157</v>
      </c>
      <c r="Z28" s="592"/>
      <c r="AA28" s="592"/>
      <c r="AB28" s="592"/>
      <c r="AC28" s="592"/>
      <c r="AD28" s="592"/>
      <c r="AE28" s="671"/>
    </row>
    <row r="29" spans="1:32" ht="27" customHeight="1" x14ac:dyDescent="0.25">
      <c r="A29" s="590"/>
      <c r="B29" s="592"/>
      <c r="C29" s="592"/>
      <c r="D29" s="48" t="s">
        <v>141</v>
      </c>
      <c r="E29" s="48" t="s">
        <v>142</v>
      </c>
      <c r="F29" s="48" t="s">
        <v>143</v>
      </c>
      <c r="G29" s="48" t="s">
        <v>144</v>
      </c>
      <c r="H29" s="48" t="s">
        <v>145</v>
      </c>
      <c r="I29" s="48" t="s">
        <v>146</v>
      </c>
      <c r="J29" s="48" t="s">
        <v>147</v>
      </c>
      <c r="K29" s="48" t="s">
        <v>148</v>
      </c>
      <c r="L29" s="48" t="s">
        <v>149</v>
      </c>
      <c r="M29" s="48" t="s">
        <v>150</v>
      </c>
      <c r="N29" s="48" t="s">
        <v>128</v>
      </c>
      <c r="O29" s="48" t="s">
        <v>151</v>
      </c>
      <c r="P29" s="592"/>
      <c r="Q29" s="592"/>
      <c r="R29" s="592"/>
      <c r="S29" s="592"/>
      <c r="T29" s="592"/>
      <c r="U29" s="592"/>
      <c r="V29" s="592"/>
      <c r="W29" s="592"/>
      <c r="X29" s="592"/>
      <c r="Y29" s="592"/>
      <c r="Z29" s="592"/>
      <c r="AA29" s="592"/>
      <c r="AB29" s="592"/>
      <c r="AC29" s="592"/>
      <c r="AD29" s="592"/>
      <c r="AE29" s="671"/>
    </row>
    <row r="30" spans="1:32" ht="42" customHeight="1" thickBot="1" x14ac:dyDescent="0.3">
      <c r="A30" s="49"/>
      <c r="B30" s="672"/>
      <c r="C30" s="672"/>
      <c r="D30" s="16"/>
      <c r="E30" s="16"/>
      <c r="F30" s="16"/>
      <c r="G30" s="16"/>
      <c r="H30" s="16"/>
      <c r="I30" s="16"/>
      <c r="J30" s="16"/>
      <c r="K30" s="16"/>
      <c r="L30" s="16"/>
      <c r="M30" s="16"/>
      <c r="N30" s="16"/>
      <c r="O30" s="16"/>
      <c r="P30" s="50">
        <f>SUM(D30:O30)</f>
        <v>0</v>
      </c>
      <c r="Q30" s="673" t="s">
        <v>158</v>
      </c>
      <c r="R30" s="673"/>
      <c r="S30" s="673"/>
      <c r="T30" s="673"/>
      <c r="U30" s="673"/>
      <c r="V30" s="673"/>
      <c r="W30" s="673"/>
      <c r="X30" s="673"/>
      <c r="Y30" s="673" t="s">
        <v>43</v>
      </c>
      <c r="Z30" s="673"/>
      <c r="AA30" s="673"/>
      <c r="AB30" s="673"/>
      <c r="AC30" s="673"/>
      <c r="AD30" s="673"/>
      <c r="AE30" s="674"/>
    </row>
    <row r="31" spans="1:32" ht="12" customHeight="1" thickBot="1" x14ac:dyDescent="0.3">
      <c r="A31" s="51"/>
      <c r="B31" s="52"/>
      <c r="C31" s="52"/>
      <c r="D31" s="26"/>
      <c r="E31" s="26"/>
      <c r="F31" s="26"/>
      <c r="G31" s="26"/>
      <c r="H31" s="26"/>
      <c r="I31" s="26"/>
      <c r="J31" s="26"/>
      <c r="K31" s="26"/>
      <c r="L31" s="26"/>
      <c r="M31" s="26"/>
      <c r="N31" s="26"/>
      <c r="O31" s="26"/>
      <c r="P31" s="53"/>
      <c r="Q31" s="126"/>
      <c r="R31" s="126"/>
      <c r="S31" s="126"/>
      <c r="T31" s="126"/>
      <c r="U31" s="126"/>
      <c r="V31" s="126"/>
      <c r="W31" s="126"/>
      <c r="X31" s="126"/>
      <c r="Y31" s="126"/>
      <c r="Z31" s="126"/>
      <c r="AA31" s="126"/>
      <c r="AB31" s="126"/>
      <c r="AC31" s="126"/>
      <c r="AD31" s="126"/>
      <c r="AE31" s="127"/>
    </row>
    <row r="32" spans="1:32" ht="45" customHeight="1" x14ac:dyDescent="0.25">
      <c r="A32" s="586" t="s">
        <v>159</v>
      </c>
      <c r="B32" s="587"/>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8"/>
    </row>
    <row r="33" spans="1:41" ht="23.1" customHeight="1" x14ac:dyDescent="0.25">
      <c r="A33" s="590" t="s">
        <v>44</v>
      </c>
      <c r="B33" s="592" t="s">
        <v>46</v>
      </c>
      <c r="C33" s="592" t="s">
        <v>36</v>
      </c>
      <c r="D33" s="592" t="s">
        <v>160</v>
      </c>
      <c r="E33" s="592"/>
      <c r="F33" s="592"/>
      <c r="G33" s="592"/>
      <c r="H33" s="592"/>
      <c r="I33" s="592"/>
      <c r="J33" s="592"/>
      <c r="K33" s="592"/>
      <c r="L33" s="592"/>
      <c r="M33" s="592"/>
      <c r="N33" s="592"/>
      <c r="O33" s="592"/>
      <c r="P33" s="592"/>
      <c r="Q33" s="592" t="s">
        <v>161</v>
      </c>
      <c r="R33" s="592"/>
      <c r="S33" s="592"/>
      <c r="T33" s="592"/>
      <c r="U33" s="592"/>
      <c r="V33" s="592"/>
      <c r="W33" s="592"/>
      <c r="X33" s="592"/>
      <c r="Y33" s="592"/>
      <c r="Z33" s="592"/>
      <c r="AA33" s="592"/>
      <c r="AB33" s="592"/>
      <c r="AC33" s="592"/>
      <c r="AD33" s="592"/>
      <c r="AE33" s="671"/>
      <c r="AG33" s="128"/>
      <c r="AH33" s="128"/>
      <c r="AI33" s="128"/>
      <c r="AJ33" s="128"/>
      <c r="AK33" s="128"/>
      <c r="AL33" s="128"/>
      <c r="AM33" s="128"/>
      <c r="AN33" s="128"/>
      <c r="AO33" s="128"/>
    </row>
    <row r="34" spans="1:41" ht="27" customHeight="1" x14ac:dyDescent="0.25">
      <c r="A34" s="590"/>
      <c r="B34" s="592"/>
      <c r="C34" s="675"/>
      <c r="D34" s="48" t="s">
        <v>141</v>
      </c>
      <c r="E34" s="48" t="s">
        <v>142</v>
      </c>
      <c r="F34" s="48" t="s">
        <v>143</v>
      </c>
      <c r="G34" s="48" t="s">
        <v>144</v>
      </c>
      <c r="H34" s="48" t="s">
        <v>145</v>
      </c>
      <c r="I34" s="48" t="s">
        <v>146</v>
      </c>
      <c r="J34" s="48" t="s">
        <v>147</v>
      </c>
      <c r="K34" s="48" t="s">
        <v>148</v>
      </c>
      <c r="L34" s="48" t="s">
        <v>149</v>
      </c>
      <c r="M34" s="48" t="s">
        <v>150</v>
      </c>
      <c r="N34" s="48" t="s">
        <v>128</v>
      </c>
      <c r="O34" s="48" t="s">
        <v>151</v>
      </c>
      <c r="P34" s="48" t="s">
        <v>102</v>
      </c>
      <c r="Q34" s="676" t="s">
        <v>52</v>
      </c>
      <c r="R34" s="677"/>
      <c r="S34" s="677"/>
      <c r="T34" s="678"/>
      <c r="U34" s="592" t="s">
        <v>54</v>
      </c>
      <c r="V34" s="592"/>
      <c r="W34" s="592"/>
      <c r="X34" s="592"/>
      <c r="Y34" s="592" t="s">
        <v>56</v>
      </c>
      <c r="Z34" s="592"/>
      <c r="AA34" s="592"/>
      <c r="AB34" s="592"/>
      <c r="AC34" s="592" t="s">
        <v>58</v>
      </c>
      <c r="AD34" s="592"/>
      <c r="AE34" s="671"/>
      <c r="AG34" s="128"/>
      <c r="AH34" s="128"/>
      <c r="AI34" s="128"/>
      <c r="AJ34" s="128"/>
      <c r="AK34" s="128"/>
      <c r="AL34" s="128"/>
      <c r="AM34" s="128"/>
      <c r="AN34" s="128"/>
      <c r="AO34" s="128"/>
    </row>
    <row r="35" spans="1:41" ht="243" customHeight="1" x14ac:dyDescent="0.25">
      <c r="A35" s="681" t="str">
        <f>+C17</f>
        <v>Desarrollar 3 acciones de transformación cultural efectivas para prevenir las violencias contra las mujeres, incluyendo campañas educativas. (Producto MGA - Servicio de promoción de la garantía de derechos)</v>
      </c>
      <c r="B35" s="683">
        <v>0.12</v>
      </c>
      <c r="C35" s="166" t="s">
        <v>48</v>
      </c>
      <c r="D35" s="162">
        <f>+D73</f>
        <v>0</v>
      </c>
      <c r="E35" s="162">
        <f t="shared" ref="E35:O35" si="1">+E73</f>
        <v>0</v>
      </c>
      <c r="F35" s="162">
        <f t="shared" si="1"/>
        <v>0</v>
      </c>
      <c r="G35" s="162">
        <f t="shared" si="1"/>
        <v>0</v>
      </c>
      <c r="H35" s="162">
        <f t="shared" si="1"/>
        <v>0</v>
      </c>
      <c r="I35" s="162">
        <f t="shared" si="1"/>
        <v>0</v>
      </c>
      <c r="J35" s="162">
        <f t="shared" si="1"/>
        <v>0</v>
      </c>
      <c r="K35" s="162">
        <f t="shared" si="1"/>
        <v>0.20833333333333334</v>
      </c>
      <c r="L35" s="162">
        <f t="shared" si="1"/>
        <v>0.2416666666666667</v>
      </c>
      <c r="M35" s="162">
        <f t="shared" si="1"/>
        <v>0.35000000000000003</v>
      </c>
      <c r="N35" s="162">
        <f>+N73</f>
        <v>0.1</v>
      </c>
      <c r="O35" s="162">
        <f t="shared" si="1"/>
        <v>0.1</v>
      </c>
      <c r="P35" s="164">
        <f>SUM(D35:O35)</f>
        <v>1</v>
      </c>
      <c r="Q35" s="561" t="s">
        <v>222</v>
      </c>
      <c r="R35" s="562"/>
      <c r="S35" s="562"/>
      <c r="T35" s="563"/>
      <c r="U35" s="582" t="s">
        <v>223</v>
      </c>
      <c r="V35" s="582"/>
      <c r="W35" s="582"/>
      <c r="X35" s="582"/>
      <c r="Y35" s="582" t="s">
        <v>224</v>
      </c>
      <c r="Z35" s="582"/>
      <c r="AA35" s="582"/>
      <c r="AB35" s="582"/>
      <c r="AC35" s="582" t="s">
        <v>225</v>
      </c>
      <c r="AD35" s="582"/>
      <c r="AE35" s="583"/>
      <c r="AG35" s="364" t="s">
        <v>226</v>
      </c>
      <c r="AH35" s="128">
        <f>LEN(AG35)</f>
        <v>299</v>
      </c>
      <c r="AI35" s="128"/>
      <c r="AJ35" s="128"/>
      <c r="AK35" s="128"/>
      <c r="AL35" s="128"/>
      <c r="AM35" s="128"/>
      <c r="AN35" s="128"/>
      <c r="AO35" s="128"/>
    </row>
    <row r="36" spans="1:41" ht="243" customHeight="1" thickBot="1" x14ac:dyDescent="0.3">
      <c r="A36" s="682"/>
      <c r="B36" s="684"/>
      <c r="C36" s="167" t="s">
        <v>50</v>
      </c>
      <c r="D36" s="165">
        <f>+D70</f>
        <v>0</v>
      </c>
      <c r="E36" s="165">
        <f t="shared" ref="E36:O36" si="2">+E70</f>
        <v>0</v>
      </c>
      <c r="F36" s="165">
        <f t="shared" si="2"/>
        <v>0</v>
      </c>
      <c r="G36" s="165">
        <f t="shared" si="2"/>
        <v>0</v>
      </c>
      <c r="H36" s="165">
        <f t="shared" si="2"/>
        <v>0</v>
      </c>
      <c r="I36" s="165">
        <f t="shared" si="2"/>
        <v>0</v>
      </c>
      <c r="J36" s="165">
        <f t="shared" si="2"/>
        <v>0</v>
      </c>
      <c r="K36" s="165">
        <f t="shared" si="2"/>
        <v>0.20833333333333334</v>
      </c>
      <c r="L36" s="165">
        <f t="shared" si="2"/>
        <v>0.2416666666666667</v>
      </c>
      <c r="M36" s="165">
        <f t="shared" si="2"/>
        <v>0.35000000000000003</v>
      </c>
      <c r="N36" s="165">
        <f t="shared" si="2"/>
        <v>0.1</v>
      </c>
      <c r="O36" s="165">
        <f t="shared" si="2"/>
        <v>0</v>
      </c>
      <c r="P36" s="163">
        <f>SUM(D36:O36)</f>
        <v>0.9</v>
      </c>
      <c r="Q36" s="564"/>
      <c r="R36" s="565"/>
      <c r="S36" s="565"/>
      <c r="T36" s="566"/>
      <c r="U36" s="584"/>
      <c r="V36" s="584"/>
      <c r="W36" s="584"/>
      <c r="X36" s="584"/>
      <c r="Y36" s="584"/>
      <c r="Z36" s="584"/>
      <c r="AA36" s="584"/>
      <c r="AB36" s="584"/>
      <c r="AC36" s="584"/>
      <c r="AD36" s="584"/>
      <c r="AE36" s="585"/>
      <c r="AG36" s="128"/>
      <c r="AH36" s="128"/>
      <c r="AI36" s="128"/>
      <c r="AJ36" s="128"/>
      <c r="AK36" s="128"/>
      <c r="AL36" s="128"/>
      <c r="AM36" s="128"/>
      <c r="AN36" s="128"/>
      <c r="AO36" s="128"/>
    </row>
    <row r="37" spans="1:41" s="207" customFormat="1" ht="17.25" customHeight="1" thickBot="1" x14ac:dyDescent="0.25"/>
    <row r="38" spans="1:41" ht="45" customHeight="1" thickBot="1" x14ac:dyDescent="0.3">
      <c r="A38" s="586" t="s">
        <v>166</v>
      </c>
      <c r="B38" s="587"/>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8"/>
      <c r="AG38" s="128"/>
      <c r="AH38" s="128"/>
      <c r="AI38" s="128"/>
      <c r="AJ38" s="128"/>
      <c r="AK38" s="128"/>
      <c r="AL38" s="128"/>
      <c r="AM38" s="128"/>
      <c r="AN38" s="128"/>
      <c r="AO38" s="128"/>
    </row>
    <row r="39" spans="1:41" ht="26.1" customHeight="1" x14ac:dyDescent="0.25">
      <c r="A39" s="589" t="s">
        <v>60</v>
      </c>
      <c r="B39" s="591" t="s">
        <v>167</v>
      </c>
      <c r="C39" s="593" t="s">
        <v>168</v>
      </c>
      <c r="D39" s="595" t="s">
        <v>169</v>
      </c>
      <c r="E39" s="596"/>
      <c r="F39" s="596"/>
      <c r="G39" s="596"/>
      <c r="H39" s="596"/>
      <c r="I39" s="596"/>
      <c r="J39" s="596"/>
      <c r="K39" s="596"/>
      <c r="L39" s="596"/>
      <c r="M39" s="596"/>
      <c r="N39" s="596"/>
      <c r="O39" s="596"/>
      <c r="P39" s="597"/>
      <c r="Q39" s="591" t="s">
        <v>170</v>
      </c>
      <c r="R39" s="591"/>
      <c r="S39" s="591"/>
      <c r="T39" s="591"/>
      <c r="U39" s="591"/>
      <c r="V39" s="591"/>
      <c r="W39" s="591"/>
      <c r="X39" s="591"/>
      <c r="Y39" s="591"/>
      <c r="Z39" s="591"/>
      <c r="AA39" s="591"/>
      <c r="AB39" s="591"/>
      <c r="AC39" s="591"/>
      <c r="AD39" s="591"/>
      <c r="AE39" s="679"/>
      <c r="AG39" s="128"/>
      <c r="AH39" s="128"/>
      <c r="AI39" s="128"/>
      <c r="AJ39" s="128"/>
      <c r="AK39" s="128"/>
      <c r="AL39" s="128"/>
      <c r="AM39" s="128"/>
      <c r="AN39" s="128"/>
      <c r="AO39" s="128"/>
    </row>
    <row r="40" spans="1:41" ht="26.1" customHeight="1" x14ac:dyDescent="0.25">
      <c r="A40" s="590"/>
      <c r="B40" s="592"/>
      <c r="C40" s="594"/>
      <c r="D40" s="48" t="s">
        <v>171</v>
      </c>
      <c r="E40" s="48" t="s">
        <v>172</v>
      </c>
      <c r="F40" s="48" t="s">
        <v>173</v>
      </c>
      <c r="G40" s="48" t="s">
        <v>174</v>
      </c>
      <c r="H40" s="48" t="s">
        <v>175</v>
      </c>
      <c r="I40" s="48" t="s">
        <v>176</v>
      </c>
      <c r="J40" s="48" t="s">
        <v>177</v>
      </c>
      <c r="K40" s="48" t="s">
        <v>178</v>
      </c>
      <c r="L40" s="48" t="s">
        <v>179</v>
      </c>
      <c r="M40" s="48" t="s">
        <v>180</v>
      </c>
      <c r="N40" s="48" t="s">
        <v>181</v>
      </c>
      <c r="O40" s="48" t="s">
        <v>182</v>
      </c>
      <c r="P40" s="48" t="s">
        <v>183</v>
      </c>
      <c r="Q40" s="676" t="s">
        <v>184</v>
      </c>
      <c r="R40" s="677"/>
      <c r="S40" s="677"/>
      <c r="T40" s="677"/>
      <c r="U40" s="677"/>
      <c r="V40" s="677"/>
      <c r="W40" s="677"/>
      <c r="X40" s="678"/>
      <c r="Y40" s="676" t="s">
        <v>68</v>
      </c>
      <c r="Z40" s="677"/>
      <c r="AA40" s="677"/>
      <c r="AB40" s="677"/>
      <c r="AC40" s="677"/>
      <c r="AD40" s="677"/>
      <c r="AE40" s="680"/>
      <c r="AG40" s="208"/>
      <c r="AH40" s="208"/>
      <c r="AI40" s="208"/>
      <c r="AJ40" s="208"/>
      <c r="AK40" s="208"/>
      <c r="AL40" s="208"/>
      <c r="AM40" s="208"/>
      <c r="AN40" s="208"/>
      <c r="AO40" s="208"/>
    </row>
    <row r="41" spans="1:41" ht="90.6" customHeight="1" x14ac:dyDescent="0.25">
      <c r="A41" s="691" t="s">
        <v>227</v>
      </c>
      <c r="B41" s="692">
        <v>7.0000000000000007E-2</v>
      </c>
      <c r="C41" s="56" t="s">
        <v>48</v>
      </c>
      <c r="D41" s="57">
        <v>0</v>
      </c>
      <c r="E41" s="57">
        <v>0</v>
      </c>
      <c r="F41" s="57">
        <v>0</v>
      </c>
      <c r="G41" s="57">
        <v>0</v>
      </c>
      <c r="H41" s="57">
        <v>0</v>
      </c>
      <c r="I41" s="57">
        <v>0</v>
      </c>
      <c r="J41" s="57">
        <v>0</v>
      </c>
      <c r="K41" s="57">
        <v>0.3</v>
      </c>
      <c r="L41" s="57">
        <v>0.3</v>
      </c>
      <c r="M41" s="57">
        <v>0.4</v>
      </c>
      <c r="N41" s="57">
        <v>0</v>
      </c>
      <c r="O41" s="57">
        <v>0</v>
      </c>
      <c r="P41" s="58">
        <f t="shared" ref="P41:P46" si="3">SUM(D41:O41)</f>
        <v>1</v>
      </c>
      <c r="Q41" s="713" t="s">
        <v>228</v>
      </c>
      <c r="R41" s="702"/>
      <c r="S41" s="702"/>
      <c r="T41" s="702"/>
      <c r="U41" s="702"/>
      <c r="V41" s="702"/>
      <c r="W41" s="702"/>
      <c r="X41" s="703"/>
      <c r="Y41" s="789" t="s">
        <v>229</v>
      </c>
      <c r="Z41" s="702"/>
      <c r="AA41" s="702"/>
      <c r="AB41" s="702"/>
      <c r="AC41" s="702"/>
      <c r="AD41" s="702"/>
      <c r="AE41" s="702"/>
      <c r="AG41" s="209"/>
      <c r="AH41" s="209"/>
      <c r="AI41" s="209"/>
      <c r="AJ41" s="209"/>
      <c r="AK41" s="209"/>
      <c r="AL41" s="209"/>
      <c r="AM41" s="209"/>
      <c r="AN41" s="209"/>
      <c r="AO41" s="209"/>
    </row>
    <row r="42" spans="1:41" ht="90.6" customHeight="1" x14ac:dyDescent="0.25">
      <c r="A42" s="691"/>
      <c r="B42" s="692"/>
      <c r="C42" s="59" t="s">
        <v>50</v>
      </c>
      <c r="D42" s="60">
        <v>0</v>
      </c>
      <c r="E42" s="60">
        <v>0</v>
      </c>
      <c r="F42" s="60">
        <v>0</v>
      </c>
      <c r="G42" s="60">
        <v>0</v>
      </c>
      <c r="H42" s="60">
        <v>0</v>
      </c>
      <c r="I42" s="60">
        <v>0</v>
      </c>
      <c r="J42" s="60">
        <v>0</v>
      </c>
      <c r="K42" s="60">
        <v>0.3</v>
      </c>
      <c r="L42" s="60">
        <v>0.3</v>
      </c>
      <c r="M42" s="60">
        <v>0.4</v>
      </c>
      <c r="N42" s="60">
        <v>0</v>
      </c>
      <c r="O42" s="60">
        <v>0</v>
      </c>
      <c r="P42" s="58">
        <f t="shared" si="3"/>
        <v>1</v>
      </c>
      <c r="Q42" s="704"/>
      <c r="R42" s="705"/>
      <c r="S42" s="705"/>
      <c r="T42" s="705"/>
      <c r="U42" s="705"/>
      <c r="V42" s="705"/>
      <c r="W42" s="705"/>
      <c r="X42" s="706"/>
      <c r="Y42" s="704"/>
      <c r="Z42" s="705"/>
      <c r="AA42" s="705"/>
      <c r="AB42" s="705"/>
      <c r="AC42" s="705"/>
      <c r="AD42" s="705"/>
      <c r="AE42" s="705"/>
    </row>
    <row r="43" spans="1:41" ht="54" customHeight="1" x14ac:dyDescent="0.25">
      <c r="A43" s="691" t="s">
        <v>230</v>
      </c>
      <c r="B43" s="692">
        <v>0.03</v>
      </c>
      <c r="C43" s="56" t="s">
        <v>48</v>
      </c>
      <c r="D43" s="57">
        <v>0</v>
      </c>
      <c r="E43" s="57">
        <v>0</v>
      </c>
      <c r="F43" s="57">
        <v>0</v>
      </c>
      <c r="G43" s="57">
        <v>0</v>
      </c>
      <c r="H43" s="57">
        <v>0</v>
      </c>
      <c r="I43" s="57">
        <v>0</v>
      </c>
      <c r="J43" s="57">
        <v>0</v>
      </c>
      <c r="K43" s="57">
        <v>0</v>
      </c>
      <c r="L43" s="57">
        <v>0</v>
      </c>
      <c r="M43" s="57">
        <v>0.2</v>
      </c>
      <c r="N43" s="57">
        <v>0.4</v>
      </c>
      <c r="O43" s="57">
        <v>0.4</v>
      </c>
      <c r="P43" s="58">
        <f t="shared" si="3"/>
        <v>1</v>
      </c>
      <c r="Q43" s="693" t="s">
        <v>231</v>
      </c>
      <c r="R43" s="694"/>
      <c r="S43" s="694"/>
      <c r="T43" s="694"/>
      <c r="U43" s="694"/>
      <c r="V43" s="694"/>
      <c r="W43" s="694"/>
      <c r="X43" s="695"/>
      <c r="Y43" s="713" t="s">
        <v>232</v>
      </c>
      <c r="Z43" s="790"/>
      <c r="AA43" s="790"/>
      <c r="AB43" s="790"/>
      <c r="AC43" s="790"/>
      <c r="AD43" s="790"/>
      <c r="AE43" s="790"/>
    </row>
    <row r="44" spans="1:41" ht="181.5" customHeight="1" x14ac:dyDescent="0.25">
      <c r="A44" s="691"/>
      <c r="B44" s="692"/>
      <c r="C44" s="59" t="s">
        <v>50</v>
      </c>
      <c r="D44" s="60">
        <v>0</v>
      </c>
      <c r="E44" s="60">
        <v>0</v>
      </c>
      <c r="F44" s="60">
        <v>0</v>
      </c>
      <c r="G44" s="60">
        <v>0</v>
      </c>
      <c r="H44" s="60">
        <v>0</v>
      </c>
      <c r="I44" s="60">
        <v>0</v>
      </c>
      <c r="J44" s="60">
        <v>0</v>
      </c>
      <c r="K44" s="60">
        <v>0</v>
      </c>
      <c r="L44" s="60">
        <v>0</v>
      </c>
      <c r="M44" s="60">
        <v>0.2</v>
      </c>
      <c r="N44" s="60">
        <v>0.4</v>
      </c>
      <c r="O44" s="60">
        <v>0</v>
      </c>
      <c r="P44" s="58">
        <f t="shared" si="3"/>
        <v>0.60000000000000009</v>
      </c>
      <c r="Q44" s="696"/>
      <c r="R44" s="697"/>
      <c r="S44" s="697"/>
      <c r="T44" s="697"/>
      <c r="U44" s="697"/>
      <c r="V44" s="697"/>
      <c r="W44" s="697"/>
      <c r="X44" s="698"/>
      <c r="Y44" s="704"/>
      <c r="Z44" s="705"/>
      <c r="AA44" s="705"/>
      <c r="AB44" s="705"/>
      <c r="AC44" s="705"/>
      <c r="AD44" s="705"/>
      <c r="AE44" s="705"/>
    </row>
    <row r="45" spans="1:41" ht="113.45" customHeight="1" x14ac:dyDescent="0.25">
      <c r="A45" s="691" t="s">
        <v>233</v>
      </c>
      <c r="B45" s="692">
        <v>0.02</v>
      </c>
      <c r="C45" s="56" t="s">
        <v>48</v>
      </c>
      <c r="D45" s="57">
        <v>0</v>
      </c>
      <c r="E45" s="57">
        <v>0</v>
      </c>
      <c r="F45" s="57">
        <v>0</v>
      </c>
      <c r="G45" s="57">
        <v>0</v>
      </c>
      <c r="H45" s="57">
        <v>0</v>
      </c>
      <c r="I45" s="57">
        <v>0</v>
      </c>
      <c r="J45" s="57">
        <v>0</v>
      </c>
      <c r="K45" s="57">
        <v>0.2</v>
      </c>
      <c r="L45" s="57">
        <v>0.4</v>
      </c>
      <c r="M45" s="57">
        <v>0.4</v>
      </c>
      <c r="N45" s="57">
        <v>0</v>
      </c>
      <c r="O45" s="57">
        <v>0</v>
      </c>
      <c r="P45" s="58">
        <f t="shared" si="3"/>
        <v>1</v>
      </c>
      <c r="Q45" s="713" t="s">
        <v>234</v>
      </c>
      <c r="R45" s="702"/>
      <c r="S45" s="702"/>
      <c r="T45" s="702"/>
      <c r="U45" s="702"/>
      <c r="V45" s="702"/>
      <c r="W45" s="702"/>
      <c r="X45" s="703"/>
      <c r="Y45" s="783" t="s">
        <v>235</v>
      </c>
      <c r="Z45" s="784"/>
      <c r="AA45" s="784"/>
      <c r="AB45" s="784"/>
      <c r="AC45" s="784"/>
      <c r="AD45" s="784"/>
      <c r="AE45" s="785"/>
    </row>
    <row r="46" spans="1:41" ht="113.45" customHeight="1" x14ac:dyDescent="0.25">
      <c r="A46" s="691"/>
      <c r="B46" s="692"/>
      <c r="C46" s="59" t="s">
        <v>50</v>
      </c>
      <c r="D46" s="60">
        <v>0</v>
      </c>
      <c r="E46" s="60">
        <v>0</v>
      </c>
      <c r="F46" s="60">
        <v>0</v>
      </c>
      <c r="G46" s="60">
        <v>0</v>
      </c>
      <c r="H46" s="60">
        <v>0</v>
      </c>
      <c r="I46" s="60">
        <v>0</v>
      </c>
      <c r="J46" s="60">
        <v>0</v>
      </c>
      <c r="K46" s="60">
        <v>0.2</v>
      </c>
      <c r="L46" s="60">
        <v>0.4</v>
      </c>
      <c r="M46" s="60">
        <v>0.4</v>
      </c>
      <c r="N46" s="60">
        <v>0</v>
      </c>
      <c r="O46" s="60">
        <v>0</v>
      </c>
      <c r="P46" s="58">
        <f t="shared" si="3"/>
        <v>1</v>
      </c>
      <c r="Q46" s="704"/>
      <c r="R46" s="705"/>
      <c r="S46" s="705"/>
      <c r="T46" s="705"/>
      <c r="U46" s="705"/>
      <c r="V46" s="705"/>
      <c r="W46" s="705"/>
      <c r="X46" s="706"/>
      <c r="Y46" s="786"/>
      <c r="Z46" s="787"/>
      <c r="AA46" s="787"/>
      <c r="AB46" s="787"/>
      <c r="AC46" s="787"/>
      <c r="AD46" s="787"/>
      <c r="AE46" s="788"/>
    </row>
    <row r="47" spans="1:41" ht="15" customHeight="1" x14ac:dyDescent="0.25">
      <c r="A47" s="125" t="s">
        <v>197</v>
      </c>
      <c r="B47" s="244">
        <f>SUM(B41:B46)</f>
        <v>0.12000000000000001</v>
      </c>
      <c r="Q47" s="210"/>
      <c r="R47" s="210"/>
      <c r="S47" s="210"/>
      <c r="T47" s="210"/>
      <c r="U47" s="210"/>
      <c r="V47" s="210"/>
      <c r="W47" s="210"/>
      <c r="X47" s="210"/>
      <c r="Y47" s="245"/>
      <c r="Z47" s="210"/>
      <c r="AA47" s="210"/>
      <c r="AB47" s="210"/>
      <c r="AC47" s="210"/>
      <c r="AD47" s="210"/>
      <c r="AE47" s="210"/>
    </row>
    <row r="48" spans="1:41" x14ac:dyDescent="0.25">
      <c r="Q48" s="210"/>
      <c r="R48" s="210"/>
      <c r="S48" s="210"/>
      <c r="T48" s="210"/>
      <c r="U48" s="210"/>
      <c r="V48" s="210"/>
      <c r="W48" s="210"/>
      <c r="X48" s="210"/>
      <c r="Y48" s="210"/>
      <c r="Z48" s="210"/>
      <c r="AA48" s="210"/>
      <c r="AB48" s="210"/>
      <c r="AC48" s="210"/>
      <c r="AD48" s="210"/>
      <c r="AE48" s="210"/>
    </row>
    <row r="49" spans="1:31" x14ac:dyDescent="0.25">
      <c r="Q49" s="210"/>
      <c r="R49" s="210"/>
      <c r="S49" s="210"/>
      <c r="T49" s="210"/>
      <c r="U49" s="210"/>
      <c r="V49" s="210"/>
      <c r="W49" s="210"/>
      <c r="X49" s="210"/>
      <c r="Y49" s="210"/>
      <c r="Z49" s="210"/>
      <c r="AA49" s="210"/>
      <c r="AB49" s="210"/>
      <c r="AC49" s="210"/>
      <c r="AD49" s="210"/>
      <c r="AE49" s="210"/>
    </row>
    <row r="50" spans="1:31" x14ac:dyDescent="0.25">
      <c r="Q50" s="210"/>
      <c r="R50" s="210"/>
      <c r="S50" s="210"/>
      <c r="T50" s="210"/>
      <c r="U50" s="210"/>
      <c r="V50" s="210"/>
      <c r="W50" s="210"/>
      <c r="X50" s="210"/>
      <c r="Y50" s="210"/>
      <c r="Z50" s="210"/>
      <c r="AA50" s="210"/>
      <c r="AB50" s="210"/>
      <c r="AC50" s="210"/>
      <c r="AD50" s="210"/>
      <c r="AE50" s="210"/>
    </row>
    <row r="51" spans="1:31" x14ac:dyDescent="0.25">
      <c r="Q51" s="210"/>
      <c r="R51" s="210"/>
      <c r="S51" s="210"/>
      <c r="T51" s="210"/>
      <c r="U51" s="210"/>
      <c r="V51" s="210"/>
      <c r="W51" s="210"/>
      <c r="X51" s="210"/>
      <c r="Y51" s="210"/>
      <c r="Z51" s="210"/>
      <c r="AA51" s="210"/>
      <c r="AB51" s="210"/>
      <c r="AC51" s="210"/>
      <c r="AD51" s="210"/>
      <c r="AE51" s="210"/>
    </row>
    <row r="52" spans="1:31" x14ac:dyDescent="0.25">
      <c r="Q52" s="210"/>
      <c r="R52" s="210"/>
      <c r="S52" s="210"/>
      <c r="T52" s="210"/>
      <c r="U52" s="210"/>
      <c r="V52" s="210"/>
      <c r="W52" s="210"/>
      <c r="X52" s="210"/>
      <c r="Y52" s="210"/>
      <c r="Z52" s="210"/>
      <c r="AA52" s="210"/>
      <c r="AB52" s="210"/>
      <c r="AC52" s="210"/>
      <c r="AD52" s="210"/>
      <c r="AE52" s="210"/>
    </row>
    <row r="53" spans="1:31" x14ac:dyDescent="0.25">
      <c r="Q53" s="210"/>
      <c r="R53" s="210"/>
      <c r="S53" s="210"/>
      <c r="T53" s="210"/>
      <c r="U53" s="210"/>
      <c r="V53" s="210"/>
      <c r="W53" s="210"/>
      <c r="X53" s="210"/>
      <c r="Y53" s="210"/>
      <c r="Z53" s="210"/>
      <c r="AA53" s="210"/>
      <c r="AB53" s="210"/>
      <c r="AC53" s="210"/>
      <c r="AD53" s="210"/>
      <c r="AE53" s="210"/>
    </row>
    <row r="54" spans="1:31" ht="15" thickBot="1" x14ac:dyDescent="0.3">
      <c r="Q54" s="210"/>
      <c r="R54" s="210"/>
      <c r="S54" s="210"/>
      <c r="T54" s="210"/>
      <c r="U54" s="210"/>
      <c r="V54" s="210"/>
      <c r="W54" s="210"/>
      <c r="X54" s="210"/>
      <c r="Y54" s="210"/>
      <c r="Z54" s="210"/>
      <c r="AA54" s="210"/>
      <c r="AB54" s="210"/>
      <c r="AC54" s="210"/>
      <c r="AD54" s="210"/>
      <c r="AE54" s="210"/>
    </row>
    <row r="55" spans="1:31" s="214" customFormat="1" ht="15" x14ac:dyDescent="0.25">
      <c r="A55" s="575" t="s">
        <v>44</v>
      </c>
      <c r="B55" s="577" t="s">
        <v>167</v>
      </c>
      <c r="C55" s="579" t="s">
        <v>169</v>
      </c>
      <c r="D55" s="580"/>
      <c r="E55" s="580"/>
      <c r="F55" s="580"/>
      <c r="G55" s="580"/>
      <c r="H55" s="580"/>
      <c r="I55" s="580"/>
      <c r="J55" s="580"/>
      <c r="K55" s="580"/>
      <c r="L55" s="580"/>
      <c r="M55" s="580"/>
      <c r="N55" s="580"/>
      <c r="O55" s="580"/>
      <c r="P55" s="581"/>
      <c r="Q55" s="211"/>
      <c r="R55" s="211"/>
      <c r="S55" s="212"/>
      <c r="T55" s="212"/>
      <c r="U55" s="212"/>
      <c r="V55" s="212"/>
      <c r="W55" s="212"/>
      <c r="X55" s="212"/>
      <c r="Y55" s="212"/>
      <c r="Z55" s="212"/>
      <c r="AA55" s="212"/>
      <c r="AB55" s="212"/>
      <c r="AC55" s="212"/>
      <c r="AD55" s="212"/>
      <c r="AE55" s="213"/>
    </row>
    <row r="56" spans="1:31" s="214" customFormat="1" ht="21" x14ac:dyDescent="0.25">
      <c r="A56" s="576"/>
      <c r="B56" s="578"/>
      <c r="C56" s="215" t="s">
        <v>168</v>
      </c>
      <c r="D56" s="215" t="s">
        <v>171</v>
      </c>
      <c r="E56" s="215" t="s">
        <v>172</v>
      </c>
      <c r="F56" s="215" t="s">
        <v>173</v>
      </c>
      <c r="G56" s="215" t="s">
        <v>174</v>
      </c>
      <c r="H56" s="215" t="s">
        <v>175</v>
      </c>
      <c r="I56" s="215" t="s">
        <v>176</v>
      </c>
      <c r="J56" s="215" t="s">
        <v>177</v>
      </c>
      <c r="K56" s="215" t="s">
        <v>178</v>
      </c>
      <c r="L56" s="215" t="s">
        <v>179</v>
      </c>
      <c r="M56" s="215" t="s">
        <v>180</v>
      </c>
      <c r="N56" s="215" t="s">
        <v>181</v>
      </c>
      <c r="O56" s="215" t="s">
        <v>182</v>
      </c>
      <c r="P56" s="216" t="s">
        <v>183</v>
      </c>
      <c r="Q56" s="211"/>
      <c r="R56" s="211"/>
      <c r="S56" s="212"/>
      <c r="T56" s="212"/>
      <c r="U56" s="212"/>
      <c r="V56" s="212"/>
      <c r="W56" s="212"/>
      <c r="X56" s="212"/>
      <c r="Y56" s="212"/>
      <c r="Z56" s="212"/>
      <c r="AA56" s="212"/>
      <c r="AB56" s="212"/>
      <c r="AC56" s="212"/>
      <c r="AD56" s="212"/>
      <c r="AE56" s="213"/>
    </row>
    <row r="57" spans="1:31" s="214" customFormat="1" ht="18" customHeight="1" x14ac:dyDescent="0.25">
      <c r="A57" s="571" t="str">
        <f>A41</f>
        <v>11. Diseñar una estrategia de transformación cultural para prevenir las violencias contra las mujeres, incluyendo matrices de consistencia y teorías del cambio (a partir de la línea base de investigación)</v>
      </c>
      <c r="B57" s="573">
        <f>B41</f>
        <v>7.0000000000000007E-2</v>
      </c>
      <c r="C57" s="217" t="s">
        <v>48</v>
      </c>
      <c r="D57" s="218">
        <f>D41*$B$41/$P$41</f>
        <v>0</v>
      </c>
      <c r="E57" s="218">
        <f t="shared" ref="E57:O58" si="4">E41*$B$41/$P$41</f>
        <v>0</v>
      </c>
      <c r="F57" s="218">
        <f t="shared" si="4"/>
        <v>0</v>
      </c>
      <c r="G57" s="218">
        <f t="shared" si="4"/>
        <v>0</v>
      </c>
      <c r="H57" s="218">
        <f t="shared" si="4"/>
        <v>0</v>
      </c>
      <c r="I57" s="218">
        <f t="shared" si="4"/>
        <v>0</v>
      </c>
      <c r="J57" s="218">
        <f t="shared" si="4"/>
        <v>0</v>
      </c>
      <c r="K57" s="218">
        <f t="shared" si="4"/>
        <v>2.1000000000000001E-2</v>
      </c>
      <c r="L57" s="218">
        <f t="shared" si="4"/>
        <v>2.1000000000000001E-2</v>
      </c>
      <c r="M57" s="218">
        <f t="shared" si="4"/>
        <v>2.8000000000000004E-2</v>
      </c>
      <c r="N57" s="218">
        <f t="shared" si="4"/>
        <v>0</v>
      </c>
      <c r="O57" s="218">
        <f t="shared" si="4"/>
        <v>0</v>
      </c>
      <c r="P57" s="219">
        <f>SUM(D57:O57)</f>
        <v>7.0000000000000007E-2</v>
      </c>
      <c r="Q57" s="220"/>
      <c r="R57" s="221"/>
      <c r="S57" s="212"/>
      <c r="T57" s="212"/>
      <c r="U57" s="212"/>
      <c r="V57" s="212"/>
      <c r="W57" s="212"/>
      <c r="X57" s="212"/>
      <c r="Y57" s="212"/>
      <c r="Z57" s="212"/>
      <c r="AA57" s="212"/>
      <c r="AB57" s="212"/>
      <c r="AC57" s="212"/>
      <c r="AD57" s="212"/>
      <c r="AE57" s="213"/>
    </row>
    <row r="58" spans="1:31" s="214" customFormat="1" ht="18" customHeight="1" x14ac:dyDescent="0.25">
      <c r="A58" s="572"/>
      <c r="B58" s="574"/>
      <c r="C58" s="222" t="s">
        <v>50</v>
      </c>
      <c r="D58" s="223">
        <f>D42*$B$41/$P$41</f>
        <v>0</v>
      </c>
      <c r="E58" s="223">
        <f t="shared" si="4"/>
        <v>0</v>
      </c>
      <c r="F58" s="223">
        <f t="shared" si="4"/>
        <v>0</v>
      </c>
      <c r="G58" s="223">
        <f t="shared" si="4"/>
        <v>0</v>
      </c>
      <c r="H58" s="223">
        <f t="shared" si="4"/>
        <v>0</v>
      </c>
      <c r="I58" s="223">
        <f t="shared" si="4"/>
        <v>0</v>
      </c>
      <c r="J58" s="223">
        <f t="shared" si="4"/>
        <v>0</v>
      </c>
      <c r="K58" s="223">
        <f t="shared" si="4"/>
        <v>2.1000000000000001E-2</v>
      </c>
      <c r="L58" s="223">
        <f t="shared" si="4"/>
        <v>2.1000000000000001E-2</v>
      </c>
      <c r="M58" s="223">
        <f t="shared" si="4"/>
        <v>2.8000000000000004E-2</v>
      </c>
      <c r="N58" s="223">
        <f t="shared" si="4"/>
        <v>0</v>
      </c>
      <c r="O58" s="223">
        <f t="shared" si="4"/>
        <v>0</v>
      </c>
      <c r="P58" s="224">
        <f>SUM(D58:O58)</f>
        <v>7.0000000000000007E-2</v>
      </c>
      <c r="Q58" s="225"/>
      <c r="R58" s="221"/>
      <c r="S58" s="212"/>
      <c r="T58" s="212"/>
      <c r="U58" s="212"/>
      <c r="V58" s="212"/>
      <c r="W58" s="212"/>
      <c r="X58" s="212"/>
      <c r="Y58" s="212"/>
      <c r="Z58" s="212"/>
      <c r="AA58" s="212"/>
      <c r="AB58" s="212"/>
      <c r="AC58" s="212"/>
      <c r="AD58" s="212"/>
      <c r="AE58" s="213"/>
    </row>
    <row r="59" spans="1:31" s="214" customFormat="1" ht="18" customHeight="1" x14ac:dyDescent="0.25">
      <c r="A59" s="571" t="str">
        <f t="shared" ref="A59:B59" si="5">A43</f>
        <v xml:space="preserve">12. Desarrollar el pilotaje de la estrategia en comunidades seleccionadas, realizar el seguimiento de su implementación y ajustar las estrategias basándose en los resultados obtenidos. </v>
      </c>
      <c r="B59" s="573">
        <f t="shared" si="5"/>
        <v>0.03</v>
      </c>
      <c r="C59" s="217" t="s">
        <v>48</v>
      </c>
      <c r="D59" s="218">
        <f>D43*$B$43/$P$43</f>
        <v>0</v>
      </c>
      <c r="E59" s="218">
        <f t="shared" ref="E59:O60" si="6">E43*$B$43/$P$43</f>
        <v>0</v>
      </c>
      <c r="F59" s="218">
        <f t="shared" si="6"/>
        <v>0</v>
      </c>
      <c r="G59" s="218">
        <f t="shared" si="6"/>
        <v>0</v>
      </c>
      <c r="H59" s="218">
        <f t="shared" si="6"/>
        <v>0</v>
      </c>
      <c r="I59" s="218">
        <f t="shared" si="6"/>
        <v>0</v>
      </c>
      <c r="J59" s="218">
        <f t="shared" si="6"/>
        <v>0</v>
      </c>
      <c r="K59" s="218">
        <f t="shared" si="6"/>
        <v>0</v>
      </c>
      <c r="L59" s="218">
        <f t="shared" si="6"/>
        <v>0</v>
      </c>
      <c r="M59" s="218">
        <f t="shared" si="6"/>
        <v>6.0000000000000001E-3</v>
      </c>
      <c r="N59" s="218">
        <f t="shared" si="6"/>
        <v>1.2E-2</v>
      </c>
      <c r="O59" s="218">
        <f t="shared" si="6"/>
        <v>1.2E-2</v>
      </c>
      <c r="P59" s="219">
        <f>SUM(D59:O59)</f>
        <v>3.0000000000000002E-2</v>
      </c>
      <c r="Q59" s="220"/>
      <c r="R59" s="221"/>
      <c r="S59" s="212"/>
      <c r="T59" s="212"/>
      <c r="U59" s="212"/>
      <c r="V59" s="212"/>
      <c r="W59" s="212"/>
      <c r="X59" s="212"/>
      <c r="Y59" s="212"/>
      <c r="Z59" s="212"/>
      <c r="AA59" s="212"/>
      <c r="AB59" s="212"/>
      <c r="AC59" s="212"/>
      <c r="AD59" s="212"/>
      <c r="AE59" s="213"/>
    </row>
    <row r="60" spans="1:31" s="214" customFormat="1" ht="18" customHeight="1" x14ac:dyDescent="0.25">
      <c r="A60" s="572"/>
      <c r="B60" s="574"/>
      <c r="C60" s="222" t="s">
        <v>50</v>
      </c>
      <c r="D60" s="223">
        <f>D44*$B$43/$P$43</f>
        <v>0</v>
      </c>
      <c r="E60" s="223">
        <f t="shared" si="6"/>
        <v>0</v>
      </c>
      <c r="F60" s="223">
        <f t="shared" si="6"/>
        <v>0</v>
      </c>
      <c r="G60" s="223">
        <f t="shared" si="6"/>
        <v>0</v>
      </c>
      <c r="H60" s="223">
        <f t="shared" si="6"/>
        <v>0</v>
      </c>
      <c r="I60" s="223">
        <f t="shared" si="6"/>
        <v>0</v>
      </c>
      <c r="J60" s="223">
        <f t="shared" si="6"/>
        <v>0</v>
      </c>
      <c r="K60" s="223">
        <f t="shared" si="6"/>
        <v>0</v>
      </c>
      <c r="L60" s="223">
        <f t="shared" si="6"/>
        <v>0</v>
      </c>
      <c r="M60" s="223">
        <f t="shared" si="6"/>
        <v>6.0000000000000001E-3</v>
      </c>
      <c r="N60" s="223">
        <f t="shared" si="6"/>
        <v>1.2E-2</v>
      </c>
      <c r="O60" s="223">
        <f t="shared" si="6"/>
        <v>0</v>
      </c>
      <c r="P60" s="224">
        <f t="shared" ref="P60:P62" si="7">SUM(D60:O60)</f>
        <v>1.8000000000000002E-2</v>
      </c>
      <c r="Q60" s="225"/>
      <c r="R60" s="221"/>
      <c r="S60" s="212"/>
      <c r="T60" s="212"/>
      <c r="U60" s="212"/>
      <c r="V60" s="212"/>
      <c r="W60" s="212"/>
      <c r="X60" s="212"/>
      <c r="Y60" s="212"/>
      <c r="Z60" s="212"/>
      <c r="AA60" s="212"/>
      <c r="AB60" s="212"/>
      <c r="AC60" s="212"/>
      <c r="AD60" s="212"/>
      <c r="AE60" s="213"/>
    </row>
    <row r="61" spans="1:31" s="214" customFormat="1" ht="18" customHeight="1" x14ac:dyDescent="0.25">
      <c r="A61" s="571" t="str">
        <f t="shared" ref="A61:B61" si="8">A45</f>
        <v>13. Idear  las acciones narrativas y comunicativas de cada estrategia.</v>
      </c>
      <c r="B61" s="573">
        <f t="shared" si="8"/>
        <v>0.02</v>
      </c>
      <c r="C61" s="217" t="s">
        <v>48</v>
      </c>
      <c r="D61" s="218">
        <f>D45*$B$45/$P$45</f>
        <v>0</v>
      </c>
      <c r="E61" s="218">
        <f t="shared" ref="E61:O62" si="9">E45*$B$45/$P$45</f>
        <v>0</v>
      </c>
      <c r="F61" s="218">
        <f t="shared" si="9"/>
        <v>0</v>
      </c>
      <c r="G61" s="218">
        <f t="shared" si="9"/>
        <v>0</v>
      </c>
      <c r="H61" s="218">
        <f t="shared" si="9"/>
        <v>0</v>
      </c>
      <c r="I61" s="218">
        <f t="shared" si="9"/>
        <v>0</v>
      </c>
      <c r="J61" s="218">
        <f t="shared" si="9"/>
        <v>0</v>
      </c>
      <c r="K61" s="218">
        <f t="shared" si="9"/>
        <v>4.0000000000000001E-3</v>
      </c>
      <c r="L61" s="218">
        <f t="shared" si="9"/>
        <v>8.0000000000000002E-3</v>
      </c>
      <c r="M61" s="218">
        <f t="shared" si="9"/>
        <v>8.0000000000000002E-3</v>
      </c>
      <c r="N61" s="218">
        <f t="shared" si="9"/>
        <v>0</v>
      </c>
      <c r="O61" s="218">
        <f t="shared" si="9"/>
        <v>0</v>
      </c>
      <c r="P61" s="219">
        <f>SUM(D61:O61)</f>
        <v>0.02</v>
      </c>
      <c r="Q61" s="220"/>
      <c r="R61" s="221"/>
      <c r="S61" s="212"/>
      <c r="T61" s="212"/>
      <c r="U61" s="212"/>
      <c r="V61" s="212"/>
      <c r="W61" s="212"/>
      <c r="X61" s="212"/>
      <c r="Y61" s="212"/>
      <c r="Z61" s="212"/>
      <c r="AA61" s="212"/>
      <c r="AB61" s="212"/>
      <c r="AC61" s="212"/>
      <c r="AD61" s="212"/>
      <c r="AE61" s="213"/>
    </row>
    <row r="62" spans="1:31" s="214" customFormat="1" ht="18" customHeight="1" x14ac:dyDescent="0.25">
      <c r="A62" s="572"/>
      <c r="B62" s="574"/>
      <c r="C62" s="222" t="s">
        <v>50</v>
      </c>
      <c r="D62" s="226">
        <f>D46*$B$45/$P$45</f>
        <v>0</v>
      </c>
      <c r="E62" s="226">
        <f t="shared" si="9"/>
        <v>0</v>
      </c>
      <c r="F62" s="226">
        <f t="shared" si="9"/>
        <v>0</v>
      </c>
      <c r="G62" s="226">
        <f t="shared" si="9"/>
        <v>0</v>
      </c>
      <c r="H62" s="226">
        <f t="shared" si="9"/>
        <v>0</v>
      </c>
      <c r="I62" s="226">
        <f t="shared" si="9"/>
        <v>0</v>
      </c>
      <c r="J62" s="226">
        <f t="shared" si="9"/>
        <v>0</v>
      </c>
      <c r="K62" s="226">
        <f t="shared" si="9"/>
        <v>4.0000000000000001E-3</v>
      </c>
      <c r="L62" s="226">
        <f t="shared" si="9"/>
        <v>8.0000000000000002E-3</v>
      </c>
      <c r="M62" s="226">
        <f t="shared" si="9"/>
        <v>8.0000000000000002E-3</v>
      </c>
      <c r="N62" s="226">
        <f t="shared" si="9"/>
        <v>0</v>
      </c>
      <c r="O62" s="226">
        <f t="shared" si="9"/>
        <v>0</v>
      </c>
      <c r="P62" s="224">
        <f t="shared" si="7"/>
        <v>0.02</v>
      </c>
      <c r="Q62" s="225"/>
      <c r="R62" s="221"/>
      <c r="S62" s="212"/>
      <c r="T62" s="212"/>
      <c r="U62" s="212"/>
      <c r="V62" s="212"/>
      <c r="W62" s="212"/>
      <c r="X62" s="212"/>
      <c r="Y62" s="212"/>
      <c r="Z62" s="212"/>
      <c r="AA62" s="212"/>
      <c r="AB62" s="212"/>
      <c r="AC62" s="212"/>
      <c r="AD62" s="212"/>
      <c r="AE62" s="213"/>
    </row>
    <row r="63" spans="1:31" s="214" customFormat="1" ht="15" x14ac:dyDescent="0.25">
      <c r="A63" s="567"/>
      <c r="B63" s="569"/>
      <c r="C63" s="228"/>
      <c r="D63" s="218"/>
      <c r="E63" s="218"/>
      <c r="F63" s="218"/>
      <c r="G63" s="218"/>
      <c r="H63" s="218"/>
      <c r="I63" s="218"/>
      <c r="J63" s="218"/>
      <c r="K63" s="218"/>
      <c r="L63" s="218"/>
      <c r="M63" s="218"/>
      <c r="N63" s="218"/>
      <c r="O63" s="218"/>
      <c r="P63" s="229"/>
      <c r="Q63" s="220"/>
      <c r="R63" s="221"/>
      <c r="S63" s="212"/>
      <c r="T63" s="212"/>
      <c r="U63" s="212"/>
      <c r="V63" s="212"/>
      <c r="W63" s="212"/>
      <c r="X63" s="212"/>
      <c r="Y63" s="212"/>
      <c r="Z63" s="212"/>
      <c r="AA63" s="212"/>
      <c r="AB63" s="212"/>
      <c r="AC63" s="212"/>
      <c r="AD63" s="212"/>
      <c r="AE63" s="213"/>
    </row>
    <row r="64" spans="1:31" s="214" customFormat="1" ht="15" x14ac:dyDescent="0.25">
      <c r="A64" s="568"/>
      <c r="B64" s="570"/>
      <c r="C64" s="228"/>
      <c r="D64" s="232"/>
      <c r="E64" s="232"/>
      <c r="F64" s="232"/>
      <c r="G64" s="232"/>
      <c r="H64" s="232"/>
      <c r="I64" s="232"/>
      <c r="J64" s="232"/>
      <c r="K64" s="232"/>
      <c r="L64" s="232"/>
      <c r="M64" s="232"/>
      <c r="N64" s="232"/>
      <c r="O64" s="232"/>
      <c r="P64" s="229"/>
      <c r="Q64" s="225"/>
      <c r="R64" s="221"/>
      <c r="S64" s="212"/>
      <c r="T64" s="212"/>
      <c r="U64" s="212"/>
      <c r="V64" s="212"/>
      <c r="W64" s="212"/>
      <c r="X64" s="212"/>
      <c r="Y64" s="212"/>
      <c r="Z64" s="212"/>
      <c r="AA64" s="212"/>
      <c r="AB64" s="212"/>
      <c r="AC64" s="212"/>
      <c r="AD64" s="212"/>
      <c r="AE64" s="213"/>
    </row>
    <row r="65" spans="1:31" s="214" customFormat="1" ht="15" x14ac:dyDescent="0.25">
      <c r="A65" s="567"/>
      <c r="B65" s="569"/>
      <c r="C65" s="228"/>
      <c r="D65" s="218"/>
      <c r="E65" s="218"/>
      <c r="F65" s="218"/>
      <c r="G65" s="218"/>
      <c r="H65" s="218"/>
      <c r="I65" s="218"/>
      <c r="J65" s="218"/>
      <c r="K65" s="218"/>
      <c r="L65" s="218"/>
      <c r="M65" s="218"/>
      <c r="N65" s="218"/>
      <c r="O65" s="218"/>
      <c r="P65" s="229"/>
      <c r="Q65" s="220"/>
      <c r="R65" s="221"/>
      <c r="S65" s="212"/>
      <c r="T65" s="212"/>
      <c r="U65" s="212"/>
      <c r="V65" s="212"/>
      <c r="W65" s="212"/>
      <c r="X65" s="212"/>
      <c r="Y65" s="212"/>
      <c r="Z65" s="212"/>
      <c r="AA65" s="212"/>
      <c r="AB65" s="212"/>
      <c r="AC65" s="212"/>
      <c r="AD65" s="212"/>
      <c r="AE65" s="213"/>
    </row>
    <row r="66" spans="1:31" s="214" customFormat="1" ht="15" x14ac:dyDescent="0.25">
      <c r="A66" s="568"/>
      <c r="B66" s="570"/>
      <c r="C66" s="228"/>
      <c r="D66" s="232"/>
      <c r="E66" s="232"/>
      <c r="F66" s="232"/>
      <c r="G66" s="232"/>
      <c r="H66" s="232"/>
      <c r="I66" s="232"/>
      <c r="J66" s="232"/>
      <c r="K66" s="232"/>
      <c r="L66" s="232"/>
      <c r="M66" s="232"/>
      <c r="N66" s="232"/>
      <c r="O66" s="232"/>
      <c r="P66" s="229"/>
      <c r="Q66" s="225"/>
      <c r="R66" s="221"/>
      <c r="S66" s="212"/>
      <c r="T66" s="212"/>
      <c r="U66" s="212"/>
      <c r="V66" s="212"/>
      <c r="W66" s="212"/>
      <c r="X66" s="212"/>
      <c r="Y66" s="212"/>
      <c r="Z66" s="212"/>
      <c r="AA66" s="212"/>
      <c r="AB66" s="212"/>
      <c r="AC66" s="212"/>
      <c r="AD66" s="212"/>
      <c r="AE66" s="213"/>
    </row>
    <row r="67" spans="1:31" s="214" customFormat="1" ht="15" x14ac:dyDescent="0.25">
      <c r="A67" s="567"/>
      <c r="B67" s="569"/>
      <c r="C67" s="228"/>
      <c r="D67" s="218"/>
      <c r="E67" s="218"/>
      <c r="F67" s="218"/>
      <c r="G67" s="218"/>
      <c r="H67" s="218"/>
      <c r="I67" s="218"/>
      <c r="J67" s="218"/>
      <c r="K67" s="218"/>
      <c r="L67" s="218"/>
      <c r="M67" s="218"/>
      <c r="N67" s="218"/>
      <c r="O67" s="218"/>
      <c r="P67" s="229"/>
      <c r="Q67" s="220"/>
      <c r="R67" s="221"/>
      <c r="S67" s="212"/>
      <c r="T67" s="212"/>
      <c r="U67" s="212"/>
      <c r="V67" s="212"/>
      <c r="W67" s="212"/>
      <c r="X67" s="212"/>
      <c r="Y67" s="212"/>
      <c r="Z67" s="212"/>
      <c r="AA67" s="212"/>
      <c r="AB67" s="212"/>
      <c r="AC67" s="212"/>
      <c r="AD67" s="212"/>
      <c r="AE67" s="213"/>
    </row>
    <row r="68" spans="1:31" s="214" customFormat="1" ht="15" x14ac:dyDescent="0.25">
      <c r="A68" s="568"/>
      <c r="B68" s="570"/>
      <c r="C68" s="228"/>
      <c r="D68" s="232"/>
      <c r="E68" s="232"/>
      <c r="F68" s="232"/>
      <c r="G68" s="232"/>
      <c r="H68" s="232"/>
      <c r="I68" s="232"/>
      <c r="J68" s="232"/>
      <c r="K68" s="232"/>
      <c r="L68" s="232"/>
      <c r="M68" s="232"/>
      <c r="N68" s="232"/>
      <c r="O68" s="232"/>
      <c r="P68" s="229"/>
      <c r="Q68" s="225"/>
      <c r="R68" s="221"/>
      <c r="S68" s="212"/>
      <c r="T68" s="212"/>
      <c r="U68" s="212"/>
      <c r="V68" s="212"/>
      <c r="W68" s="212"/>
      <c r="X68" s="212"/>
      <c r="Y68" s="212"/>
      <c r="Z68" s="212"/>
      <c r="AA68" s="212"/>
      <c r="AB68" s="212"/>
      <c r="AC68" s="212"/>
      <c r="AD68" s="212"/>
      <c r="AE68" s="213"/>
    </row>
    <row r="69" spans="1:31" s="214" customFormat="1" ht="15" x14ac:dyDescent="0.25">
      <c r="A69" s="211"/>
      <c r="B69" s="233"/>
      <c r="C69" s="234"/>
      <c r="D69" s="235">
        <f t="shared" ref="D69:P69" si="10">D58+D60+D62</f>
        <v>0</v>
      </c>
      <c r="E69" s="235">
        <f t="shared" si="10"/>
        <v>0</v>
      </c>
      <c r="F69" s="235">
        <f t="shared" si="10"/>
        <v>0</v>
      </c>
      <c r="G69" s="235">
        <f t="shared" si="10"/>
        <v>0</v>
      </c>
      <c r="H69" s="235">
        <f t="shared" si="10"/>
        <v>0</v>
      </c>
      <c r="I69" s="235">
        <f t="shared" si="10"/>
        <v>0</v>
      </c>
      <c r="J69" s="235">
        <f t="shared" si="10"/>
        <v>0</v>
      </c>
      <c r="K69" s="235">
        <f t="shared" si="10"/>
        <v>2.5000000000000001E-2</v>
      </c>
      <c r="L69" s="235">
        <f t="shared" si="10"/>
        <v>2.9000000000000001E-2</v>
      </c>
      <c r="M69" s="235">
        <f t="shared" si="10"/>
        <v>4.2000000000000003E-2</v>
      </c>
      <c r="N69" s="235">
        <f t="shared" si="10"/>
        <v>1.2E-2</v>
      </c>
      <c r="O69" s="235">
        <f t="shared" si="10"/>
        <v>0</v>
      </c>
      <c r="P69" s="235">
        <f t="shared" si="10"/>
        <v>0.10800000000000001</v>
      </c>
      <c r="Q69" s="211"/>
      <c r="R69" s="221"/>
      <c r="S69" s="212"/>
      <c r="T69" s="212"/>
      <c r="U69" s="212"/>
      <c r="V69" s="212"/>
      <c r="W69" s="212"/>
      <c r="X69" s="212"/>
      <c r="Y69" s="212"/>
      <c r="Z69" s="212"/>
      <c r="AA69" s="212"/>
      <c r="AB69" s="212"/>
      <c r="AC69" s="212"/>
      <c r="AD69" s="212"/>
      <c r="AE69" s="213"/>
    </row>
    <row r="70" spans="1:31" s="214" customFormat="1" ht="15" x14ac:dyDescent="0.25">
      <c r="A70" s="211"/>
      <c r="B70" s="236"/>
      <c r="C70" s="237" t="s">
        <v>50</v>
      </c>
      <c r="D70" s="238">
        <f>D69*1/$B$35</f>
        <v>0</v>
      </c>
      <c r="E70" s="238">
        <f t="shared" ref="E70:O70" si="11">E69*1/$B$35</f>
        <v>0</v>
      </c>
      <c r="F70" s="238">
        <f t="shared" si="11"/>
        <v>0</v>
      </c>
      <c r="G70" s="238">
        <f t="shared" si="11"/>
        <v>0</v>
      </c>
      <c r="H70" s="238">
        <f t="shared" si="11"/>
        <v>0</v>
      </c>
      <c r="I70" s="238">
        <f t="shared" si="11"/>
        <v>0</v>
      </c>
      <c r="J70" s="238">
        <f t="shared" si="11"/>
        <v>0</v>
      </c>
      <c r="K70" s="238">
        <f t="shared" si="11"/>
        <v>0.20833333333333334</v>
      </c>
      <c r="L70" s="238">
        <f t="shared" si="11"/>
        <v>0.2416666666666667</v>
      </c>
      <c r="M70" s="238">
        <f t="shared" si="11"/>
        <v>0.35000000000000003</v>
      </c>
      <c r="N70" s="238">
        <f t="shared" si="11"/>
        <v>0.1</v>
      </c>
      <c r="O70" s="238">
        <f t="shared" si="11"/>
        <v>0</v>
      </c>
      <c r="P70" s="239">
        <f>SUM(D70:O70)</f>
        <v>0.9</v>
      </c>
      <c r="Q70" s="240"/>
      <c r="R70" s="211"/>
      <c r="S70" s="212"/>
      <c r="T70" s="212"/>
      <c r="U70" s="212"/>
      <c r="V70" s="212"/>
      <c r="W70" s="212"/>
      <c r="X70" s="212"/>
      <c r="Y70" s="212"/>
      <c r="Z70" s="212"/>
      <c r="AA70" s="212"/>
      <c r="AB70" s="212"/>
      <c r="AC70" s="212"/>
      <c r="AD70" s="212"/>
      <c r="AE70" s="213"/>
    </row>
    <row r="71" spans="1:31" s="214" customFormat="1" ht="15" x14ac:dyDescent="0.25">
      <c r="A71" s="240"/>
      <c r="B71" s="241"/>
      <c r="C71" s="241"/>
      <c r="D71" s="241"/>
      <c r="E71" s="241"/>
      <c r="F71" s="241"/>
      <c r="G71" s="241"/>
      <c r="H71" s="241"/>
      <c r="I71" s="241"/>
      <c r="J71" s="241"/>
      <c r="K71" s="241"/>
      <c r="L71" s="241"/>
      <c r="M71" s="241"/>
      <c r="N71" s="241"/>
      <c r="O71" s="241"/>
      <c r="P71" s="241"/>
      <c r="Q71" s="240"/>
      <c r="R71" s="240"/>
      <c r="S71" s="212"/>
      <c r="T71" s="212"/>
      <c r="U71" s="212"/>
      <c r="V71" s="212"/>
      <c r="W71" s="212"/>
      <c r="X71" s="212"/>
      <c r="Y71" s="212"/>
      <c r="Z71" s="212"/>
      <c r="AA71" s="212"/>
      <c r="AB71" s="212"/>
      <c r="AC71" s="212"/>
      <c r="AD71" s="212"/>
      <c r="AE71" s="213"/>
    </row>
    <row r="72" spans="1:31" s="214" customFormat="1" ht="15" x14ac:dyDescent="0.25">
      <c r="A72" s="220"/>
      <c r="B72" s="242"/>
      <c r="C72" s="242"/>
      <c r="D72" s="235">
        <f t="shared" ref="D72:P72" si="12">+D57+D59+D61</f>
        <v>0</v>
      </c>
      <c r="E72" s="235">
        <f t="shared" si="12"/>
        <v>0</v>
      </c>
      <c r="F72" s="235">
        <f t="shared" si="12"/>
        <v>0</v>
      </c>
      <c r="G72" s="235">
        <f t="shared" si="12"/>
        <v>0</v>
      </c>
      <c r="H72" s="235">
        <f t="shared" si="12"/>
        <v>0</v>
      </c>
      <c r="I72" s="235">
        <f t="shared" si="12"/>
        <v>0</v>
      </c>
      <c r="J72" s="235">
        <f t="shared" si="12"/>
        <v>0</v>
      </c>
      <c r="K72" s="235">
        <f t="shared" si="12"/>
        <v>2.5000000000000001E-2</v>
      </c>
      <c r="L72" s="235">
        <f t="shared" si="12"/>
        <v>2.9000000000000001E-2</v>
      </c>
      <c r="M72" s="235">
        <f t="shared" si="12"/>
        <v>4.2000000000000003E-2</v>
      </c>
      <c r="N72" s="235">
        <f t="shared" si="12"/>
        <v>1.2E-2</v>
      </c>
      <c r="O72" s="235">
        <f t="shared" si="12"/>
        <v>1.2E-2</v>
      </c>
      <c r="P72" s="235">
        <f t="shared" si="12"/>
        <v>0.12000000000000001</v>
      </c>
      <c r="Q72" s="220"/>
      <c r="R72" s="220"/>
      <c r="S72" s="212"/>
      <c r="T72" s="212"/>
      <c r="U72" s="212"/>
      <c r="V72" s="212"/>
      <c r="W72" s="212"/>
      <c r="X72" s="212"/>
      <c r="Y72" s="212"/>
      <c r="Z72" s="212"/>
      <c r="AA72" s="212"/>
      <c r="AB72" s="212"/>
      <c r="AC72" s="212"/>
      <c r="AD72" s="212"/>
      <c r="AE72" s="213"/>
    </row>
    <row r="73" spans="1:31" s="214" customFormat="1" ht="15" x14ac:dyDescent="0.25">
      <c r="A73" s="220"/>
      <c r="B73" s="242"/>
      <c r="C73" s="237" t="s">
        <v>48</v>
      </c>
      <c r="D73" s="238">
        <f>D72*1/$B$35</f>
        <v>0</v>
      </c>
      <c r="E73" s="238">
        <f t="shared" ref="E73:O73" si="13">E72*1/$B$35</f>
        <v>0</v>
      </c>
      <c r="F73" s="238">
        <f t="shared" si="13"/>
        <v>0</v>
      </c>
      <c r="G73" s="238">
        <f t="shared" si="13"/>
        <v>0</v>
      </c>
      <c r="H73" s="238">
        <f t="shared" si="13"/>
        <v>0</v>
      </c>
      <c r="I73" s="238">
        <f t="shared" si="13"/>
        <v>0</v>
      </c>
      <c r="J73" s="238">
        <f t="shared" si="13"/>
        <v>0</v>
      </c>
      <c r="K73" s="238">
        <f t="shared" si="13"/>
        <v>0.20833333333333334</v>
      </c>
      <c r="L73" s="238">
        <f t="shared" si="13"/>
        <v>0.2416666666666667</v>
      </c>
      <c r="M73" s="238">
        <f t="shared" si="13"/>
        <v>0.35000000000000003</v>
      </c>
      <c r="N73" s="238">
        <f t="shared" si="13"/>
        <v>0.1</v>
      </c>
      <c r="O73" s="238">
        <f t="shared" si="13"/>
        <v>0.1</v>
      </c>
      <c r="P73" s="239">
        <f>SUM(D73:O73)</f>
        <v>1</v>
      </c>
      <c r="Q73" s="220"/>
      <c r="R73" s="220"/>
      <c r="S73" s="212"/>
      <c r="T73" s="212"/>
      <c r="U73" s="212"/>
      <c r="V73" s="212"/>
      <c r="W73" s="212"/>
      <c r="X73" s="212"/>
      <c r="Y73" s="212"/>
      <c r="Z73" s="212"/>
      <c r="AA73" s="212"/>
      <c r="AB73" s="212"/>
      <c r="AC73" s="212"/>
      <c r="AD73" s="212"/>
      <c r="AE73" s="213"/>
    </row>
    <row r="74" spans="1:31" s="214" customFormat="1" ht="15" x14ac:dyDescent="0.25">
      <c r="A74" s="212"/>
      <c r="Q74" s="212"/>
      <c r="R74" s="212"/>
      <c r="S74" s="212"/>
      <c r="T74" s="212"/>
      <c r="U74" s="212"/>
      <c r="V74" s="212"/>
      <c r="W74" s="212"/>
      <c r="X74" s="212"/>
      <c r="Y74" s="212"/>
      <c r="Z74" s="212"/>
      <c r="AA74" s="212"/>
      <c r="AB74" s="212"/>
      <c r="AC74" s="212"/>
      <c r="AD74" s="212"/>
      <c r="AE74" s="213"/>
    </row>
    <row r="75" spans="1:31" s="214" customFormat="1" ht="15" x14ac:dyDescent="0.25">
      <c r="A75" s="212"/>
      <c r="Q75" s="212"/>
      <c r="R75" s="212"/>
      <c r="S75" s="212"/>
      <c r="T75" s="212"/>
      <c r="U75" s="212"/>
      <c r="V75" s="212"/>
      <c r="W75" s="212"/>
      <c r="X75" s="212"/>
      <c r="Y75" s="212"/>
      <c r="Z75" s="212"/>
      <c r="AA75" s="212"/>
      <c r="AB75" s="212"/>
      <c r="AC75" s="212"/>
      <c r="AD75" s="212"/>
      <c r="AE75" s="213"/>
    </row>
    <row r="76" spans="1:31" s="214" customFormat="1" ht="15" x14ac:dyDescent="0.25">
      <c r="A76" s="212"/>
      <c r="Q76" s="212"/>
      <c r="R76" s="212"/>
      <c r="S76" s="212"/>
      <c r="T76" s="212"/>
      <c r="U76" s="212"/>
      <c r="V76" s="212"/>
      <c r="W76" s="212"/>
      <c r="X76" s="212"/>
      <c r="Y76" s="212"/>
      <c r="Z76" s="212"/>
      <c r="AA76" s="212"/>
      <c r="AB76" s="212"/>
      <c r="AC76" s="212"/>
      <c r="AD76" s="212"/>
      <c r="AE76" s="213"/>
    </row>
    <row r="77" spans="1:31" x14ac:dyDescent="0.25">
      <c r="Q77" s="210"/>
      <c r="R77" s="210"/>
      <c r="S77" s="210"/>
      <c r="T77" s="210"/>
      <c r="U77" s="210"/>
      <c r="V77" s="210"/>
      <c r="W77" s="210"/>
      <c r="X77" s="210"/>
      <c r="Y77" s="210"/>
      <c r="Z77" s="210"/>
      <c r="AA77" s="210"/>
      <c r="AB77" s="210"/>
      <c r="AC77" s="210"/>
      <c r="AD77" s="210"/>
      <c r="AE77" s="210"/>
    </row>
    <row r="78" spans="1:31" x14ac:dyDescent="0.25">
      <c r="Q78" s="210"/>
      <c r="R78" s="210"/>
      <c r="S78" s="210"/>
      <c r="T78" s="210"/>
      <c r="U78" s="210"/>
      <c r="V78" s="210"/>
      <c r="W78" s="210"/>
      <c r="X78" s="210"/>
      <c r="Y78" s="210"/>
      <c r="Z78" s="210"/>
      <c r="AA78" s="210"/>
      <c r="AB78" s="210"/>
      <c r="AC78" s="210"/>
      <c r="AD78" s="210"/>
      <c r="AE78" s="210"/>
    </row>
    <row r="79" spans="1:31" x14ac:dyDescent="0.25">
      <c r="Q79" s="210"/>
      <c r="R79" s="210"/>
      <c r="S79" s="210"/>
      <c r="T79" s="210"/>
      <c r="U79" s="210"/>
      <c r="V79" s="210"/>
      <c r="W79" s="210"/>
      <c r="X79" s="210"/>
      <c r="Y79" s="210"/>
      <c r="Z79" s="210"/>
      <c r="AA79" s="210"/>
      <c r="AB79" s="210"/>
      <c r="AC79" s="210"/>
      <c r="AD79" s="210"/>
      <c r="AE79" s="210"/>
    </row>
    <row r="80" spans="1:31" x14ac:dyDescent="0.25">
      <c r="Q80" s="210"/>
      <c r="R80" s="210"/>
      <c r="S80" s="210"/>
      <c r="T80" s="210"/>
      <c r="U80" s="210"/>
      <c r="V80" s="210"/>
      <c r="W80" s="210"/>
      <c r="X80" s="210"/>
      <c r="Y80" s="210"/>
      <c r="Z80" s="210"/>
      <c r="AA80" s="210"/>
      <c r="AB80" s="210"/>
      <c r="AC80" s="210"/>
      <c r="AD80" s="210"/>
      <c r="AE80" s="210"/>
    </row>
    <row r="81" spans="17:31" x14ac:dyDescent="0.25">
      <c r="Q81" s="210"/>
      <c r="R81" s="210"/>
      <c r="S81" s="210"/>
      <c r="T81" s="210"/>
      <c r="U81" s="210"/>
      <c r="V81" s="210"/>
      <c r="W81" s="210"/>
      <c r="X81" s="210"/>
      <c r="Y81" s="210"/>
      <c r="Z81" s="210"/>
      <c r="AA81" s="210"/>
      <c r="AB81" s="210"/>
      <c r="AC81" s="210"/>
      <c r="AD81" s="210"/>
      <c r="AE81" s="210"/>
    </row>
    <row r="82" spans="17:31" x14ac:dyDescent="0.25">
      <c r="Q82" s="210"/>
      <c r="R82" s="210"/>
      <c r="S82" s="210"/>
      <c r="T82" s="210"/>
      <c r="U82" s="210"/>
      <c r="V82" s="210"/>
      <c r="W82" s="210"/>
      <c r="X82" s="210"/>
      <c r="Y82" s="210"/>
      <c r="Z82" s="210"/>
      <c r="AA82" s="210"/>
      <c r="AB82" s="210"/>
      <c r="AC82" s="210"/>
      <c r="AD82" s="210"/>
      <c r="AE82" s="210"/>
    </row>
    <row r="83" spans="17:31" x14ac:dyDescent="0.25">
      <c r="Q83" s="210"/>
      <c r="R83" s="210"/>
      <c r="S83" s="210"/>
      <c r="T83" s="210"/>
      <c r="U83" s="210"/>
      <c r="V83" s="210"/>
      <c r="W83" s="210"/>
      <c r="X83" s="210"/>
      <c r="Y83" s="210"/>
      <c r="Z83" s="210"/>
      <c r="AA83" s="210"/>
      <c r="AB83" s="210"/>
      <c r="AC83" s="210"/>
      <c r="AD83" s="210"/>
      <c r="AE83" s="210"/>
    </row>
    <row r="84" spans="17:31" x14ac:dyDescent="0.25">
      <c r="Q84" s="210"/>
      <c r="R84" s="210"/>
      <c r="S84" s="210"/>
      <c r="T84" s="210"/>
      <c r="U84" s="210"/>
      <c r="V84" s="210"/>
      <c r="W84" s="210"/>
      <c r="X84" s="210"/>
      <c r="Y84" s="210"/>
      <c r="Z84" s="210"/>
      <c r="AA84" s="210"/>
      <c r="AB84" s="210"/>
      <c r="AC84" s="210"/>
      <c r="AD84" s="210"/>
      <c r="AE84" s="210"/>
    </row>
  </sheetData>
  <mergeCells count="94">
    <mergeCell ref="A45:A46"/>
    <mergeCell ref="B45:B46"/>
    <mergeCell ref="Q45:X46"/>
    <mergeCell ref="Y45:AE46"/>
    <mergeCell ref="A41:A42"/>
    <mergeCell ref="B41:B42"/>
    <mergeCell ref="Q41:X42"/>
    <mergeCell ref="Y41:AE42"/>
    <mergeCell ref="A43:A44"/>
    <mergeCell ref="B43:B44"/>
    <mergeCell ref="Q43:X44"/>
    <mergeCell ref="Y43:AE44"/>
    <mergeCell ref="AC35:AE36"/>
    <mergeCell ref="A38:AE38"/>
    <mergeCell ref="A39:A40"/>
    <mergeCell ref="B39:B40"/>
    <mergeCell ref="C39:C40"/>
    <mergeCell ref="D39:P39"/>
    <mergeCell ref="Q39:AE39"/>
    <mergeCell ref="Q40:X40"/>
    <mergeCell ref="Y40:AE40"/>
    <mergeCell ref="A35:A36"/>
    <mergeCell ref="B35:B36"/>
    <mergeCell ref="Q35:T36"/>
    <mergeCell ref="U35:X36"/>
    <mergeCell ref="Y35:AB36"/>
    <mergeCell ref="B30:C30"/>
    <mergeCell ref="Q30:X30"/>
    <mergeCell ref="Y30:AE30"/>
    <mergeCell ref="A32:AE32"/>
    <mergeCell ref="A33:A34"/>
    <mergeCell ref="B33:B34"/>
    <mergeCell ref="C33:C34"/>
    <mergeCell ref="D33:P33"/>
    <mergeCell ref="Q33:AE33"/>
    <mergeCell ref="Q34:T34"/>
    <mergeCell ref="U34:X34"/>
    <mergeCell ref="Y34:AB34"/>
    <mergeCell ref="AC34:AE34"/>
    <mergeCell ref="A19:AE19"/>
    <mergeCell ref="B20:O20"/>
    <mergeCell ref="P20:AE20"/>
    <mergeCell ref="A27:AE27"/>
    <mergeCell ref="A28:A29"/>
    <mergeCell ref="B28:C29"/>
    <mergeCell ref="D28:O28"/>
    <mergeCell ref="P28:P29"/>
    <mergeCell ref="Q28:X29"/>
    <mergeCell ref="Y28:AE29"/>
    <mergeCell ref="R15:X15"/>
    <mergeCell ref="Y15:Z15"/>
    <mergeCell ref="C16:AB16"/>
    <mergeCell ref="A17:B17"/>
    <mergeCell ref="C17:AE17"/>
    <mergeCell ref="O8:P8"/>
    <mergeCell ref="M9:N9"/>
    <mergeCell ref="O9:P9"/>
    <mergeCell ref="A15:B15"/>
    <mergeCell ref="C15:K15"/>
    <mergeCell ref="L15:Q15"/>
    <mergeCell ref="AB1:AE1"/>
    <mergeCell ref="B2:AA2"/>
    <mergeCell ref="AB2:AE2"/>
    <mergeCell ref="B3:AA4"/>
    <mergeCell ref="AB3:AE3"/>
    <mergeCell ref="AB4:AE4"/>
    <mergeCell ref="C55:P55"/>
    <mergeCell ref="A57:A58"/>
    <mergeCell ref="B57:B58"/>
    <mergeCell ref="A1:A4"/>
    <mergeCell ref="B1:AA1"/>
    <mergeCell ref="A11:B13"/>
    <mergeCell ref="C11:AE13"/>
    <mergeCell ref="A7:B9"/>
    <mergeCell ref="C7:C9"/>
    <mergeCell ref="D7:H9"/>
    <mergeCell ref="I7:J9"/>
    <mergeCell ref="K7:L9"/>
    <mergeCell ref="M7:N7"/>
    <mergeCell ref="AA15:AE15"/>
    <mergeCell ref="O7:P7"/>
    <mergeCell ref="M8:N8"/>
    <mergeCell ref="A59:A60"/>
    <mergeCell ref="B59:B60"/>
    <mergeCell ref="A61:A62"/>
    <mergeCell ref="B61:B62"/>
    <mergeCell ref="A55:A56"/>
    <mergeCell ref="B55:B56"/>
    <mergeCell ref="A63:A64"/>
    <mergeCell ref="B63:B64"/>
    <mergeCell ref="A65:A66"/>
    <mergeCell ref="B65:B66"/>
    <mergeCell ref="A67:A68"/>
    <mergeCell ref="B67:B68"/>
  </mergeCells>
  <dataValidations count="3">
    <dataValidation type="list" allowBlank="1" showInputMessage="1" showErrorMessage="1" sqref="C7" xr:uid="{3F390914-902A-4351-8576-43251B41905A}">
      <formula1>$B$21:$M$21</formula1>
    </dataValidation>
    <dataValidation type="textLength" operator="lessThanOrEqual" allowBlank="1" showInputMessage="1" showErrorMessage="1" errorTitle="Máximo 2.000 caracteres" error="Máximo 2.000 caracteres" promptTitle="2.000 caracteres" sqref="Q30:Q31" xr:uid="{B7B048EB-86F8-45F9-80A4-1FC7D4E410B0}">
      <formula1>2000</formula1>
    </dataValidation>
    <dataValidation type="textLength" operator="lessThanOrEqual" allowBlank="1" showInputMessage="1" showErrorMessage="1" errorTitle="Máximo 2.000 caracteres" error="Máximo 2.000 caracteres" sqref="AC35 Q35 Y35 Q45 Q41 Q43" xr:uid="{B14F39E2-2E6F-4D81-8BAD-0A0C9C36196A}">
      <formula1>2000</formula1>
    </dataValidation>
  </dataValidations>
  <hyperlinks>
    <hyperlink ref="Y45:AE46" r:id="rId1" display="https://secretariadistritald.sharepoint.com/:w:/s/BogotCaminaSegura/EcFVCbU2lzBFoxGrIvBFfJ8BjE6wtqYX7lrZciB5HzjAWw?e=dGLLhb" xr:uid="{660C7757-C82D-4A9F-B7F0-7B61B8475D05}"/>
    <hyperlink ref="Y41" r:id="rId2" display="Actividad 11" xr:uid="{7B00794F-CFD6-48E1-AEE0-F642D5EEE8F8}"/>
  </hyperlinks>
  <printOptions horizontalCentered="1"/>
  <pageMargins left="0.39370078740157483" right="0.39370078740157483" top="0.39370078740157483" bottom="0.39370078740157483" header="0" footer="0"/>
  <pageSetup paperSize="9" scale="21" orientation="landscape" r:id="rId3"/>
  <drawing r:id="rId4"/>
  <legacyDrawing r:id="rId5"/>
  <extLst>
    <ext xmlns:x14="http://schemas.microsoft.com/office/spreadsheetml/2009/9/main" uri="{CCE6A557-97BC-4b89-ADB6-D9C93CAAB3DF}">
      <x14:dataValidations xmlns:xm="http://schemas.microsoft.com/office/excel/2006/main" count="4">
        <x14:dataValidation type="list" allowBlank="1" showInputMessage="1" showErrorMessage="1" xr:uid="{4007B8F8-8DB2-4830-9495-E1B7D913CEF5}">
          <x14:formula1>
            <xm:f>listas!$C$2:$C$20</xm:f>
          </x14:formula1>
          <xm:sqref>AA15:AE15</xm:sqref>
        </x14:dataValidation>
        <x14:dataValidation type="list" allowBlank="1" showInputMessage="1" showErrorMessage="1" xr:uid="{3882BEAF-586D-4115-96E4-CC2F91C4C666}">
          <x14:formula1>
            <xm:f>listas!$B$2:$B$8</xm:f>
          </x14:formula1>
          <xm:sqref>R15:X15</xm:sqref>
        </x14:dataValidation>
        <x14:dataValidation type="list" allowBlank="1" showInputMessage="1" showErrorMessage="1" xr:uid="{BC47CFDB-2DB9-4CA2-B1F1-63A62C8F6373}">
          <x14:formula1>
            <xm:f>listas!$A$2:$A$6</xm:f>
          </x14:formula1>
          <xm:sqref>C15:K15</xm:sqref>
        </x14:dataValidation>
        <x14:dataValidation type="list" allowBlank="1" showInputMessage="1" showErrorMessage="1" xr:uid="{4C0DF311-F1EF-4F11-A3C7-97F5DD398026}">
          <x14:formula1>
            <xm:f>listas!$D$2:$D$15</xm:f>
          </x14:formula1>
          <xm:sqref>C11:AE13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72FE3-AE02-41A2-A993-244B17401916}">
  <sheetPr>
    <tabColor rgb="FFE674EC"/>
    <pageSetUpPr fitToPage="1"/>
  </sheetPr>
  <dimension ref="A1:AO205"/>
  <sheetViews>
    <sheetView showGridLines="0" view="pageBreakPreview" zoomScale="70" zoomScaleNormal="60" zoomScaleSheetLayoutView="70" workbookViewId="0">
      <selection activeCell="C11" sqref="C11:AE13"/>
    </sheetView>
  </sheetViews>
  <sheetFormatPr baseColWidth="10" defaultColWidth="10.85546875" defaultRowHeight="14.25" x14ac:dyDescent="0.25"/>
  <cols>
    <col min="1" max="1" width="49.28515625" style="125" customWidth="1"/>
    <col min="2" max="2" width="20.5703125" style="125" customWidth="1"/>
    <col min="3" max="14" width="20.7109375" style="125" customWidth="1"/>
    <col min="15" max="15" width="20.5703125" style="125" customWidth="1"/>
    <col min="16" max="16" width="32.42578125" style="125" customWidth="1"/>
    <col min="17" max="27" width="18.140625" style="125" customWidth="1"/>
    <col min="28" max="28" width="22.7109375" style="125" customWidth="1"/>
    <col min="29" max="29" width="19" style="125" customWidth="1"/>
    <col min="30" max="30" width="19.42578125" style="125" customWidth="1"/>
    <col min="31" max="31" width="20.5703125" style="125" customWidth="1"/>
    <col min="32" max="32" width="22.85546875" style="125" customWidth="1"/>
    <col min="33" max="33" width="18.42578125" style="125" bestFit="1" customWidth="1"/>
    <col min="34" max="34" width="8.42578125" style="125" customWidth="1"/>
    <col min="35" max="35" width="18.42578125" style="125" bestFit="1" customWidth="1"/>
    <col min="36" max="36" width="5.7109375" style="125" customWidth="1"/>
    <col min="37" max="37" width="18.42578125" style="125" bestFit="1" customWidth="1"/>
    <col min="38" max="38" width="4.7109375" style="125" customWidth="1"/>
    <col min="39" max="39" width="23" style="125" bestFit="1" customWidth="1"/>
    <col min="40" max="40" width="10.85546875" style="125"/>
    <col min="41" max="41" width="18.42578125" style="125" bestFit="1" customWidth="1"/>
    <col min="42" max="42" width="16.140625" style="125" customWidth="1"/>
    <col min="43" max="16384" width="10.85546875" style="125"/>
  </cols>
  <sheetData>
    <row r="1" spans="1:31" ht="32.25" customHeight="1" thickBot="1" x14ac:dyDescent="0.3">
      <c r="A1" s="598"/>
      <c r="B1" s="601" t="s">
        <v>121</v>
      </c>
      <c r="C1" s="602"/>
      <c r="D1" s="602"/>
      <c r="E1" s="602"/>
      <c r="F1" s="602"/>
      <c r="G1" s="602"/>
      <c r="H1" s="602"/>
      <c r="I1" s="602"/>
      <c r="J1" s="602"/>
      <c r="K1" s="602"/>
      <c r="L1" s="602"/>
      <c r="M1" s="602"/>
      <c r="N1" s="602"/>
      <c r="O1" s="602"/>
      <c r="P1" s="602"/>
      <c r="Q1" s="602"/>
      <c r="R1" s="602"/>
      <c r="S1" s="602"/>
      <c r="T1" s="602"/>
      <c r="U1" s="602"/>
      <c r="V1" s="602"/>
      <c r="W1" s="602"/>
      <c r="X1" s="602"/>
      <c r="Y1" s="602"/>
      <c r="Z1" s="602"/>
      <c r="AA1" s="603"/>
      <c r="AB1" s="604" t="s">
        <v>122</v>
      </c>
      <c r="AC1" s="605"/>
      <c r="AD1" s="605"/>
      <c r="AE1" s="606"/>
    </row>
    <row r="2" spans="1:31" ht="30.75" customHeight="1" thickBot="1" x14ac:dyDescent="0.3">
      <c r="A2" s="599"/>
      <c r="B2" s="601" t="s">
        <v>123</v>
      </c>
      <c r="C2" s="602"/>
      <c r="D2" s="602"/>
      <c r="E2" s="602"/>
      <c r="F2" s="602"/>
      <c r="G2" s="602"/>
      <c r="H2" s="602"/>
      <c r="I2" s="602"/>
      <c r="J2" s="602"/>
      <c r="K2" s="602"/>
      <c r="L2" s="602"/>
      <c r="M2" s="602"/>
      <c r="N2" s="602"/>
      <c r="O2" s="602"/>
      <c r="P2" s="602"/>
      <c r="Q2" s="602"/>
      <c r="R2" s="602"/>
      <c r="S2" s="602"/>
      <c r="T2" s="602"/>
      <c r="U2" s="602"/>
      <c r="V2" s="602"/>
      <c r="W2" s="602"/>
      <c r="X2" s="602"/>
      <c r="Y2" s="602"/>
      <c r="Z2" s="602"/>
      <c r="AA2" s="603"/>
      <c r="AB2" s="604" t="s">
        <v>124</v>
      </c>
      <c r="AC2" s="605"/>
      <c r="AD2" s="605"/>
      <c r="AE2" s="606"/>
    </row>
    <row r="3" spans="1:31" ht="24" customHeight="1" thickBot="1" x14ac:dyDescent="0.3">
      <c r="A3" s="599"/>
      <c r="B3" s="607" t="s">
        <v>125</v>
      </c>
      <c r="C3" s="608"/>
      <c r="D3" s="608"/>
      <c r="E3" s="608"/>
      <c r="F3" s="608"/>
      <c r="G3" s="608"/>
      <c r="H3" s="608"/>
      <c r="I3" s="608"/>
      <c r="J3" s="608"/>
      <c r="K3" s="608"/>
      <c r="L3" s="608"/>
      <c r="M3" s="608"/>
      <c r="N3" s="608"/>
      <c r="O3" s="608"/>
      <c r="P3" s="608"/>
      <c r="Q3" s="608"/>
      <c r="R3" s="608"/>
      <c r="S3" s="608"/>
      <c r="T3" s="608"/>
      <c r="U3" s="608"/>
      <c r="V3" s="608"/>
      <c r="W3" s="608"/>
      <c r="X3" s="608"/>
      <c r="Y3" s="608"/>
      <c r="Z3" s="608"/>
      <c r="AA3" s="609"/>
      <c r="AB3" s="604" t="s">
        <v>126</v>
      </c>
      <c r="AC3" s="605"/>
      <c r="AD3" s="605"/>
      <c r="AE3" s="606"/>
    </row>
    <row r="4" spans="1:31" ht="21.75" customHeight="1" thickBot="1" x14ac:dyDescent="0.3">
      <c r="A4" s="600"/>
      <c r="B4" s="610"/>
      <c r="C4" s="611"/>
      <c r="D4" s="611"/>
      <c r="E4" s="611"/>
      <c r="F4" s="611"/>
      <c r="G4" s="611"/>
      <c r="H4" s="611"/>
      <c r="I4" s="611"/>
      <c r="J4" s="611"/>
      <c r="K4" s="611"/>
      <c r="L4" s="611"/>
      <c r="M4" s="611"/>
      <c r="N4" s="611"/>
      <c r="O4" s="611"/>
      <c r="P4" s="611"/>
      <c r="Q4" s="611"/>
      <c r="R4" s="611"/>
      <c r="S4" s="611"/>
      <c r="T4" s="611"/>
      <c r="U4" s="611"/>
      <c r="V4" s="611"/>
      <c r="W4" s="611"/>
      <c r="X4" s="611"/>
      <c r="Y4" s="611"/>
      <c r="Z4" s="611"/>
      <c r="AA4" s="612"/>
      <c r="AB4" s="604" t="s">
        <v>127</v>
      </c>
      <c r="AC4" s="605"/>
      <c r="AD4" s="605"/>
      <c r="AE4" s="606"/>
    </row>
    <row r="5" spans="1:31" ht="9" customHeight="1" thickBot="1" x14ac:dyDescent="0.3">
      <c r="A5" s="17"/>
      <c r="B5" s="18"/>
      <c r="C5" s="19"/>
      <c r="D5" s="20"/>
      <c r="E5" s="20"/>
      <c r="F5" s="20"/>
      <c r="G5" s="20"/>
      <c r="H5" s="20"/>
      <c r="I5" s="20"/>
      <c r="J5" s="20"/>
      <c r="K5" s="20"/>
      <c r="L5" s="20"/>
      <c r="M5" s="20"/>
      <c r="N5" s="20"/>
      <c r="O5" s="20"/>
      <c r="P5" s="20"/>
      <c r="Q5" s="20"/>
      <c r="R5" s="20"/>
      <c r="S5" s="20"/>
      <c r="T5" s="20"/>
      <c r="U5" s="20"/>
      <c r="V5" s="20"/>
      <c r="W5" s="20"/>
      <c r="X5" s="20"/>
      <c r="Y5" s="20"/>
      <c r="Z5" s="20"/>
      <c r="AA5" s="20"/>
      <c r="AB5" s="20"/>
      <c r="AD5" s="21"/>
      <c r="AE5" s="22"/>
    </row>
    <row r="6" spans="1:31" ht="9" customHeight="1" thickBot="1" x14ac:dyDescent="0.3">
      <c r="A6" s="23"/>
      <c r="B6" s="20"/>
      <c r="C6" s="20"/>
      <c r="D6" s="20"/>
      <c r="E6" s="20"/>
      <c r="F6" s="20"/>
      <c r="G6" s="20"/>
      <c r="H6" s="20"/>
      <c r="I6" s="20"/>
      <c r="J6" s="20"/>
      <c r="K6" s="20"/>
      <c r="L6" s="20"/>
      <c r="M6" s="20"/>
      <c r="N6" s="20"/>
      <c r="O6" s="20"/>
      <c r="P6" s="20"/>
      <c r="Q6" s="20"/>
      <c r="R6" s="20"/>
      <c r="S6" s="20"/>
      <c r="T6" s="20"/>
      <c r="U6" s="20"/>
      <c r="V6" s="20"/>
      <c r="W6" s="20"/>
      <c r="X6" s="20"/>
      <c r="Y6" s="20"/>
      <c r="Z6" s="20"/>
      <c r="AA6" s="20"/>
      <c r="AB6" s="20"/>
      <c r="AD6" s="21"/>
      <c r="AE6" s="22"/>
    </row>
    <row r="7" spans="1:31" ht="13.9" customHeight="1" x14ac:dyDescent="0.25">
      <c r="A7" s="613" t="s">
        <v>4</v>
      </c>
      <c r="B7" s="614"/>
      <c r="C7" s="625" t="s">
        <v>128</v>
      </c>
      <c r="D7" s="628" t="s">
        <v>6</v>
      </c>
      <c r="E7" s="629"/>
      <c r="F7" s="629"/>
      <c r="G7" s="629"/>
      <c r="H7" s="630"/>
      <c r="I7" s="637">
        <v>45639</v>
      </c>
      <c r="J7" s="638"/>
      <c r="K7" s="628" t="s">
        <v>8</v>
      </c>
      <c r="L7" s="630"/>
      <c r="M7" s="643" t="s">
        <v>129</v>
      </c>
      <c r="N7" s="644"/>
      <c r="O7" s="648"/>
      <c r="P7" s="649"/>
      <c r="Q7" s="20"/>
      <c r="R7" s="20"/>
      <c r="S7" s="20"/>
      <c r="T7" s="20"/>
      <c r="U7" s="20"/>
      <c r="V7" s="20"/>
      <c r="W7" s="20"/>
      <c r="X7" s="20"/>
      <c r="Y7" s="20"/>
      <c r="Z7" s="20"/>
      <c r="AA7" s="20"/>
      <c r="AB7" s="20"/>
      <c r="AD7" s="21"/>
      <c r="AE7" s="22"/>
    </row>
    <row r="8" spans="1:31" ht="13.9" customHeight="1" x14ac:dyDescent="0.25">
      <c r="A8" s="615"/>
      <c r="B8" s="616"/>
      <c r="C8" s="626"/>
      <c r="D8" s="631"/>
      <c r="E8" s="632"/>
      <c r="F8" s="632"/>
      <c r="G8" s="632"/>
      <c r="H8" s="633"/>
      <c r="I8" s="639"/>
      <c r="J8" s="640"/>
      <c r="K8" s="631"/>
      <c r="L8" s="633"/>
      <c r="M8" s="650" t="s">
        <v>130</v>
      </c>
      <c r="N8" s="651"/>
      <c r="O8" s="781" t="s">
        <v>131</v>
      </c>
      <c r="P8" s="782"/>
      <c r="Q8" s="20"/>
      <c r="R8" s="20"/>
      <c r="S8" s="20"/>
      <c r="T8" s="20"/>
      <c r="U8" s="20"/>
      <c r="V8" s="20"/>
      <c r="W8" s="20"/>
      <c r="X8" s="20"/>
      <c r="Y8" s="20"/>
      <c r="Z8" s="20"/>
      <c r="AA8" s="20"/>
      <c r="AB8" s="20"/>
      <c r="AD8" s="21"/>
      <c r="AE8" s="22"/>
    </row>
    <row r="9" spans="1:31" ht="14.45" customHeight="1" thickBot="1" x14ac:dyDescent="0.3">
      <c r="A9" s="617"/>
      <c r="B9" s="618"/>
      <c r="C9" s="627"/>
      <c r="D9" s="634"/>
      <c r="E9" s="635"/>
      <c r="F9" s="635"/>
      <c r="G9" s="635"/>
      <c r="H9" s="636"/>
      <c r="I9" s="641"/>
      <c r="J9" s="642"/>
      <c r="K9" s="634"/>
      <c r="L9" s="636"/>
      <c r="M9" s="652" t="s">
        <v>132</v>
      </c>
      <c r="N9" s="653"/>
      <c r="O9" s="654" t="s">
        <v>131</v>
      </c>
      <c r="P9" s="655"/>
      <c r="Q9" s="20"/>
      <c r="R9" s="20"/>
      <c r="S9" s="20"/>
      <c r="T9" s="20"/>
      <c r="U9" s="20"/>
      <c r="V9" s="20"/>
      <c r="W9" s="20"/>
      <c r="X9" s="20"/>
      <c r="Y9" s="20"/>
      <c r="Z9" s="20"/>
      <c r="AA9" s="20"/>
      <c r="AB9" s="20"/>
      <c r="AD9" s="21"/>
      <c r="AE9" s="22"/>
    </row>
    <row r="10" spans="1:31" ht="15" customHeight="1" thickBot="1" x14ac:dyDescent="0.3">
      <c r="A10" s="24"/>
      <c r="B10" s="25"/>
      <c r="C10" s="25"/>
      <c r="D10" s="26"/>
      <c r="E10" s="26"/>
      <c r="F10" s="26"/>
      <c r="G10" s="26"/>
      <c r="H10" s="26"/>
      <c r="I10" s="181"/>
      <c r="J10" s="181"/>
      <c r="K10" s="26"/>
      <c r="L10" s="26"/>
      <c r="M10" s="182"/>
      <c r="N10" s="182"/>
      <c r="O10" s="183"/>
      <c r="P10" s="183"/>
      <c r="Q10" s="25"/>
      <c r="R10" s="25"/>
      <c r="S10" s="25"/>
      <c r="T10" s="25"/>
      <c r="U10" s="25"/>
      <c r="V10" s="25"/>
      <c r="W10" s="25"/>
      <c r="X10" s="25"/>
      <c r="Y10" s="25"/>
      <c r="Z10" s="25"/>
      <c r="AA10" s="25"/>
      <c r="AB10" s="25"/>
      <c r="AD10" s="28"/>
      <c r="AE10" s="29"/>
    </row>
    <row r="11" spans="1:31" ht="15" customHeight="1" x14ac:dyDescent="0.25">
      <c r="A11" s="613" t="s">
        <v>10</v>
      </c>
      <c r="B11" s="614"/>
      <c r="C11" s="586" t="s">
        <v>133</v>
      </c>
      <c r="D11" s="587"/>
      <c r="E11" s="587"/>
      <c r="F11" s="587"/>
      <c r="G11" s="587"/>
      <c r="H11" s="587"/>
      <c r="I11" s="587"/>
      <c r="J11" s="587"/>
      <c r="K11" s="587"/>
      <c r="L11" s="587"/>
      <c r="M11" s="587"/>
      <c r="N11" s="587"/>
      <c r="O11" s="587"/>
      <c r="P11" s="587"/>
      <c r="Q11" s="587"/>
      <c r="R11" s="587"/>
      <c r="S11" s="587"/>
      <c r="T11" s="587"/>
      <c r="U11" s="587"/>
      <c r="V11" s="587"/>
      <c r="W11" s="587"/>
      <c r="X11" s="587"/>
      <c r="Y11" s="587"/>
      <c r="Z11" s="587"/>
      <c r="AA11" s="587"/>
      <c r="AB11" s="587"/>
      <c r="AC11" s="587"/>
      <c r="AD11" s="587"/>
      <c r="AE11" s="588"/>
    </row>
    <row r="12" spans="1:31" ht="15" customHeight="1" x14ac:dyDescent="0.25">
      <c r="A12" s="615"/>
      <c r="B12" s="616"/>
      <c r="C12" s="619"/>
      <c r="D12" s="620"/>
      <c r="E12" s="620"/>
      <c r="F12" s="620"/>
      <c r="G12" s="620"/>
      <c r="H12" s="620"/>
      <c r="I12" s="620"/>
      <c r="J12" s="620"/>
      <c r="K12" s="620"/>
      <c r="L12" s="620"/>
      <c r="M12" s="620"/>
      <c r="N12" s="620"/>
      <c r="O12" s="620"/>
      <c r="P12" s="620"/>
      <c r="Q12" s="620"/>
      <c r="R12" s="620"/>
      <c r="S12" s="620"/>
      <c r="T12" s="620"/>
      <c r="U12" s="620"/>
      <c r="V12" s="620"/>
      <c r="W12" s="620"/>
      <c r="X12" s="620"/>
      <c r="Y12" s="620"/>
      <c r="Z12" s="620"/>
      <c r="AA12" s="620"/>
      <c r="AB12" s="620"/>
      <c r="AC12" s="620"/>
      <c r="AD12" s="620"/>
      <c r="AE12" s="621"/>
    </row>
    <row r="13" spans="1:31" ht="15" customHeight="1" thickBot="1" x14ac:dyDescent="0.3">
      <c r="A13" s="617"/>
      <c r="B13" s="618"/>
      <c r="C13" s="622"/>
      <c r="D13" s="623"/>
      <c r="E13" s="623"/>
      <c r="F13" s="623"/>
      <c r="G13" s="623"/>
      <c r="H13" s="623"/>
      <c r="I13" s="623"/>
      <c r="J13" s="623"/>
      <c r="K13" s="623"/>
      <c r="L13" s="623"/>
      <c r="M13" s="623"/>
      <c r="N13" s="623"/>
      <c r="O13" s="623"/>
      <c r="P13" s="623"/>
      <c r="Q13" s="623"/>
      <c r="R13" s="623"/>
      <c r="S13" s="623"/>
      <c r="T13" s="623"/>
      <c r="U13" s="623"/>
      <c r="V13" s="623"/>
      <c r="W13" s="623"/>
      <c r="X13" s="623"/>
      <c r="Y13" s="623"/>
      <c r="Z13" s="623"/>
      <c r="AA13" s="623"/>
      <c r="AB13" s="623"/>
      <c r="AC13" s="623"/>
      <c r="AD13" s="623"/>
      <c r="AE13" s="624"/>
    </row>
    <row r="14" spans="1:31" ht="9" customHeight="1" thickBot="1" x14ac:dyDescent="0.3">
      <c r="A14" s="31"/>
      <c r="B14" s="32"/>
      <c r="C14" s="33"/>
      <c r="D14" s="33"/>
      <c r="E14" s="33"/>
      <c r="F14" s="33"/>
      <c r="G14" s="33"/>
      <c r="H14" s="33"/>
      <c r="I14" s="33"/>
      <c r="J14" s="33"/>
      <c r="K14" s="33"/>
      <c r="L14" s="33"/>
      <c r="M14" s="34"/>
      <c r="N14" s="34"/>
      <c r="O14" s="34"/>
      <c r="P14" s="34"/>
      <c r="Q14" s="34"/>
      <c r="R14" s="35"/>
      <c r="S14" s="35"/>
      <c r="T14" s="35"/>
      <c r="U14" s="35"/>
      <c r="V14" s="35"/>
      <c r="W14" s="35"/>
      <c r="X14" s="35"/>
      <c r="Y14" s="26"/>
      <c r="Z14" s="26"/>
      <c r="AA14" s="26"/>
      <c r="AB14" s="26"/>
      <c r="AD14" s="26"/>
      <c r="AE14" s="30"/>
    </row>
    <row r="15" spans="1:31" ht="39" customHeight="1" thickBot="1" x14ac:dyDescent="0.3">
      <c r="A15" s="656" t="s">
        <v>12</v>
      </c>
      <c r="B15" s="657"/>
      <c r="C15" s="658" t="s">
        <v>134</v>
      </c>
      <c r="D15" s="659"/>
      <c r="E15" s="659"/>
      <c r="F15" s="659"/>
      <c r="G15" s="659"/>
      <c r="H15" s="659"/>
      <c r="I15" s="659"/>
      <c r="J15" s="659"/>
      <c r="K15" s="660"/>
      <c r="L15" s="661" t="s">
        <v>14</v>
      </c>
      <c r="M15" s="662"/>
      <c r="N15" s="662"/>
      <c r="O15" s="662"/>
      <c r="P15" s="662"/>
      <c r="Q15" s="663"/>
      <c r="R15" s="664" t="s">
        <v>135</v>
      </c>
      <c r="S15" s="665"/>
      <c r="T15" s="665"/>
      <c r="U15" s="665"/>
      <c r="V15" s="665"/>
      <c r="W15" s="665"/>
      <c r="X15" s="666"/>
      <c r="Y15" s="661" t="s">
        <v>15</v>
      </c>
      <c r="Z15" s="663"/>
      <c r="AA15" s="645" t="s">
        <v>136</v>
      </c>
      <c r="AB15" s="646"/>
      <c r="AC15" s="646"/>
      <c r="AD15" s="646"/>
      <c r="AE15" s="647"/>
    </row>
    <row r="16" spans="1:31" ht="9" customHeight="1" thickBot="1" x14ac:dyDescent="0.3">
      <c r="A16" s="23"/>
      <c r="B16" s="20"/>
      <c r="C16" s="667"/>
      <c r="D16" s="667"/>
      <c r="E16" s="667"/>
      <c r="F16" s="667"/>
      <c r="G16" s="667"/>
      <c r="H16" s="667"/>
      <c r="I16" s="667"/>
      <c r="J16" s="667"/>
      <c r="K16" s="667"/>
      <c r="L16" s="667"/>
      <c r="M16" s="667"/>
      <c r="N16" s="667"/>
      <c r="O16" s="667"/>
      <c r="P16" s="667"/>
      <c r="Q16" s="667"/>
      <c r="R16" s="667"/>
      <c r="S16" s="667"/>
      <c r="T16" s="667"/>
      <c r="U16" s="667"/>
      <c r="V16" s="667"/>
      <c r="W16" s="667"/>
      <c r="X16" s="667"/>
      <c r="Y16" s="667"/>
      <c r="Z16" s="667"/>
      <c r="AA16" s="667"/>
      <c r="AB16" s="667"/>
      <c r="AD16" s="21"/>
      <c r="AE16" s="22"/>
    </row>
    <row r="17" spans="1:33" s="36" customFormat="1" ht="37.5" customHeight="1" thickBot="1" x14ac:dyDescent="0.3">
      <c r="A17" s="656" t="s">
        <v>17</v>
      </c>
      <c r="B17" s="657"/>
      <c r="C17" s="645" t="s">
        <v>236</v>
      </c>
      <c r="D17" s="646"/>
      <c r="E17" s="646"/>
      <c r="F17" s="646"/>
      <c r="G17" s="646"/>
      <c r="H17" s="646"/>
      <c r="I17" s="646"/>
      <c r="J17" s="646"/>
      <c r="K17" s="646"/>
      <c r="L17" s="646"/>
      <c r="M17" s="646"/>
      <c r="N17" s="646"/>
      <c r="O17" s="646"/>
      <c r="P17" s="646"/>
      <c r="Q17" s="646"/>
      <c r="R17" s="646"/>
      <c r="S17" s="646"/>
      <c r="T17" s="646"/>
      <c r="U17" s="646"/>
      <c r="V17" s="646"/>
      <c r="W17" s="646"/>
      <c r="X17" s="646"/>
      <c r="Y17" s="646"/>
      <c r="Z17" s="646"/>
      <c r="AA17" s="646"/>
      <c r="AB17" s="646"/>
      <c r="AC17" s="646"/>
      <c r="AD17" s="646"/>
      <c r="AE17" s="647"/>
    </row>
    <row r="18" spans="1:33" ht="16.5" customHeight="1" thickBot="1" x14ac:dyDescent="0.3">
      <c r="A18" s="184"/>
      <c r="B18" s="185"/>
      <c r="C18" s="185"/>
      <c r="D18" s="185"/>
      <c r="E18" s="185"/>
      <c r="F18" s="185"/>
      <c r="G18" s="185"/>
      <c r="H18" s="185"/>
      <c r="I18" s="185"/>
      <c r="J18" s="185"/>
      <c r="K18" s="185"/>
      <c r="L18" s="185"/>
      <c r="M18" s="185"/>
      <c r="N18" s="185"/>
      <c r="O18" s="185"/>
      <c r="P18" s="185"/>
      <c r="Q18" s="185"/>
      <c r="R18" s="185"/>
      <c r="S18" s="185"/>
      <c r="T18" s="185"/>
      <c r="U18" s="185"/>
      <c r="V18" s="185"/>
      <c r="W18" s="185"/>
      <c r="X18" s="185"/>
      <c r="Y18" s="185"/>
      <c r="Z18" s="185"/>
      <c r="AA18" s="185"/>
      <c r="AB18" s="185"/>
      <c r="AD18" s="185"/>
      <c r="AE18" s="186"/>
    </row>
    <row r="19" spans="1:33" ht="32.1" customHeight="1" thickBot="1" x14ac:dyDescent="0.3">
      <c r="A19" s="661" t="s">
        <v>138</v>
      </c>
      <c r="B19" s="662"/>
      <c r="C19" s="662"/>
      <c r="D19" s="662"/>
      <c r="E19" s="662"/>
      <c r="F19" s="662"/>
      <c r="G19" s="662"/>
      <c r="H19" s="662"/>
      <c r="I19" s="662"/>
      <c r="J19" s="662"/>
      <c r="K19" s="662"/>
      <c r="L19" s="662"/>
      <c r="M19" s="662"/>
      <c r="N19" s="662"/>
      <c r="O19" s="662"/>
      <c r="P19" s="662"/>
      <c r="Q19" s="662"/>
      <c r="R19" s="662"/>
      <c r="S19" s="662"/>
      <c r="T19" s="662"/>
      <c r="U19" s="662"/>
      <c r="V19" s="662"/>
      <c r="W19" s="662"/>
      <c r="X19" s="662"/>
      <c r="Y19" s="662"/>
      <c r="Z19" s="662"/>
      <c r="AA19" s="662"/>
      <c r="AB19" s="662"/>
      <c r="AC19" s="662"/>
      <c r="AD19" s="662"/>
      <c r="AE19" s="663"/>
      <c r="AF19" s="187"/>
    </row>
    <row r="20" spans="1:33" ht="32.1" customHeight="1" thickBot="1" x14ac:dyDescent="0.3">
      <c r="A20" s="37" t="s">
        <v>19</v>
      </c>
      <c r="B20" s="634" t="s">
        <v>139</v>
      </c>
      <c r="C20" s="635"/>
      <c r="D20" s="635"/>
      <c r="E20" s="635"/>
      <c r="F20" s="635"/>
      <c r="G20" s="635"/>
      <c r="H20" s="635"/>
      <c r="I20" s="635"/>
      <c r="J20" s="635"/>
      <c r="K20" s="635"/>
      <c r="L20" s="635"/>
      <c r="M20" s="635"/>
      <c r="N20" s="635"/>
      <c r="O20" s="636"/>
      <c r="P20" s="661" t="s">
        <v>140</v>
      </c>
      <c r="Q20" s="662"/>
      <c r="R20" s="662"/>
      <c r="S20" s="662"/>
      <c r="T20" s="662"/>
      <c r="U20" s="662"/>
      <c r="V20" s="662"/>
      <c r="W20" s="662"/>
      <c r="X20" s="662"/>
      <c r="Y20" s="662"/>
      <c r="Z20" s="662"/>
      <c r="AA20" s="662"/>
      <c r="AB20" s="662"/>
      <c r="AC20" s="662"/>
      <c r="AD20" s="662"/>
      <c r="AE20" s="663"/>
      <c r="AF20" s="187"/>
    </row>
    <row r="21" spans="1:33" ht="32.1" customHeight="1" thickBot="1" x14ac:dyDescent="0.3">
      <c r="A21" s="24"/>
      <c r="B21" s="38" t="s">
        <v>141</v>
      </c>
      <c r="C21" s="39" t="s">
        <v>142</v>
      </c>
      <c r="D21" s="39" t="s">
        <v>143</v>
      </c>
      <c r="E21" s="39" t="s">
        <v>144</v>
      </c>
      <c r="F21" s="39" t="s">
        <v>145</v>
      </c>
      <c r="G21" s="39" t="s">
        <v>146</v>
      </c>
      <c r="H21" s="39" t="s">
        <v>147</v>
      </c>
      <c r="I21" s="39" t="s">
        <v>148</v>
      </c>
      <c r="J21" s="39" t="s">
        <v>149</v>
      </c>
      <c r="K21" s="39" t="s">
        <v>150</v>
      </c>
      <c r="L21" s="39" t="s">
        <v>128</v>
      </c>
      <c r="M21" s="39" t="s">
        <v>151</v>
      </c>
      <c r="N21" s="39" t="s">
        <v>102</v>
      </c>
      <c r="O21" s="40" t="s">
        <v>100</v>
      </c>
      <c r="P21" s="41"/>
      <c r="Q21" s="37" t="s">
        <v>141</v>
      </c>
      <c r="R21" s="42" t="s">
        <v>142</v>
      </c>
      <c r="S21" s="42" t="s">
        <v>143</v>
      </c>
      <c r="T21" s="42" t="s">
        <v>144</v>
      </c>
      <c r="U21" s="42" t="s">
        <v>145</v>
      </c>
      <c r="V21" s="42" t="s">
        <v>146</v>
      </c>
      <c r="W21" s="42" t="s">
        <v>147</v>
      </c>
      <c r="X21" s="42" t="s">
        <v>148</v>
      </c>
      <c r="Y21" s="42" t="s">
        <v>149</v>
      </c>
      <c r="Z21" s="42" t="s">
        <v>150</v>
      </c>
      <c r="AA21" s="42" t="s">
        <v>128</v>
      </c>
      <c r="AB21" s="42" t="s">
        <v>151</v>
      </c>
      <c r="AC21" s="42" t="s">
        <v>102</v>
      </c>
      <c r="AD21" s="43" t="s">
        <v>152</v>
      </c>
      <c r="AE21" s="43" t="s">
        <v>153</v>
      </c>
      <c r="AF21" s="188"/>
    </row>
    <row r="22" spans="1:33" ht="32.1" customHeight="1" x14ac:dyDescent="0.25">
      <c r="A22" s="44" t="s">
        <v>31</v>
      </c>
      <c r="B22" s="189"/>
      <c r="C22" s="190"/>
      <c r="D22" s="190"/>
      <c r="E22" s="190"/>
      <c r="F22" s="190"/>
      <c r="G22" s="190"/>
      <c r="H22" s="190"/>
      <c r="I22" s="190"/>
      <c r="J22" s="190"/>
      <c r="K22" s="190"/>
      <c r="L22" s="190"/>
      <c r="M22" s="190"/>
      <c r="N22" s="190">
        <f>SUM(B22:M22)</f>
        <v>0</v>
      </c>
      <c r="O22" s="191"/>
      <c r="P22" s="44" t="s">
        <v>27</v>
      </c>
      <c r="Q22" s="192">
        <v>0</v>
      </c>
      <c r="R22" s="193">
        <v>0</v>
      </c>
      <c r="S22" s="193">
        <v>0</v>
      </c>
      <c r="T22" s="193">
        <v>0</v>
      </c>
      <c r="U22" s="193">
        <v>0</v>
      </c>
      <c r="V22" s="193">
        <v>0</v>
      </c>
      <c r="W22" s="193">
        <v>0</v>
      </c>
      <c r="X22" s="193">
        <v>44919333</v>
      </c>
      <c r="Y22" s="197">
        <v>0</v>
      </c>
      <c r="Z22" s="197">
        <v>0</v>
      </c>
      <c r="AA22" s="197">
        <v>0</v>
      </c>
      <c r="AB22" s="193">
        <v>21545344</v>
      </c>
      <c r="AC22" s="415">
        <f>SUM(Q22:AB22)</f>
        <v>66464677</v>
      </c>
      <c r="AD22" s="272"/>
      <c r="AE22" s="195"/>
      <c r="AF22" s="188"/>
    </row>
    <row r="23" spans="1:33" ht="32.1" customHeight="1" x14ac:dyDescent="0.25">
      <c r="A23" s="45" t="s">
        <v>21</v>
      </c>
      <c r="B23" s="196"/>
      <c r="C23" s="197"/>
      <c r="D23" s="197"/>
      <c r="E23" s="197"/>
      <c r="F23" s="197"/>
      <c r="G23" s="197"/>
      <c r="H23" s="197"/>
      <c r="I23" s="197"/>
      <c r="J23" s="197"/>
      <c r="K23" s="197"/>
      <c r="L23" s="197"/>
      <c r="M23" s="197"/>
      <c r="N23" s="197">
        <f>SUM(B23:M23)</f>
        <v>0</v>
      </c>
      <c r="O23" s="198" t="str">
        <f>IFERROR(N23/(SUMIF(B23:M23,"&gt;0",B22:M22))," ")</f>
        <v xml:space="preserve"> </v>
      </c>
      <c r="P23" s="45" t="s">
        <v>29</v>
      </c>
      <c r="Q23" s="196">
        <v>0</v>
      </c>
      <c r="R23" s="197">
        <v>0</v>
      </c>
      <c r="S23" s="197">
        <v>0</v>
      </c>
      <c r="T23" s="197">
        <v>0</v>
      </c>
      <c r="U23" s="197">
        <v>0</v>
      </c>
      <c r="V23" s="197">
        <v>0</v>
      </c>
      <c r="W23" s="197">
        <v>0</v>
      </c>
      <c r="X23" s="199">
        <v>51325000</v>
      </c>
      <c r="Y23" s="197">
        <v>0</v>
      </c>
      <c r="Z23" s="197">
        <v>0</v>
      </c>
      <c r="AA23" s="197">
        <v>15139677</v>
      </c>
      <c r="AB23" s="197">
        <v>0</v>
      </c>
      <c r="AC23" s="199">
        <f>SUM(Q23:AB23)</f>
        <v>66464677</v>
      </c>
      <c r="AD23" s="273">
        <f>AC23/SUM(Q22:AB22)</f>
        <v>1</v>
      </c>
      <c r="AE23" s="200">
        <f>AC23/AC22</f>
        <v>1</v>
      </c>
      <c r="AF23" s="188"/>
    </row>
    <row r="24" spans="1:33" ht="32.1" customHeight="1" x14ac:dyDescent="0.25">
      <c r="A24" s="45" t="s">
        <v>23</v>
      </c>
      <c r="B24" s="196">
        <f>+B22-B23</f>
        <v>0</v>
      </c>
      <c r="C24" s="197">
        <f t="shared" ref="C24:M24" si="0">+C22-C23</f>
        <v>0</v>
      </c>
      <c r="D24" s="197">
        <f t="shared" si="0"/>
        <v>0</v>
      </c>
      <c r="E24" s="197">
        <f t="shared" si="0"/>
        <v>0</v>
      </c>
      <c r="F24" s="197">
        <f t="shared" si="0"/>
        <v>0</v>
      </c>
      <c r="G24" s="197">
        <f t="shared" si="0"/>
        <v>0</v>
      </c>
      <c r="H24" s="197">
        <f t="shared" si="0"/>
        <v>0</v>
      </c>
      <c r="I24" s="197">
        <f t="shared" si="0"/>
        <v>0</v>
      </c>
      <c r="J24" s="197">
        <f t="shared" si="0"/>
        <v>0</v>
      </c>
      <c r="K24" s="197">
        <f t="shared" si="0"/>
        <v>0</v>
      </c>
      <c r="L24" s="197">
        <f t="shared" si="0"/>
        <v>0</v>
      </c>
      <c r="M24" s="197">
        <f t="shared" si="0"/>
        <v>0</v>
      </c>
      <c r="N24" s="197">
        <f>SUM(B24:M24)</f>
        <v>0</v>
      </c>
      <c r="O24" s="201"/>
      <c r="P24" s="45" t="s">
        <v>31</v>
      </c>
      <c r="Q24" s="196">
        <v>0</v>
      </c>
      <c r="R24" s="197">
        <v>0</v>
      </c>
      <c r="S24" s="197">
        <v>0</v>
      </c>
      <c r="T24" s="197">
        <v>0</v>
      </c>
      <c r="U24" s="197">
        <v>0</v>
      </c>
      <c r="V24" s="197">
        <v>0</v>
      </c>
      <c r="W24" s="197">
        <v>0</v>
      </c>
      <c r="X24" s="197">
        <v>0</v>
      </c>
      <c r="Y24" s="197">
        <v>3455333</v>
      </c>
      <c r="Z24" s="197">
        <v>10366000</v>
      </c>
      <c r="AA24" s="197">
        <v>10366000</v>
      </c>
      <c r="AB24" s="197">
        <f>10366000+16771667+15098299</f>
        <v>42235966</v>
      </c>
      <c r="AC24" s="416">
        <f>SUM(Q24:AB24)</f>
        <v>66423299</v>
      </c>
      <c r="AD24" s="274"/>
      <c r="AE24" s="202"/>
      <c r="AF24" s="188"/>
      <c r="AG24" s="522"/>
    </row>
    <row r="25" spans="1:33" ht="32.1" customHeight="1" thickBot="1" x14ac:dyDescent="0.3">
      <c r="A25" s="46" t="s">
        <v>25</v>
      </c>
      <c r="B25" s="203"/>
      <c r="C25" s="204"/>
      <c r="D25" s="204"/>
      <c r="E25" s="204"/>
      <c r="F25" s="204"/>
      <c r="G25" s="204"/>
      <c r="H25" s="204"/>
      <c r="I25" s="204"/>
      <c r="J25" s="204"/>
      <c r="K25" s="204"/>
      <c r="L25" s="204"/>
      <c r="M25" s="204"/>
      <c r="N25" s="204">
        <f>SUM(B25:M25)</f>
        <v>0</v>
      </c>
      <c r="O25" s="205" t="str">
        <f>IFERROR(N25/(SUMIF(B25:M25,"&gt;0",B24:M24))," ")</f>
        <v xml:space="preserve"> </v>
      </c>
      <c r="P25" s="46" t="s">
        <v>25</v>
      </c>
      <c r="Q25" s="203">
        <v>0</v>
      </c>
      <c r="R25" s="204">
        <v>0</v>
      </c>
      <c r="S25" s="204">
        <v>0</v>
      </c>
      <c r="T25" s="204">
        <v>0</v>
      </c>
      <c r="U25" s="204">
        <v>0</v>
      </c>
      <c r="V25" s="204">
        <v>0</v>
      </c>
      <c r="W25" s="204">
        <v>0</v>
      </c>
      <c r="X25" s="204">
        <v>0</v>
      </c>
      <c r="Y25" s="204">
        <v>7098467</v>
      </c>
      <c r="Z25" s="204">
        <v>10366000</v>
      </c>
      <c r="AA25" s="204">
        <v>10366000</v>
      </c>
      <c r="AB25" s="204">
        <v>0</v>
      </c>
      <c r="AC25" s="408">
        <f>SUM(Q25:AB25)</f>
        <v>27830467</v>
      </c>
      <c r="AD25" s="275">
        <f>AC25/SUM(Q24:AB24)</f>
        <v>0.41898652158183231</v>
      </c>
      <c r="AE25" s="206">
        <f>AC25/AC24</f>
        <v>0.41898652158183231</v>
      </c>
      <c r="AF25" s="188"/>
    </row>
    <row r="26" spans="1:33" s="207" customFormat="1" ht="16.5" customHeight="1" thickBot="1" x14ac:dyDescent="0.25">
      <c r="AG26" s="523"/>
    </row>
    <row r="27" spans="1:33" ht="33.950000000000003" customHeight="1" x14ac:dyDescent="0.25">
      <c r="A27" s="668" t="s">
        <v>154</v>
      </c>
      <c r="B27" s="669"/>
      <c r="C27" s="669"/>
      <c r="D27" s="669"/>
      <c r="E27" s="669"/>
      <c r="F27" s="669"/>
      <c r="G27" s="669"/>
      <c r="H27" s="669"/>
      <c r="I27" s="669"/>
      <c r="J27" s="669"/>
      <c r="K27" s="669"/>
      <c r="L27" s="669"/>
      <c r="M27" s="669"/>
      <c r="N27" s="669"/>
      <c r="O27" s="669"/>
      <c r="P27" s="669"/>
      <c r="Q27" s="669"/>
      <c r="R27" s="669"/>
      <c r="S27" s="669"/>
      <c r="T27" s="669"/>
      <c r="U27" s="669"/>
      <c r="V27" s="669"/>
      <c r="W27" s="669"/>
      <c r="X27" s="669"/>
      <c r="Y27" s="669"/>
      <c r="Z27" s="669"/>
      <c r="AA27" s="669"/>
      <c r="AB27" s="669"/>
      <c r="AC27" s="669"/>
      <c r="AD27" s="669"/>
      <c r="AE27" s="670"/>
    </row>
    <row r="28" spans="1:33" ht="15" customHeight="1" x14ac:dyDescent="0.25">
      <c r="A28" s="590" t="s">
        <v>34</v>
      </c>
      <c r="B28" s="592" t="s">
        <v>36</v>
      </c>
      <c r="C28" s="592"/>
      <c r="D28" s="592" t="s">
        <v>155</v>
      </c>
      <c r="E28" s="592"/>
      <c r="F28" s="592"/>
      <c r="G28" s="592"/>
      <c r="H28" s="592"/>
      <c r="I28" s="592"/>
      <c r="J28" s="592"/>
      <c r="K28" s="592"/>
      <c r="L28" s="592"/>
      <c r="M28" s="592"/>
      <c r="N28" s="592"/>
      <c r="O28" s="592"/>
      <c r="P28" s="592" t="s">
        <v>102</v>
      </c>
      <c r="Q28" s="592" t="s">
        <v>156</v>
      </c>
      <c r="R28" s="592"/>
      <c r="S28" s="592"/>
      <c r="T28" s="592"/>
      <c r="U28" s="592"/>
      <c r="V28" s="592"/>
      <c r="W28" s="592"/>
      <c r="X28" s="592"/>
      <c r="Y28" s="592" t="s">
        <v>157</v>
      </c>
      <c r="Z28" s="592"/>
      <c r="AA28" s="592"/>
      <c r="AB28" s="592"/>
      <c r="AC28" s="592"/>
      <c r="AD28" s="592"/>
      <c r="AE28" s="671"/>
    </row>
    <row r="29" spans="1:33" ht="27" customHeight="1" x14ac:dyDescent="0.25">
      <c r="A29" s="590"/>
      <c r="B29" s="592"/>
      <c r="C29" s="592"/>
      <c r="D29" s="48" t="s">
        <v>141</v>
      </c>
      <c r="E29" s="48" t="s">
        <v>142</v>
      </c>
      <c r="F29" s="48" t="s">
        <v>143</v>
      </c>
      <c r="G29" s="48" t="s">
        <v>144</v>
      </c>
      <c r="H29" s="48" t="s">
        <v>145</v>
      </c>
      <c r="I29" s="48" t="s">
        <v>146</v>
      </c>
      <c r="J29" s="48" t="s">
        <v>147</v>
      </c>
      <c r="K29" s="48" t="s">
        <v>148</v>
      </c>
      <c r="L29" s="48" t="s">
        <v>149</v>
      </c>
      <c r="M29" s="48" t="s">
        <v>150</v>
      </c>
      <c r="N29" s="48" t="s">
        <v>128</v>
      </c>
      <c r="O29" s="48" t="s">
        <v>151</v>
      </c>
      <c r="P29" s="592"/>
      <c r="Q29" s="592"/>
      <c r="R29" s="592"/>
      <c r="S29" s="592"/>
      <c r="T29" s="592"/>
      <c r="U29" s="592"/>
      <c r="V29" s="592"/>
      <c r="W29" s="592"/>
      <c r="X29" s="592"/>
      <c r="Y29" s="592"/>
      <c r="Z29" s="592"/>
      <c r="AA29" s="592"/>
      <c r="AB29" s="592"/>
      <c r="AC29" s="592"/>
      <c r="AD29" s="592"/>
      <c r="AE29" s="671"/>
    </row>
    <row r="30" spans="1:33" ht="42" customHeight="1" thickBot="1" x14ac:dyDescent="0.3">
      <c r="A30" s="49"/>
      <c r="B30" s="672"/>
      <c r="C30" s="672"/>
      <c r="D30" s="16"/>
      <c r="E30" s="16"/>
      <c r="F30" s="16"/>
      <c r="G30" s="16"/>
      <c r="H30" s="16"/>
      <c r="I30" s="16"/>
      <c r="J30" s="16"/>
      <c r="K30" s="16"/>
      <c r="L30" s="16"/>
      <c r="M30" s="16"/>
      <c r="N30" s="16"/>
      <c r="O30" s="16"/>
      <c r="P30" s="50">
        <f>SUM(D30:O30)</f>
        <v>0</v>
      </c>
      <c r="Q30" s="673" t="s">
        <v>158</v>
      </c>
      <c r="R30" s="673"/>
      <c r="S30" s="673"/>
      <c r="T30" s="673"/>
      <c r="U30" s="673"/>
      <c r="V30" s="673"/>
      <c r="W30" s="673"/>
      <c r="X30" s="673"/>
      <c r="Y30" s="673" t="s">
        <v>43</v>
      </c>
      <c r="Z30" s="673"/>
      <c r="AA30" s="673"/>
      <c r="AB30" s="673"/>
      <c r="AC30" s="673"/>
      <c r="AD30" s="673"/>
      <c r="AE30" s="674"/>
    </row>
    <row r="31" spans="1:33" ht="12" customHeight="1" thickBot="1" x14ac:dyDescent="0.3">
      <c r="A31" s="51"/>
      <c r="B31" s="52"/>
      <c r="C31" s="52"/>
      <c r="D31" s="26"/>
      <c r="E31" s="26"/>
      <c r="F31" s="26"/>
      <c r="G31" s="26"/>
      <c r="H31" s="26"/>
      <c r="I31" s="26"/>
      <c r="J31" s="26"/>
      <c r="K31" s="26"/>
      <c r="L31" s="26"/>
      <c r="M31" s="26"/>
      <c r="N31" s="26"/>
      <c r="O31" s="26"/>
      <c r="P31" s="53"/>
      <c r="Q31" s="126"/>
      <c r="R31" s="126"/>
      <c r="S31" s="126"/>
      <c r="T31" s="126"/>
      <c r="U31" s="126"/>
      <c r="V31" s="126"/>
      <c r="W31" s="126"/>
      <c r="X31" s="126"/>
      <c r="Y31" s="126"/>
      <c r="Z31" s="126"/>
      <c r="AA31" s="126"/>
      <c r="AB31" s="126"/>
      <c r="AC31" s="126"/>
      <c r="AD31" s="126"/>
      <c r="AE31" s="127"/>
    </row>
    <row r="32" spans="1:33" ht="45" customHeight="1" x14ac:dyDescent="0.25">
      <c r="A32" s="586" t="s">
        <v>159</v>
      </c>
      <c r="B32" s="587"/>
      <c r="C32" s="587"/>
      <c r="D32" s="587"/>
      <c r="E32" s="587"/>
      <c r="F32" s="587"/>
      <c r="G32" s="587"/>
      <c r="H32" s="587"/>
      <c r="I32" s="587"/>
      <c r="J32" s="587"/>
      <c r="K32" s="587"/>
      <c r="L32" s="587"/>
      <c r="M32" s="587"/>
      <c r="N32" s="587"/>
      <c r="O32" s="587"/>
      <c r="P32" s="587"/>
      <c r="Q32" s="587"/>
      <c r="R32" s="587"/>
      <c r="S32" s="587"/>
      <c r="T32" s="587"/>
      <c r="U32" s="587"/>
      <c r="V32" s="587"/>
      <c r="W32" s="587"/>
      <c r="X32" s="587"/>
      <c r="Y32" s="587"/>
      <c r="Z32" s="587"/>
      <c r="AA32" s="587"/>
      <c r="AB32" s="587"/>
      <c r="AC32" s="587"/>
      <c r="AD32" s="587"/>
      <c r="AE32" s="588"/>
    </row>
    <row r="33" spans="1:41" ht="23.1" customHeight="1" x14ac:dyDescent="0.25">
      <c r="A33" s="590" t="s">
        <v>44</v>
      </c>
      <c r="B33" s="592" t="s">
        <v>46</v>
      </c>
      <c r="C33" s="592" t="s">
        <v>36</v>
      </c>
      <c r="D33" s="592" t="s">
        <v>160</v>
      </c>
      <c r="E33" s="592"/>
      <c r="F33" s="592"/>
      <c r="G33" s="592"/>
      <c r="H33" s="592"/>
      <c r="I33" s="592"/>
      <c r="J33" s="592"/>
      <c r="K33" s="592"/>
      <c r="L33" s="592"/>
      <c r="M33" s="592"/>
      <c r="N33" s="592"/>
      <c r="O33" s="592"/>
      <c r="P33" s="592"/>
      <c r="Q33" s="592" t="s">
        <v>161</v>
      </c>
      <c r="R33" s="592"/>
      <c r="S33" s="592"/>
      <c r="T33" s="592"/>
      <c r="U33" s="592"/>
      <c r="V33" s="592"/>
      <c r="W33" s="592"/>
      <c r="X33" s="592"/>
      <c r="Y33" s="592"/>
      <c r="Z33" s="592"/>
      <c r="AA33" s="592"/>
      <c r="AB33" s="592"/>
      <c r="AC33" s="592"/>
      <c r="AD33" s="592"/>
      <c r="AE33" s="671"/>
      <c r="AG33" s="128"/>
      <c r="AH33" s="128"/>
      <c r="AI33" s="128"/>
      <c r="AJ33" s="128"/>
      <c r="AK33" s="128"/>
      <c r="AL33" s="128"/>
      <c r="AM33" s="128"/>
      <c r="AN33" s="128"/>
      <c r="AO33" s="128"/>
    </row>
    <row r="34" spans="1:41" ht="27" customHeight="1" x14ac:dyDescent="0.25">
      <c r="A34" s="590"/>
      <c r="B34" s="592"/>
      <c r="C34" s="675"/>
      <c r="D34" s="48" t="s">
        <v>141</v>
      </c>
      <c r="E34" s="48" t="s">
        <v>142</v>
      </c>
      <c r="F34" s="48" t="s">
        <v>143</v>
      </c>
      <c r="G34" s="48" t="s">
        <v>144</v>
      </c>
      <c r="H34" s="48" t="s">
        <v>145</v>
      </c>
      <c r="I34" s="48" t="s">
        <v>146</v>
      </c>
      <c r="J34" s="48" t="s">
        <v>147</v>
      </c>
      <c r="K34" s="48" t="s">
        <v>148</v>
      </c>
      <c r="L34" s="48" t="s">
        <v>149</v>
      </c>
      <c r="M34" s="48" t="s">
        <v>150</v>
      </c>
      <c r="N34" s="48" t="s">
        <v>128</v>
      </c>
      <c r="O34" s="48" t="s">
        <v>151</v>
      </c>
      <c r="P34" s="48" t="s">
        <v>102</v>
      </c>
      <c r="Q34" s="676" t="s">
        <v>52</v>
      </c>
      <c r="R34" s="677"/>
      <c r="S34" s="677"/>
      <c r="T34" s="678"/>
      <c r="U34" s="592" t="s">
        <v>54</v>
      </c>
      <c r="V34" s="592"/>
      <c r="W34" s="592"/>
      <c r="X34" s="592"/>
      <c r="Y34" s="592" t="s">
        <v>56</v>
      </c>
      <c r="Z34" s="592"/>
      <c r="AA34" s="592"/>
      <c r="AB34" s="592"/>
      <c r="AC34" s="592" t="s">
        <v>58</v>
      </c>
      <c r="AD34" s="592"/>
      <c r="AE34" s="671"/>
      <c r="AG34" s="128"/>
      <c r="AH34" s="128"/>
      <c r="AI34" s="128"/>
      <c r="AJ34" s="128"/>
      <c r="AK34" s="128"/>
      <c r="AL34" s="128"/>
      <c r="AM34" s="128"/>
      <c r="AN34" s="128"/>
      <c r="AO34" s="128"/>
    </row>
    <row r="35" spans="1:41" ht="198" customHeight="1" x14ac:dyDescent="0.25">
      <c r="A35" s="681" t="str">
        <f>+C17</f>
        <v>Implementar 3 acciones de transformación cultural que promuevan y garanticen el libre ejercicio de los derechos de las mujeres y la equidad de género a través de mecanismos de cambio cultural y comportamental desarrollados con las comunidades. (Producto MGA - Servicio de promoción de la garantía de derechos)</v>
      </c>
      <c r="B35" s="683">
        <v>0.09</v>
      </c>
      <c r="C35" s="54" t="s">
        <v>48</v>
      </c>
      <c r="D35" s="162">
        <f>+D78</f>
        <v>0</v>
      </c>
      <c r="E35" s="162">
        <f t="shared" ref="E35:O35" si="1">+E78</f>
        <v>0</v>
      </c>
      <c r="F35" s="162">
        <f t="shared" si="1"/>
        <v>0</v>
      </c>
      <c r="G35" s="162">
        <f t="shared" si="1"/>
        <v>0</v>
      </c>
      <c r="H35" s="162">
        <f t="shared" si="1"/>
        <v>0</v>
      </c>
      <c r="I35" s="162">
        <f t="shared" si="1"/>
        <v>0</v>
      </c>
      <c r="J35" s="162">
        <f t="shared" si="1"/>
        <v>0</v>
      </c>
      <c r="K35" s="162">
        <f t="shared" si="1"/>
        <v>0.15555555555555556</v>
      </c>
      <c r="L35" s="162">
        <f t="shared" si="1"/>
        <v>0.26666666666666666</v>
      </c>
      <c r="M35" s="162">
        <f t="shared" si="1"/>
        <v>0.25555555555555554</v>
      </c>
      <c r="N35" s="162">
        <f t="shared" si="1"/>
        <v>0.18888888888888891</v>
      </c>
      <c r="O35" s="162">
        <f t="shared" si="1"/>
        <v>0.13333333333333333</v>
      </c>
      <c r="P35" s="164">
        <f>SUM(D35:O35)</f>
        <v>1</v>
      </c>
      <c r="Q35" s="763" t="s">
        <v>237</v>
      </c>
      <c r="R35" s="764"/>
      <c r="S35" s="764"/>
      <c r="T35" s="791"/>
      <c r="U35" s="763" t="s">
        <v>238</v>
      </c>
      <c r="V35" s="764"/>
      <c r="W35" s="764"/>
      <c r="X35" s="765"/>
      <c r="Y35" s="757" t="s">
        <v>224</v>
      </c>
      <c r="Z35" s="758"/>
      <c r="AA35" s="758"/>
      <c r="AB35" s="759"/>
      <c r="AC35" s="757" t="s">
        <v>239</v>
      </c>
      <c r="AD35" s="758"/>
      <c r="AE35" s="769"/>
      <c r="AG35" s="364" t="s">
        <v>240</v>
      </c>
      <c r="AH35" s="128">
        <f>LEN(AG35)</f>
        <v>300</v>
      </c>
      <c r="AI35" s="128"/>
      <c r="AJ35" s="128"/>
      <c r="AK35" s="128"/>
      <c r="AL35" s="128"/>
      <c r="AM35" s="128"/>
      <c r="AN35" s="128"/>
      <c r="AO35" s="128"/>
    </row>
    <row r="36" spans="1:41" ht="198" customHeight="1" thickBot="1" x14ac:dyDescent="0.3">
      <c r="A36" s="682"/>
      <c r="B36" s="684"/>
      <c r="C36" s="55" t="s">
        <v>50</v>
      </c>
      <c r="D36" s="165">
        <f>D75</f>
        <v>0</v>
      </c>
      <c r="E36" s="165">
        <f t="shared" ref="E36:L36" si="2">E75</f>
        <v>0</v>
      </c>
      <c r="F36" s="165">
        <f t="shared" si="2"/>
        <v>0</v>
      </c>
      <c r="G36" s="165">
        <f t="shared" si="2"/>
        <v>0</v>
      </c>
      <c r="H36" s="165">
        <f t="shared" si="2"/>
        <v>0</v>
      </c>
      <c r="I36" s="165">
        <f t="shared" si="2"/>
        <v>0</v>
      </c>
      <c r="J36" s="165">
        <f t="shared" si="2"/>
        <v>0</v>
      </c>
      <c r="K36" s="165">
        <f t="shared" si="2"/>
        <v>0.15555555555555556</v>
      </c>
      <c r="L36" s="165">
        <f t="shared" si="2"/>
        <v>0.26666666666666666</v>
      </c>
      <c r="M36" s="165">
        <f>M75</f>
        <v>0.25555555555555554</v>
      </c>
      <c r="N36" s="165">
        <f>N75</f>
        <v>0.18888888888888891</v>
      </c>
      <c r="O36" s="165">
        <f>O75</f>
        <v>0</v>
      </c>
      <c r="P36" s="163">
        <f>SUM(D36:O36)</f>
        <v>0.8666666666666667</v>
      </c>
      <c r="Q36" s="766"/>
      <c r="R36" s="767"/>
      <c r="S36" s="767"/>
      <c r="T36" s="792"/>
      <c r="U36" s="766"/>
      <c r="V36" s="767"/>
      <c r="W36" s="767"/>
      <c r="X36" s="768"/>
      <c r="Y36" s="760"/>
      <c r="Z36" s="761"/>
      <c r="AA36" s="761"/>
      <c r="AB36" s="762"/>
      <c r="AC36" s="760"/>
      <c r="AD36" s="761"/>
      <c r="AE36" s="770"/>
      <c r="AG36" s="128"/>
      <c r="AH36" s="128"/>
      <c r="AI36" s="128"/>
      <c r="AJ36" s="128"/>
      <c r="AK36" s="128"/>
      <c r="AL36" s="128"/>
      <c r="AM36" s="128"/>
      <c r="AN36" s="128"/>
      <c r="AO36" s="128"/>
    </row>
    <row r="37" spans="1:41" s="207" customFormat="1" ht="17.25" customHeight="1" thickBot="1" x14ac:dyDescent="0.25"/>
    <row r="38" spans="1:41" ht="45" customHeight="1" thickBot="1" x14ac:dyDescent="0.3">
      <c r="A38" s="586" t="s">
        <v>166</v>
      </c>
      <c r="B38" s="587"/>
      <c r="C38" s="587"/>
      <c r="D38" s="587"/>
      <c r="E38" s="587"/>
      <c r="F38" s="587"/>
      <c r="G38" s="587"/>
      <c r="H38" s="587"/>
      <c r="I38" s="587"/>
      <c r="J38" s="587"/>
      <c r="K38" s="587"/>
      <c r="L38" s="587"/>
      <c r="M38" s="587"/>
      <c r="N38" s="587"/>
      <c r="O38" s="587"/>
      <c r="P38" s="587"/>
      <c r="Q38" s="587"/>
      <c r="R38" s="587"/>
      <c r="S38" s="587"/>
      <c r="T38" s="587"/>
      <c r="U38" s="587"/>
      <c r="V38" s="587"/>
      <c r="W38" s="587"/>
      <c r="X38" s="587"/>
      <c r="Y38" s="587"/>
      <c r="Z38" s="587"/>
      <c r="AA38" s="587"/>
      <c r="AB38" s="587"/>
      <c r="AC38" s="587"/>
      <c r="AD38" s="587"/>
      <c r="AE38" s="588"/>
      <c r="AG38" s="128"/>
      <c r="AH38" s="128"/>
      <c r="AI38" s="128"/>
      <c r="AJ38" s="128"/>
      <c r="AK38" s="128"/>
      <c r="AL38" s="128"/>
      <c r="AM38" s="128"/>
      <c r="AN38" s="128"/>
      <c r="AO38" s="128"/>
    </row>
    <row r="39" spans="1:41" ht="26.1" customHeight="1" x14ac:dyDescent="0.25">
      <c r="A39" s="589" t="s">
        <v>60</v>
      </c>
      <c r="B39" s="591" t="s">
        <v>167</v>
      </c>
      <c r="C39" s="593" t="s">
        <v>168</v>
      </c>
      <c r="D39" s="595" t="s">
        <v>169</v>
      </c>
      <c r="E39" s="596"/>
      <c r="F39" s="596"/>
      <c r="G39" s="596"/>
      <c r="H39" s="596"/>
      <c r="I39" s="596"/>
      <c r="J39" s="596"/>
      <c r="K39" s="596"/>
      <c r="L39" s="596"/>
      <c r="M39" s="596"/>
      <c r="N39" s="596"/>
      <c r="O39" s="596"/>
      <c r="P39" s="597"/>
      <c r="Q39" s="591" t="s">
        <v>170</v>
      </c>
      <c r="R39" s="591"/>
      <c r="S39" s="591"/>
      <c r="T39" s="591"/>
      <c r="U39" s="591"/>
      <c r="V39" s="591"/>
      <c r="W39" s="591"/>
      <c r="X39" s="591"/>
      <c r="Y39" s="591"/>
      <c r="Z39" s="591"/>
      <c r="AA39" s="591"/>
      <c r="AB39" s="591"/>
      <c r="AC39" s="591"/>
      <c r="AD39" s="591"/>
      <c r="AE39" s="679"/>
      <c r="AG39" s="128"/>
      <c r="AH39" s="128"/>
      <c r="AI39" s="128"/>
      <c r="AJ39" s="128"/>
      <c r="AK39" s="128"/>
      <c r="AL39" s="128"/>
      <c r="AM39" s="128"/>
      <c r="AN39" s="128"/>
      <c r="AO39" s="128"/>
    </row>
    <row r="40" spans="1:41" ht="26.1" customHeight="1" x14ac:dyDescent="0.25">
      <c r="A40" s="590"/>
      <c r="B40" s="592"/>
      <c r="C40" s="594"/>
      <c r="D40" s="48" t="s">
        <v>171</v>
      </c>
      <c r="E40" s="48" t="s">
        <v>172</v>
      </c>
      <c r="F40" s="48" t="s">
        <v>173</v>
      </c>
      <c r="G40" s="48" t="s">
        <v>174</v>
      </c>
      <c r="H40" s="48" t="s">
        <v>175</v>
      </c>
      <c r="I40" s="48" t="s">
        <v>176</v>
      </c>
      <c r="J40" s="48" t="s">
        <v>177</v>
      </c>
      <c r="K40" s="48" t="s">
        <v>178</v>
      </c>
      <c r="L40" s="48" t="s">
        <v>179</v>
      </c>
      <c r="M40" s="48" t="s">
        <v>180</v>
      </c>
      <c r="N40" s="48" t="s">
        <v>181</v>
      </c>
      <c r="O40" s="48" t="s">
        <v>182</v>
      </c>
      <c r="P40" s="48" t="s">
        <v>183</v>
      </c>
      <c r="Q40" s="676" t="s">
        <v>184</v>
      </c>
      <c r="R40" s="677"/>
      <c r="S40" s="677"/>
      <c r="T40" s="677"/>
      <c r="U40" s="677"/>
      <c r="V40" s="677"/>
      <c r="W40" s="677"/>
      <c r="X40" s="678"/>
      <c r="Y40" s="676" t="s">
        <v>68</v>
      </c>
      <c r="Z40" s="677"/>
      <c r="AA40" s="677"/>
      <c r="AB40" s="677"/>
      <c r="AC40" s="677"/>
      <c r="AD40" s="677"/>
      <c r="AE40" s="680"/>
      <c r="AG40" s="208"/>
      <c r="AH40" s="208"/>
      <c r="AI40" s="208"/>
      <c r="AJ40" s="208"/>
      <c r="AK40" s="208"/>
      <c r="AL40" s="208"/>
      <c r="AM40" s="208"/>
      <c r="AN40" s="208"/>
      <c r="AO40" s="208"/>
    </row>
    <row r="41" spans="1:41" ht="109.15" customHeight="1" x14ac:dyDescent="0.25">
      <c r="A41" s="691" t="s">
        <v>241</v>
      </c>
      <c r="B41" s="692">
        <v>0.05</v>
      </c>
      <c r="C41" s="56" t="s">
        <v>48</v>
      </c>
      <c r="D41" s="57">
        <v>0</v>
      </c>
      <c r="E41" s="57">
        <v>0</v>
      </c>
      <c r="F41" s="57">
        <v>0</v>
      </c>
      <c r="G41" s="57">
        <v>0</v>
      </c>
      <c r="H41" s="57">
        <v>0</v>
      </c>
      <c r="I41" s="57">
        <v>0</v>
      </c>
      <c r="J41" s="57">
        <v>0</v>
      </c>
      <c r="K41" s="57">
        <v>0.2</v>
      </c>
      <c r="L41" s="57">
        <v>0.4</v>
      </c>
      <c r="M41" s="57">
        <v>0.3</v>
      </c>
      <c r="N41" s="57">
        <v>0.1</v>
      </c>
      <c r="O41" s="57">
        <v>0</v>
      </c>
      <c r="P41" s="58">
        <f t="shared" ref="P41:P44" si="3">SUM(D41:O41)</f>
        <v>1.0000000000000002</v>
      </c>
      <c r="Q41" s="793" t="s">
        <v>242</v>
      </c>
      <c r="R41" s="794"/>
      <c r="S41" s="794"/>
      <c r="T41" s="794"/>
      <c r="U41" s="794"/>
      <c r="V41" s="794"/>
      <c r="W41" s="794"/>
      <c r="X41" s="795"/>
      <c r="Y41" s="799" t="s">
        <v>243</v>
      </c>
      <c r="Z41" s="799"/>
      <c r="AA41" s="799"/>
      <c r="AB41" s="799"/>
      <c r="AC41" s="799"/>
      <c r="AD41" s="799"/>
      <c r="AE41" s="799"/>
      <c r="AG41" s="209"/>
      <c r="AH41" s="209"/>
      <c r="AI41" s="209"/>
      <c r="AJ41" s="209"/>
      <c r="AK41" s="209"/>
      <c r="AL41" s="209"/>
      <c r="AM41" s="209"/>
      <c r="AN41" s="209"/>
      <c r="AO41" s="209"/>
    </row>
    <row r="42" spans="1:41" ht="109.15" customHeight="1" x14ac:dyDescent="0.25">
      <c r="A42" s="691"/>
      <c r="B42" s="692"/>
      <c r="C42" s="59" t="s">
        <v>50</v>
      </c>
      <c r="D42" s="60">
        <v>0</v>
      </c>
      <c r="E42" s="60">
        <v>0</v>
      </c>
      <c r="F42" s="60">
        <v>0</v>
      </c>
      <c r="G42" s="60">
        <v>0</v>
      </c>
      <c r="H42" s="60">
        <v>0</v>
      </c>
      <c r="I42" s="60">
        <v>0</v>
      </c>
      <c r="J42" s="60">
        <v>0</v>
      </c>
      <c r="K42" s="60">
        <v>0.2</v>
      </c>
      <c r="L42" s="60">
        <v>0.4</v>
      </c>
      <c r="M42" s="60">
        <v>0.3</v>
      </c>
      <c r="N42" s="60">
        <v>0.1</v>
      </c>
      <c r="O42" s="60"/>
      <c r="P42" s="172">
        <f t="shared" si="3"/>
        <v>1.0000000000000002</v>
      </c>
      <c r="Q42" s="796"/>
      <c r="R42" s="797"/>
      <c r="S42" s="797"/>
      <c r="T42" s="797"/>
      <c r="U42" s="797"/>
      <c r="V42" s="797"/>
      <c r="W42" s="797"/>
      <c r="X42" s="798"/>
      <c r="Y42" s="800"/>
      <c r="Z42" s="800"/>
      <c r="AA42" s="800"/>
      <c r="AB42" s="800"/>
      <c r="AC42" s="800"/>
      <c r="AD42" s="800"/>
      <c r="AE42" s="800"/>
    </row>
    <row r="43" spans="1:41" ht="66.599999999999994" customHeight="1" x14ac:dyDescent="0.25">
      <c r="A43" s="691" t="s">
        <v>244</v>
      </c>
      <c r="B43" s="692">
        <v>0.02</v>
      </c>
      <c r="C43" s="56" t="s">
        <v>48</v>
      </c>
      <c r="D43" s="57">
        <v>0</v>
      </c>
      <c r="E43" s="57">
        <v>0</v>
      </c>
      <c r="F43" s="57">
        <v>0</v>
      </c>
      <c r="G43" s="57">
        <v>0</v>
      </c>
      <c r="H43" s="57">
        <v>0</v>
      </c>
      <c r="I43" s="57">
        <v>0</v>
      </c>
      <c r="J43" s="57">
        <v>0</v>
      </c>
      <c r="K43" s="57">
        <v>0</v>
      </c>
      <c r="L43" s="57">
        <v>0</v>
      </c>
      <c r="M43" s="57">
        <v>0.2</v>
      </c>
      <c r="N43" s="57">
        <v>0.4</v>
      </c>
      <c r="O43" s="57">
        <v>0.4</v>
      </c>
      <c r="P43" s="58">
        <f t="shared" si="3"/>
        <v>1</v>
      </c>
      <c r="Q43" s="713" t="s">
        <v>245</v>
      </c>
      <c r="R43" s="702"/>
      <c r="S43" s="702"/>
      <c r="T43" s="702"/>
      <c r="U43" s="702"/>
      <c r="V43" s="702"/>
      <c r="W43" s="702"/>
      <c r="X43" s="702"/>
      <c r="Y43" s="700" t="s">
        <v>246</v>
      </c>
      <c r="Z43" s="700"/>
      <c r="AA43" s="700"/>
      <c r="AB43" s="700"/>
      <c r="AC43" s="700"/>
      <c r="AD43" s="700"/>
      <c r="AE43" s="700"/>
    </row>
    <row r="44" spans="1:41" ht="66.599999999999994" customHeight="1" x14ac:dyDescent="0.25">
      <c r="A44" s="691"/>
      <c r="B44" s="692"/>
      <c r="C44" s="59" t="s">
        <v>50</v>
      </c>
      <c r="D44" s="60">
        <v>0</v>
      </c>
      <c r="E44" s="60">
        <v>0</v>
      </c>
      <c r="F44" s="60">
        <v>0</v>
      </c>
      <c r="G44" s="60">
        <v>0</v>
      </c>
      <c r="H44" s="60">
        <v>0</v>
      </c>
      <c r="I44" s="60">
        <v>0</v>
      </c>
      <c r="J44" s="60">
        <v>0</v>
      </c>
      <c r="K44" s="60">
        <v>0</v>
      </c>
      <c r="L44" s="60">
        <v>0</v>
      </c>
      <c r="M44" s="60">
        <v>0.2</v>
      </c>
      <c r="N44" s="60">
        <v>0.4</v>
      </c>
      <c r="O44" s="60"/>
      <c r="P44" s="172">
        <f t="shared" si="3"/>
        <v>0.60000000000000009</v>
      </c>
      <c r="Q44" s="704"/>
      <c r="R44" s="705"/>
      <c r="S44" s="705"/>
      <c r="T44" s="705"/>
      <c r="U44" s="705"/>
      <c r="V44" s="705"/>
      <c r="W44" s="705"/>
      <c r="X44" s="705"/>
      <c r="Y44" s="700"/>
      <c r="Z44" s="700"/>
      <c r="AA44" s="700"/>
      <c r="AB44" s="700"/>
      <c r="AC44" s="700"/>
      <c r="AD44" s="700"/>
      <c r="AE44" s="700"/>
    </row>
    <row r="45" spans="1:41" ht="137.44999999999999" customHeight="1" x14ac:dyDescent="0.25">
      <c r="A45" s="774" t="s">
        <v>247</v>
      </c>
      <c r="B45" s="692">
        <v>0.01</v>
      </c>
      <c r="C45" s="149" t="s">
        <v>48</v>
      </c>
      <c r="D45" s="57">
        <v>0</v>
      </c>
      <c r="E45" s="57">
        <v>0</v>
      </c>
      <c r="F45" s="57">
        <v>0</v>
      </c>
      <c r="G45" s="57">
        <v>0</v>
      </c>
      <c r="H45" s="57">
        <v>0</v>
      </c>
      <c r="I45" s="57">
        <v>0</v>
      </c>
      <c r="J45" s="57">
        <v>0</v>
      </c>
      <c r="K45" s="57">
        <v>0.2</v>
      </c>
      <c r="L45" s="57">
        <v>0.2</v>
      </c>
      <c r="M45" s="57">
        <v>0.2</v>
      </c>
      <c r="N45" s="57">
        <v>0.2</v>
      </c>
      <c r="O45" s="57">
        <v>0.2</v>
      </c>
      <c r="P45" s="58">
        <f>SUM(D45:O45)</f>
        <v>1</v>
      </c>
      <c r="Q45" s="801" t="s">
        <v>248</v>
      </c>
      <c r="R45" s="802"/>
      <c r="S45" s="802"/>
      <c r="T45" s="802"/>
      <c r="U45" s="802"/>
      <c r="V45" s="802"/>
      <c r="W45" s="802"/>
      <c r="X45" s="802"/>
      <c r="Y45" s="805" t="s">
        <v>249</v>
      </c>
      <c r="Z45" s="806"/>
      <c r="AA45" s="806"/>
      <c r="AB45" s="806"/>
      <c r="AC45" s="806"/>
      <c r="AD45" s="806"/>
      <c r="AE45" s="806"/>
    </row>
    <row r="46" spans="1:41" ht="137.44999999999999" customHeight="1" x14ac:dyDescent="0.25">
      <c r="A46" s="775"/>
      <c r="B46" s="692"/>
      <c r="C46" s="150" t="s">
        <v>50</v>
      </c>
      <c r="D46" s="60">
        <v>0</v>
      </c>
      <c r="E46" s="60">
        <v>0</v>
      </c>
      <c r="F46" s="60">
        <v>0</v>
      </c>
      <c r="G46" s="60">
        <v>0</v>
      </c>
      <c r="H46" s="60">
        <v>0</v>
      </c>
      <c r="I46" s="60">
        <v>0</v>
      </c>
      <c r="J46" s="60">
        <v>0</v>
      </c>
      <c r="K46" s="148">
        <v>0.2</v>
      </c>
      <c r="L46" s="148">
        <v>0.2</v>
      </c>
      <c r="M46" s="148">
        <v>0.2</v>
      </c>
      <c r="N46" s="148">
        <v>0.2</v>
      </c>
      <c r="O46" s="148"/>
      <c r="P46" s="172">
        <f>SUM(D46:O46)</f>
        <v>0.8</v>
      </c>
      <c r="Q46" s="803"/>
      <c r="R46" s="804"/>
      <c r="S46" s="804"/>
      <c r="T46" s="804"/>
      <c r="U46" s="804"/>
      <c r="V46" s="804"/>
      <c r="W46" s="804"/>
      <c r="X46" s="804"/>
      <c r="Y46" s="807"/>
      <c r="Z46" s="807"/>
      <c r="AA46" s="807"/>
      <c r="AB46" s="807"/>
      <c r="AC46" s="807"/>
      <c r="AD46" s="807"/>
      <c r="AE46" s="807"/>
    </row>
    <row r="47" spans="1:41" ht="57.6" customHeight="1" x14ac:dyDescent="0.25">
      <c r="A47" s="774" t="s">
        <v>250</v>
      </c>
      <c r="B47" s="692">
        <v>0.01</v>
      </c>
      <c r="C47" s="149" t="s">
        <v>48</v>
      </c>
      <c r="D47" s="57">
        <v>0</v>
      </c>
      <c r="E47" s="57">
        <v>0</v>
      </c>
      <c r="F47" s="57">
        <v>0</v>
      </c>
      <c r="G47" s="57">
        <v>0</v>
      </c>
      <c r="H47" s="57">
        <v>0</v>
      </c>
      <c r="I47" s="57">
        <v>0</v>
      </c>
      <c r="J47" s="57">
        <v>0</v>
      </c>
      <c r="K47" s="57">
        <v>0.2</v>
      </c>
      <c r="L47" s="57">
        <v>0.2</v>
      </c>
      <c r="M47" s="57">
        <v>0.2</v>
      </c>
      <c r="N47" s="57">
        <v>0.2</v>
      </c>
      <c r="O47" s="57">
        <v>0.2</v>
      </c>
      <c r="P47" s="58">
        <f>SUM(D47:O47)</f>
        <v>1</v>
      </c>
      <c r="Q47" s="801" t="s">
        <v>251</v>
      </c>
      <c r="R47" s="802"/>
      <c r="S47" s="802"/>
      <c r="T47" s="802"/>
      <c r="U47" s="802"/>
      <c r="V47" s="802"/>
      <c r="W47" s="802"/>
      <c r="X47" s="802"/>
      <c r="Y47" s="805" t="s">
        <v>252</v>
      </c>
      <c r="Z47" s="806"/>
      <c r="AA47" s="806"/>
      <c r="AB47" s="806"/>
      <c r="AC47" s="806"/>
      <c r="AD47" s="806"/>
      <c r="AE47" s="806"/>
    </row>
    <row r="48" spans="1:41" ht="57.6" customHeight="1" x14ac:dyDescent="0.25">
      <c r="A48" s="775"/>
      <c r="B48" s="692"/>
      <c r="C48" s="150" t="s">
        <v>50</v>
      </c>
      <c r="D48" s="60">
        <v>0</v>
      </c>
      <c r="E48" s="60">
        <v>0</v>
      </c>
      <c r="F48" s="60">
        <v>0</v>
      </c>
      <c r="G48" s="60">
        <v>0</v>
      </c>
      <c r="H48" s="60">
        <v>0</v>
      </c>
      <c r="I48" s="60">
        <v>0</v>
      </c>
      <c r="J48" s="60">
        <v>0</v>
      </c>
      <c r="K48" s="148">
        <v>0.2</v>
      </c>
      <c r="L48" s="148">
        <v>0.2</v>
      </c>
      <c r="M48" s="148">
        <v>0.2</v>
      </c>
      <c r="N48" s="148">
        <v>0.2</v>
      </c>
      <c r="O48" s="148"/>
      <c r="P48" s="172">
        <f>SUM(D48:O48)</f>
        <v>0.8</v>
      </c>
      <c r="Q48" s="803"/>
      <c r="R48" s="804"/>
      <c r="S48" s="804"/>
      <c r="T48" s="804"/>
      <c r="U48" s="804"/>
      <c r="V48" s="804"/>
      <c r="W48" s="804"/>
      <c r="X48" s="804"/>
      <c r="Y48" s="807"/>
      <c r="Z48" s="807"/>
      <c r="AA48" s="807"/>
      <c r="AB48" s="807"/>
      <c r="AC48" s="807"/>
      <c r="AD48" s="807"/>
      <c r="AE48" s="807"/>
    </row>
    <row r="49" spans="1:31" ht="15" customHeight="1" x14ac:dyDescent="0.25">
      <c r="A49" s="125" t="s">
        <v>197</v>
      </c>
      <c r="B49" s="243">
        <f>SUM(B41:B48)</f>
        <v>0.09</v>
      </c>
      <c r="Q49" s="210"/>
      <c r="R49" s="210"/>
      <c r="S49" s="210"/>
      <c r="T49" s="210"/>
      <c r="U49" s="210"/>
      <c r="V49" s="210"/>
      <c r="W49" s="210"/>
      <c r="X49" s="210"/>
      <c r="Y49" s="210"/>
      <c r="Z49" s="210"/>
      <c r="AA49" s="210"/>
      <c r="AB49" s="210"/>
      <c r="AC49" s="210"/>
      <c r="AD49" s="210"/>
      <c r="AE49" s="210"/>
    </row>
    <row r="50" spans="1:31" x14ac:dyDescent="0.25">
      <c r="Q50" s="210"/>
      <c r="R50" s="210"/>
      <c r="S50" s="210"/>
      <c r="T50" s="210"/>
      <c r="U50" s="210"/>
      <c r="V50" s="210"/>
      <c r="W50" s="210"/>
      <c r="X50" s="210"/>
      <c r="Y50" s="210"/>
      <c r="Z50" s="210"/>
      <c r="AA50" s="210"/>
      <c r="AB50" s="210"/>
      <c r="AC50" s="210"/>
      <c r="AD50" s="210"/>
      <c r="AE50" s="210"/>
    </row>
    <row r="51" spans="1:31" x14ac:dyDescent="0.25">
      <c r="Q51" s="210"/>
      <c r="R51" s="210"/>
      <c r="S51" s="210"/>
      <c r="T51" s="210"/>
      <c r="U51" s="210"/>
      <c r="V51" s="210"/>
      <c r="W51" s="210"/>
      <c r="X51" s="210"/>
      <c r="Y51" s="210"/>
      <c r="Z51" s="210"/>
      <c r="AA51" s="210"/>
      <c r="AB51" s="210"/>
      <c r="AC51" s="210"/>
      <c r="AD51" s="210"/>
      <c r="AE51" s="210"/>
    </row>
    <row r="52" spans="1:31" x14ac:dyDescent="0.25">
      <c r="Q52" s="210"/>
      <c r="R52" s="210"/>
      <c r="S52" s="210"/>
      <c r="T52" s="210"/>
      <c r="U52" s="210"/>
      <c r="V52" s="210"/>
      <c r="W52" s="210"/>
      <c r="X52" s="210"/>
      <c r="Y52" s="210"/>
      <c r="Z52" s="210"/>
      <c r="AA52" s="210"/>
      <c r="AB52" s="210"/>
      <c r="AC52" s="210"/>
      <c r="AD52" s="210"/>
      <c r="AE52" s="210"/>
    </row>
    <row r="53" spans="1:31" x14ac:dyDescent="0.25">
      <c r="Q53" s="210"/>
      <c r="R53" s="210"/>
      <c r="S53" s="210"/>
      <c r="T53" s="210"/>
      <c r="U53" s="210"/>
      <c r="V53" s="210"/>
      <c r="W53" s="210"/>
      <c r="X53" s="210"/>
      <c r="Y53" s="210"/>
      <c r="Z53" s="210"/>
      <c r="AA53" s="210"/>
      <c r="AB53" s="210"/>
      <c r="AC53" s="210"/>
      <c r="AD53" s="210"/>
      <c r="AE53" s="210"/>
    </row>
    <row r="54" spans="1:31" hidden="1" x14ac:dyDescent="0.25">
      <c r="Q54" s="210"/>
      <c r="R54" s="210"/>
      <c r="S54" s="210"/>
      <c r="T54" s="210"/>
      <c r="U54" s="210"/>
      <c r="V54" s="210"/>
      <c r="W54" s="210"/>
      <c r="X54" s="210"/>
      <c r="Y54" s="210"/>
      <c r="Z54" s="210"/>
      <c r="AA54" s="210"/>
      <c r="AB54" s="210"/>
      <c r="AC54" s="210"/>
      <c r="AD54" s="210"/>
      <c r="AE54" s="210"/>
    </row>
    <row r="55" spans="1:31" hidden="1" x14ac:dyDescent="0.25">
      <c r="Q55" s="210"/>
      <c r="R55" s="210"/>
      <c r="S55" s="210"/>
      <c r="T55" s="210"/>
      <c r="U55" s="210"/>
      <c r="V55" s="210"/>
      <c r="W55" s="210"/>
      <c r="X55" s="210"/>
      <c r="Y55" s="210"/>
      <c r="Z55" s="210"/>
      <c r="AA55" s="210"/>
      <c r="AB55" s="210"/>
      <c r="AC55" s="210"/>
      <c r="AD55" s="210"/>
      <c r="AE55" s="210"/>
    </row>
    <row r="56" spans="1:31" hidden="1" x14ac:dyDescent="0.25">
      <c r="Q56" s="210"/>
      <c r="R56" s="210"/>
      <c r="S56" s="210"/>
      <c r="T56" s="210"/>
      <c r="U56" s="210"/>
      <c r="V56" s="210"/>
      <c r="W56" s="210"/>
      <c r="X56" s="210"/>
      <c r="Y56" s="210"/>
      <c r="Z56" s="210"/>
      <c r="AA56" s="210"/>
      <c r="AB56" s="210"/>
      <c r="AC56" s="210"/>
      <c r="AD56" s="210"/>
      <c r="AE56" s="210"/>
    </row>
    <row r="57" spans="1:31" hidden="1" x14ac:dyDescent="0.25">
      <c r="Q57" s="210"/>
      <c r="R57" s="210"/>
      <c r="S57" s="210"/>
      <c r="T57" s="210"/>
      <c r="U57" s="210"/>
      <c r="V57" s="210"/>
      <c r="W57" s="210"/>
      <c r="X57" s="210"/>
      <c r="Y57" s="210"/>
      <c r="Z57" s="210"/>
      <c r="AA57" s="210"/>
      <c r="AB57" s="210"/>
      <c r="AC57" s="210"/>
      <c r="AD57" s="210"/>
      <c r="AE57" s="210"/>
    </row>
    <row r="58" spans="1:31" hidden="1" x14ac:dyDescent="0.25">
      <c r="Q58" s="210"/>
      <c r="R58" s="210"/>
      <c r="S58" s="210"/>
      <c r="T58" s="210"/>
      <c r="U58" s="210"/>
      <c r="V58" s="210"/>
      <c r="W58" s="210"/>
      <c r="X58" s="210"/>
      <c r="Y58" s="210"/>
      <c r="Z58" s="210"/>
      <c r="AA58" s="210"/>
      <c r="AB58" s="210"/>
      <c r="AC58" s="210"/>
      <c r="AD58" s="210"/>
      <c r="AE58" s="210"/>
    </row>
    <row r="59" spans="1:31" s="214" customFormat="1" ht="15" hidden="1" x14ac:dyDescent="0.25">
      <c r="A59" s="575" t="s">
        <v>44</v>
      </c>
      <c r="B59" s="577" t="s">
        <v>167</v>
      </c>
      <c r="C59" s="579" t="s">
        <v>169</v>
      </c>
      <c r="D59" s="580"/>
      <c r="E59" s="580"/>
      <c r="F59" s="580"/>
      <c r="G59" s="580"/>
      <c r="H59" s="580"/>
      <c r="I59" s="580"/>
      <c r="J59" s="580"/>
      <c r="K59" s="580"/>
      <c r="L59" s="580"/>
      <c r="M59" s="580"/>
      <c r="N59" s="580"/>
      <c r="O59" s="580"/>
      <c r="P59" s="581"/>
      <c r="Q59" s="211"/>
      <c r="R59" s="211"/>
      <c r="S59" s="212"/>
      <c r="T59" s="212"/>
      <c r="U59" s="212"/>
      <c r="V59" s="212"/>
      <c r="W59" s="212"/>
      <c r="X59" s="212"/>
      <c r="Y59" s="212"/>
      <c r="Z59" s="212"/>
      <c r="AA59" s="212"/>
      <c r="AB59" s="212"/>
      <c r="AC59" s="212"/>
      <c r="AD59" s="212"/>
      <c r="AE59" s="213"/>
    </row>
    <row r="60" spans="1:31" s="214" customFormat="1" ht="21" hidden="1" x14ac:dyDescent="0.25">
      <c r="A60" s="576"/>
      <c r="B60" s="578"/>
      <c r="C60" s="215" t="s">
        <v>168</v>
      </c>
      <c r="D60" s="215" t="s">
        <v>171</v>
      </c>
      <c r="E60" s="215" t="s">
        <v>172</v>
      </c>
      <c r="F60" s="215" t="s">
        <v>173</v>
      </c>
      <c r="G60" s="215" t="s">
        <v>174</v>
      </c>
      <c r="H60" s="215" t="s">
        <v>175</v>
      </c>
      <c r="I60" s="215" t="s">
        <v>176</v>
      </c>
      <c r="J60" s="215" t="s">
        <v>177</v>
      </c>
      <c r="K60" s="215" t="s">
        <v>178</v>
      </c>
      <c r="L60" s="215" t="s">
        <v>179</v>
      </c>
      <c r="M60" s="215" t="s">
        <v>180</v>
      </c>
      <c r="N60" s="215" t="s">
        <v>181</v>
      </c>
      <c r="O60" s="215" t="s">
        <v>182</v>
      </c>
      <c r="P60" s="216" t="s">
        <v>183</v>
      </c>
      <c r="Q60" s="211"/>
      <c r="R60" s="211"/>
      <c r="S60" s="212"/>
      <c r="T60" s="212"/>
      <c r="U60" s="212"/>
      <c r="V60" s="212"/>
      <c r="W60" s="212"/>
      <c r="X60" s="212"/>
      <c r="Y60" s="212"/>
      <c r="Z60" s="212"/>
      <c r="AA60" s="212"/>
      <c r="AB60" s="212"/>
      <c r="AC60" s="212"/>
      <c r="AD60" s="212"/>
      <c r="AE60" s="213"/>
    </row>
    <row r="61" spans="1:31" s="214" customFormat="1" ht="18" hidden="1" customHeight="1" x14ac:dyDescent="0.25">
      <c r="A61" s="571" t="str">
        <f>A41</f>
        <v>14. Adelantar la revisión de documentos diagnósticos y complementar las acciones de investigación para la consolidación de la línea base de una estrategia que promueva y garantice el libre ejercicio de los derechos de las mujeres y la equidad de género.</v>
      </c>
      <c r="B61" s="573">
        <f>B41</f>
        <v>0.05</v>
      </c>
      <c r="C61" s="217" t="s">
        <v>48</v>
      </c>
      <c r="D61" s="218">
        <f>D41*$B$41/$P$41</f>
        <v>0</v>
      </c>
      <c r="E61" s="218">
        <f t="shared" ref="E61:O61" si="4">E41*$B$41/$P$41</f>
        <v>0</v>
      </c>
      <c r="F61" s="218">
        <f t="shared" si="4"/>
        <v>0</v>
      </c>
      <c r="G61" s="218">
        <f t="shared" si="4"/>
        <v>0</v>
      </c>
      <c r="H61" s="218">
        <f t="shared" si="4"/>
        <v>0</v>
      </c>
      <c r="I61" s="218">
        <f t="shared" si="4"/>
        <v>0</v>
      </c>
      <c r="J61" s="218">
        <f t="shared" si="4"/>
        <v>0</v>
      </c>
      <c r="K61" s="218">
        <f t="shared" si="4"/>
        <v>0.01</v>
      </c>
      <c r="L61" s="218">
        <f t="shared" si="4"/>
        <v>0.02</v>
      </c>
      <c r="M61" s="218">
        <f t="shared" si="4"/>
        <v>1.4999999999999996E-2</v>
      </c>
      <c r="N61" s="218">
        <f t="shared" si="4"/>
        <v>5.0000000000000001E-3</v>
      </c>
      <c r="O61" s="218">
        <f t="shared" si="4"/>
        <v>0</v>
      </c>
      <c r="P61" s="219">
        <f>SUM(D61:O61)</f>
        <v>4.9999999999999996E-2</v>
      </c>
      <c r="Q61" s="220"/>
      <c r="R61" s="221"/>
      <c r="S61" s="212"/>
      <c r="T61" s="212"/>
      <c r="U61" s="212"/>
      <c r="V61" s="212"/>
      <c r="W61" s="212"/>
      <c r="X61" s="212"/>
      <c r="Y61" s="212"/>
      <c r="Z61" s="212"/>
      <c r="AA61" s="212"/>
      <c r="AB61" s="212"/>
      <c r="AC61" s="212"/>
      <c r="AD61" s="212"/>
      <c r="AE61" s="213"/>
    </row>
    <row r="62" spans="1:31" s="214" customFormat="1" ht="18" hidden="1" customHeight="1" x14ac:dyDescent="0.25">
      <c r="A62" s="572"/>
      <c r="B62" s="574"/>
      <c r="C62" s="222" t="s">
        <v>50</v>
      </c>
      <c r="D62" s="223">
        <f>D42*$B$41/$P$41</f>
        <v>0</v>
      </c>
      <c r="E62" s="223">
        <f t="shared" ref="E62:O62" si="5">E42*$B$41/$P$41</f>
        <v>0</v>
      </c>
      <c r="F62" s="223">
        <f t="shared" si="5"/>
        <v>0</v>
      </c>
      <c r="G62" s="223">
        <f t="shared" si="5"/>
        <v>0</v>
      </c>
      <c r="H62" s="223">
        <f t="shared" si="5"/>
        <v>0</v>
      </c>
      <c r="I62" s="223">
        <f t="shared" si="5"/>
        <v>0</v>
      </c>
      <c r="J62" s="223">
        <f t="shared" si="5"/>
        <v>0</v>
      </c>
      <c r="K62" s="223">
        <f t="shared" si="5"/>
        <v>0.01</v>
      </c>
      <c r="L62" s="223">
        <f t="shared" si="5"/>
        <v>0.02</v>
      </c>
      <c r="M62" s="223">
        <f t="shared" si="5"/>
        <v>1.4999999999999996E-2</v>
      </c>
      <c r="N62" s="223">
        <f t="shared" si="5"/>
        <v>5.0000000000000001E-3</v>
      </c>
      <c r="O62" s="223">
        <f t="shared" si="5"/>
        <v>0</v>
      </c>
      <c r="P62" s="224">
        <f>SUM(D62:O62)</f>
        <v>4.9999999999999996E-2</v>
      </c>
      <c r="Q62" s="225"/>
      <c r="R62" s="221"/>
      <c r="S62" s="212"/>
      <c r="T62" s="212"/>
      <c r="U62" s="212"/>
      <c r="V62" s="212"/>
      <c r="W62" s="212"/>
      <c r="X62" s="212"/>
      <c r="Y62" s="212"/>
      <c r="Z62" s="212"/>
      <c r="AA62" s="212"/>
      <c r="AB62" s="212"/>
      <c r="AC62" s="212"/>
      <c r="AD62" s="212"/>
      <c r="AE62" s="213"/>
    </row>
    <row r="63" spans="1:31" s="214" customFormat="1" ht="18" hidden="1" customHeight="1" x14ac:dyDescent="0.25">
      <c r="A63" s="571" t="str">
        <f t="shared" ref="A63" si="6">A43</f>
        <v xml:space="preserve">15. Avanzar en el diseño de una estrategia de transformación cultural que promueva y garantice el libre ejercicio de los derechos de las mujeres y la equidad de género (a partir de la línea base de investigación) </v>
      </c>
      <c r="B63" s="573">
        <f t="shared" ref="B63" si="7">B43</f>
        <v>0.02</v>
      </c>
      <c r="C63" s="217" t="s">
        <v>48</v>
      </c>
      <c r="D63" s="218">
        <f>D43*$B$43/$P$43</f>
        <v>0</v>
      </c>
      <c r="E63" s="218">
        <f t="shared" ref="E63:O63" si="8">E43*$B$43/$P$43</f>
        <v>0</v>
      </c>
      <c r="F63" s="218">
        <f t="shared" si="8"/>
        <v>0</v>
      </c>
      <c r="G63" s="218">
        <f t="shared" si="8"/>
        <v>0</v>
      </c>
      <c r="H63" s="218">
        <f t="shared" si="8"/>
        <v>0</v>
      </c>
      <c r="I63" s="218">
        <f t="shared" si="8"/>
        <v>0</v>
      </c>
      <c r="J63" s="218">
        <f t="shared" si="8"/>
        <v>0</v>
      </c>
      <c r="K63" s="218">
        <f t="shared" si="8"/>
        <v>0</v>
      </c>
      <c r="L63" s="218">
        <f t="shared" si="8"/>
        <v>0</v>
      </c>
      <c r="M63" s="218">
        <f t="shared" si="8"/>
        <v>4.0000000000000001E-3</v>
      </c>
      <c r="N63" s="218">
        <f t="shared" si="8"/>
        <v>8.0000000000000002E-3</v>
      </c>
      <c r="O63" s="218">
        <f t="shared" si="8"/>
        <v>8.0000000000000002E-3</v>
      </c>
      <c r="P63" s="219">
        <f>SUM(D63:O63)</f>
        <v>0.02</v>
      </c>
      <c r="Q63" s="220"/>
      <c r="R63" s="221"/>
      <c r="S63" s="212"/>
      <c r="T63" s="212"/>
      <c r="U63" s="212"/>
      <c r="V63" s="212"/>
      <c r="W63" s="212"/>
      <c r="X63" s="212"/>
      <c r="Y63" s="212"/>
      <c r="Z63" s="212"/>
      <c r="AA63" s="212"/>
      <c r="AB63" s="212"/>
      <c r="AC63" s="212"/>
      <c r="AD63" s="212"/>
      <c r="AE63" s="213"/>
    </row>
    <row r="64" spans="1:31" s="214" customFormat="1" ht="18" hidden="1" customHeight="1" x14ac:dyDescent="0.25">
      <c r="A64" s="572"/>
      <c r="B64" s="574"/>
      <c r="C64" s="222" t="s">
        <v>50</v>
      </c>
      <c r="D64" s="223">
        <f>D44*$B$43/$P$43</f>
        <v>0</v>
      </c>
      <c r="E64" s="223">
        <f t="shared" ref="E64:O64" si="9">E44*$B$43/$P$43</f>
        <v>0</v>
      </c>
      <c r="F64" s="223">
        <f t="shared" si="9"/>
        <v>0</v>
      </c>
      <c r="G64" s="223">
        <f t="shared" si="9"/>
        <v>0</v>
      </c>
      <c r="H64" s="223">
        <f t="shared" si="9"/>
        <v>0</v>
      </c>
      <c r="I64" s="223">
        <f t="shared" si="9"/>
        <v>0</v>
      </c>
      <c r="J64" s="223">
        <f t="shared" si="9"/>
        <v>0</v>
      </c>
      <c r="K64" s="223">
        <f t="shared" si="9"/>
        <v>0</v>
      </c>
      <c r="L64" s="223">
        <f t="shared" si="9"/>
        <v>0</v>
      </c>
      <c r="M64" s="223">
        <f t="shared" si="9"/>
        <v>4.0000000000000001E-3</v>
      </c>
      <c r="N64" s="223">
        <f t="shared" si="9"/>
        <v>8.0000000000000002E-3</v>
      </c>
      <c r="O64" s="223">
        <f t="shared" si="9"/>
        <v>0</v>
      </c>
      <c r="P64" s="224">
        <f t="shared" ref="P64" si="10">SUM(D64:O64)</f>
        <v>1.2E-2</v>
      </c>
      <c r="Q64" s="225"/>
      <c r="R64" s="221"/>
      <c r="S64" s="212"/>
      <c r="T64" s="212"/>
      <c r="U64" s="212"/>
      <c r="V64" s="212"/>
      <c r="W64" s="212"/>
      <c r="X64" s="212"/>
      <c r="Y64" s="212"/>
      <c r="Z64" s="212"/>
      <c r="AA64" s="212"/>
      <c r="AB64" s="212"/>
      <c r="AC64" s="212"/>
      <c r="AD64" s="212"/>
      <c r="AE64" s="213"/>
    </row>
    <row r="65" spans="1:31" s="214" customFormat="1" ht="18" hidden="1" customHeight="1" x14ac:dyDescent="0.25">
      <c r="A65" s="571" t="str">
        <f t="shared" ref="A65" si="11">A45</f>
        <v>16. Socializar e implementar la hoja de ruta para incorporar los enfoques de derechos de las mujeres, de género y diferencial, a través del acompañamiento y articulación con la Submesa para la garantía y seguimiento de los derechos de las mujeres, diversidades, disidencias sexuales y de Género y el acompañamiento técnico al Puesto de mando Unificado (PMU)</v>
      </c>
      <c r="B65" s="573">
        <f t="shared" ref="B65" si="12">B45</f>
        <v>0.01</v>
      </c>
      <c r="C65" s="217" t="s">
        <v>48</v>
      </c>
      <c r="D65" s="218">
        <f>D45*$B$45/$P$45</f>
        <v>0</v>
      </c>
      <c r="E65" s="218">
        <f t="shared" ref="E65:O65" si="13">E45*$B$45/$P$45</f>
        <v>0</v>
      </c>
      <c r="F65" s="218">
        <f t="shared" si="13"/>
        <v>0</v>
      </c>
      <c r="G65" s="218">
        <f t="shared" si="13"/>
        <v>0</v>
      </c>
      <c r="H65" s="218">
        <f t="shared" si="13"/>
        <v>0</v>
      </c>
      <c r="I65" s="218">
        <f t="shared" si="13"/>
        <v>0</v>
      </c>
      <c r="J65" s="218">
        <f t="shared" si="13"/>
        <v>0</v>
      </c>
      <c r="K65" s="218">
        <f t="shared" si="13"/>
        <v>2E-3</v>
      </c>
      <c r="L65" s="218">
        <f t="shared" si="13"/>
        <v>2E-3</v>
      </c>
      <c r="M65" s="218">
        <f t="shared" si="13"/>
        <v>2E-3</v>
      </c>
      <c r="N65" s="218">
        <f t="shared" si="13"/>
        <v>2E-3</v>
      </c>
      <c r="O65" s="218">
        <f t="shared" si="13"/>
        <v>2E-3</v>
      </c>
      <c r="P65" s="219">
        <f>SUM(D65:O65)</f>
        <v>0.01</v>
      </c>
      <c r="Q65" s="220"/>
      <c r="R65" s="221"/>
      <c r="S65" s="212"/>
      <c r="T65" s="212"/>
      <c r="U65" s="212"/>
      <c r="V65" s="212"/>
      <c r="W65" s="212"/>
      <c r="X65" s="212"/>
      <c r="Y65" s="212"/>
      <c r="Z65" s="212"/>
      <c r="AA65" s="212"/>
      <c r="AB65" s="212"/>
      <c r="AC65" s="212"/>
      <c r="AD65" s="212"/>
      <c r="AE65" s="213"/>
    </row>
    <row r="66" spans="1:31" s="214" customFormat="1" ht="18" hidden="1" customHeight="1" x14ac:dyDescent="0.25">
      <c r="A66" s="572"/>
      <c r="B66" s="574"/>
      <c r="C66" s="222" t="s">
        <v>50</v>
      </c>
      <c r="D66" s="223">
        <f>D46*$B$45/$P$45</f>
        <v>0</v>
      </c>
      <c r="E66" s="223">
        <f t="shared" ref="E66:O66" si="14">E46*$B$45/$P$45</f>
        <v>0</v>
      </c>
      <c r="F66" s="223">
        <f t="shared" si="14"/>
        <v>0</v>
      </c>
      <c r="G66" s="223">
        <f t="shared" si="14"/>
        <v>0</v>
      </c>
      <c r="H66" s="223">
        <f t="shared" si="14"/>
        <v>0</v>
      </c>
      <c r="I66" s="223">
        <f t="shared" si="14"/>
        <v>0</v>
      </c>
      <c r="J66" s="223">
        <f t="shared" si="14"/>
        <v>0</v>
      </c>
      <c r="K66" s="223">
        <f t="shared" si="14"/>
        <v>2E-3</v>
      </c>
      <c r="L66" s="223">
        <f t="shared" si="14"/>
        <v>2E-3</v>
      </c>
      <c r="M66" s="223">
        <f t="shared" si="14"/>
        <v>2E-3</v>
      </c>
      <c r="N66" s="223">
        <f t="shared" si="14"/>
        <v>2E-3</v>
      </c>
      <c r="O66" s="223">
        <f t="shared" si="14"/>
        <v>0</v>
      </c>
      <c r="P66" s="224">
        <f>SUM(D66:O66)</f>
        <v>8.0000000000000002E-3</v>
      </c>
      <c r="Q66" s="225"/>
      <c r="R66" s="221"/>
      <c r="S66" s="212"/>
      <c r="T66" s="212"/>
      <c r="U66" s="212"/>
      <c r="V66" s="212"/>
      <c r="W66" s="212"/>
      <c r="X66" s="212"/>
      <c r="Y66" s="212"/>
      <c r="Z66" s="212"/>
      <c r="AA66" s="212"/>
      <c r="AB66" s="212"/>
      <c r="AC66" s="212"/>
      <c r="AD66" s="212"/>
      <c r="AE66" s="213"/>
    </row>
    <row r="67" spans="1:31" s="214" customFormat="1" ht="18" hidden="1" customHeight="1" x14ac:dyDescent="0.25">
      <c r="A67" s="571" t="str">
        <f t="shared" ref="A67" si="15">A47</f>
        <v>17. Socializar e implementar la hoja de ruta para incorporar los enfoques de derechos de las mujeres, de género y diferencial, mediante el acompañamiento técnico a dos instancias de participación del Distrito Capital, priorizadas por la Subsecretaría del Cuidado y Políticas de Igualdad</v>
      </c>
      <c r="B67" s="573">
        <f t="shared" ref="B67" si="16">B47</f>
        <v>0.01</v>
      </c>
      <c r="C67" s="217" t="s">
        <v>48</v>
      </c>
      <c r="D67" s="218">
        <f>D47*$B$47/$P$47</f>
        <v>0</v>
      </c>
      <c r="E67" s="218">
        <f t="shared" ref="E67:O67" si="17">E47*$B$47/$P$47</f>
        <v>0</v>
      </c>
      <c r="F67" s="218">
        <f t="shared" si="17"/>
        <v>0</v>
      </c>
      <c r="G67" s="218">
        <f t="shared" si="17"/>
        <v>0</v>
      </c>
      <c r="H67" s="218">
        <f t="shared" si="17"/>
        <v>0</v>
      </c>
      <c r="I67" s="218">
        <f t="shared" si="17"/>
        <v>0</v>
      </c>
      <c r="J67" s="218">
        <f t="shared" si="17"/>
        <v>0</v>
      </c>
      <c r="K67" s="218">
        <f t="shared" si="17"/>
        <v>2E-3</v>
      </c>
      <c r="L67" s="218">
        <f t="shared" si="17"/>
        <v>2E-3</v>
      </c>
      <c r="M67" s="218">
        <f t="shared" si="17"/>
        <v>2E-3</v>
      </c>
      <c r="N67" s="218">
        <f t="shared" si="17"/>
        <v>2E-3</v>
      </c>
      <c r="O67" s="218">
        <f t="shared" si="17"/>
        <v>2E-3</v>
      </c>
      <c r="P67" s="219">
        <f>SUM(D67:O67)</f>
        <v>0.01</v>
      </c>
      <c r="Q67" s="220"/>
      <c r="R67" s="221"/>
      <c r="S67" s="212"/>
      <c r="T67" s="212"/>
      <c r="U67" s="212"/>
      <c r="V67" s="212"/>
      <c r="W67" s="212"/>
      <c r="X67" s="212"/>
      <c r="Y67" s="212"/>
      <c r="Z67" s="212"/>
      <c r="AA67" s="212"/>
      <c r="AB67" s="212"/>
      <c r="AC67" s="212"/>
      <c r="AD67" s="212"/>
      <c r="AE67" s="213"/>
    </row>
    <row r="68" spans="1:31" s="214" customFormat="1" ht="18" hidden="1" customHeight="1" x14ac:dyDescent="0.25">
      <c r="A68" s="572"/>
      <c r="B68" s="574"/>
      <c r="C68" s="222" t="s">
        <v>50</v>
      </c>
      <c r="D68" s="223">
        <f>D48*$B$47/$P$47</f>
        <v>0</v>
      </c>
      <c r="E68" s="223">
        <f t="shared" ref="E68:O68" si="18">E48*$B$47/$P$47</f>
        <v>0</v>
      </c>
      <c r="F68" s="223">
        <f t="shared" si="18"/>
        <v>0</v>
      </c>
      <c r="G68" s="223">
        <f t="shared" si="18"/>
        <v>0</v>
      </c>
      <c r="H68" s="223">
        <f t="shared" si="18"/>
        <v>0</v>
      </c>
      <c r="I68" s="223">
        <f t="shared" si="18"/>
        <v>0</v>
      </c>
      <c r="J68" s="223">
        <f t="shared" si="18"/>
        <v>0</v>
      </c>
      <c r="K68" s="223">
        <f t="shared" si="18"/>
        <v>2E-3</v>
      </c>
      <c r="L68" s="223">
        <f t="shared" si="18"/>
        <v>2E-3</v>
      </c>
      <c r="M68" s="223">
        <f t="shared" si="18"/>
        <v>2E-3</v>
      </c>
      <c r="N68" s="223">
        <f t="shared" si="18"/>
        <v>2E-3</v>
      </c>
      <c r="O68" s="223">
        <f t="shared" si="18"/>
        <v>0</v>
      </c>
      <c r="P68" s="224">
        <f t="shared" ref="P68" si="19">SUM(D68:O68)</f>
        <v>8.0000000000000002E-3</v>
      </c>
      <c r="Q68" s="225"/>
      <c r="R68" s="221"/>
      <c r="S68" s="212"/>
      <c r="T68" s="212"/>
      <c r="U68" s="212"/>
      <c r="V68" s="212"/>
      <c r="W68" s="212"/>
      <c r="X68" s="212"/>
      <c r="Y68" s="212"/>
      <c r="Z68" s="212"/>
      <c r="AA68" s="212"/>
      <c r="AB68" s="212"/>
      <c r="AC68" s="212"/>
      <c r="AD68" s="212"/>
      <c r="AE68" s="213"/>
    </row>
    <row r="69" spans="1:31" s="214" customFormat="1" ht="15" hidden="1" x14ac:dyDescent="0.25">
      <c r="A69" s="230"/>
      <c r="B69" s="231"/>
      <c r="C69" s="228"/>
      <c r="D69" s="232"/>
      <c r="E69" s="232"/>
      <c r="F69" s="232"/>
      <c r="G69" s="232"/>
      <c r="H69" s="232"/>
      <c r="I69" s="232"/>
      <c r="J69" s="232"/>
      <c r="K69" s="232"/>
      <c r="L69" s="232"/>
      <c r="M69" s="232"/>
      <c r="N69" s="232"/>
      <c r="O69" s="232"/>
      <c r="P69" s="229"/>
      <c r="Q69" s="225"/>
      <c r="R69" s="221"/>
      <c r="S69" s="212"/>
      <c r="T69" s="212"/>
      <c r="U69" s="212"/>
      <c r="V69" s="212"/>
      <c r="W69" s="212"/>
      <c r="X69" s="212"/>
      <c r="Y69" s="212"/>
      <c r="Z69" s="212"/>
      <c r="AA69" s="212"/>
      <c r="AB69" s="212"/>
      <c r="AC69" s="212"/>
      <c r="AD69" s="212"/>
      <c r="AE69" s="213"/>
    </row>
    <row r="70" spans="1:31" s="214" customFormat="1" ht="15" hidden="1" x14ac:dyDescent="0.25">
      <c r="A70" s="567"/>
      <c r="B70" s="569"/>
      <c r="C70" s="228"/>
      <c r="D70" s="218"/>
      <c r="E70" s="218"/>
      <c r="F70" s="218"/>
      <c r="G70" s="218"/>
      <c r="H70" s="218"/>
      <c r="I70" s="218"/>
      <c r="J70" s="218"/>
      <c r="K70" s="218"/>
      <c r="L70" s="218"/>
      <c r="M70" s="218"/>
      <c r="N70" s="218"/>
      <c r="O70" s="218"/>
      <c r="P70" s="229"/>
      <c r="Q70" s="220"/>
      <c r="R70" s="221"/>
      <c r="S70" s="212"/>
      <c r="T70" s="212"/>
      <c r="U70" s="212"/>
      <c r="V70" s="212"/>
      <c r="W70" s="212"/>
      <c r="X70" s="212"/>
      <c r="Y70" s="212"/>
      <c r="Z70" s="212"/>
      <c r="AA70" s="212"/>
      <c r="AB70" s="212"/>
      <c r="AC70" s="212"/>
      <c r="AD70" s="212"/>
      <c r="AE70" s="213"/>
    </row>
    <row r="71" spans="1:31" s="214" customFormat="1" ht="15" hidden="1" x14ac:dyDescent="0.25">
      <c r="A71" s="568"/>
      <c r="B71" s="570"/>
      <c r="C71" s="228"/>
      <c r="D71" s="232"/>
      <c r="E71" s="232"/>
      <c r="F71" s="232"/>
      <c r="G71" s="232"/>
      <c r="H71" s="232"/>
      <c r="I71" s="232"/>
      <c r="J71" s="232"/>
      <c r="K71" s="232"/>
      <c r="L71" s="232"/>
      <c r="M71" s="232"/>
      <c r="N71" s="232"/>
      <c r="O71" s="232"/>
      <c r="P71" s="229"/>
      <c r="Q71" s="225"/>
      <c r="R71" s="221"/>
      <c r="S71" s="212"/>
      <c r="T71" s="212"/>
      <c r="U71" s="212"/>
      <c r="V71" s="212"/>
      <c r="W71" s="212"/>
      <c r="X71" s="212"/>
      <c r="Y71" s="212"/>
      <c r="Z71" s="212"/>
      <c r="AA71" s="212"/>
      <c r="AB71" s="212"/>
      <c r="AC71" s="212"/>
      <c r="AD71" s="212"/>
      <c r="AE71" s="213"/>
    </row>
    <row r="72" spans="1:31" s="214" customFormat="1" ht="15" hidden="1" x14ac:dyDescent="0.25">
      <c r="A72" s="567"/>
      <c r="B72" s="569"/>
      <c r="C72" s="228"/>
      <c r="D72" s="218"/>
      <c r="E72" s="218"/>
      <c r="F72" s="218"/>
      <c r="G72" s="218"/>
      <c r="H72" s="218"/>
      <c r="I72" s="218"/>
      <c r="J72" s="218"/>
      <c r="K72" s="218"/>
      <c r="L72" s="218"/>
      <c r="M72" s="218"/>
      <c r="N72" s="218"/>
      <c r="O72" s="218"/>
      <c r="P72" s="229"/>
      <c r="Q72" s="220"/>
      <c r="R72" s="221"/>
      <c r="S72" s="212"/>
      <c r="T72" s="212"/>
      <c r="U72" s="212"/>
      <c r="V72" s="212"/>
      <c r="W72" s="212"/>
      <c r="X72" s="212"/>
      <c r="Y72" s="212"/>
      <c r="Z72" s="212"/>
      <c r="AA72" s="212"/>
      <c r="AB72" s="212"/>
      <c r="AC72" s="212"/>
      <c r="AD72" s="212"/>
      <c r="AE72" s="213"/>
    </row>
    <row r="73" spans="1:31" s="214" customFormat="1" ht="15" hidden="1" x14ac:dyDescent="0.25">
      <c r="A73" s="568"/>
      <c r="B73" s="570"/>
      <c r="C73" s="228"/>
      <c r="D73" s="232"/>
      <c r="E73" s="232"/>
      <c r="F73" s="232"/>
      <c r="G73" s="232"/>
      <c r="H73" s="232"/>
      <c r="I73" s="232"/>
      <c r="J73" s="232"/>
      <c r="K73" s="232"/>
      <c r="L73" s="232"/>
      <c r="M73" s="232"/>
      <c r="N73" s="232"/>
      <c r="O73" s="232"/>
      <c r="P73" s="229"/>
      <c r="Q73" s="225"/>
      <c r="R73" s="221"/>
      <c r="S73" s="212"/>
      <c r="T73" s="212"/>
      <c r="U73" s="212"/>
      <c r="V73" s="212"/>
      <c r="W73" s="212"/>
      <c r="X73" s="212"/>
      <c r="Y73" s="212"/>
      <c r="Z73" s="212"/>
      <c r="AA73" s="212"/>
      <c r="AB73" s="212"/>
      <c r="AC73" s="212"/>
      <c r="AD73" s="212"/>
      <c r="AE73" s="213"/>
    </row>
    <row r="74" spans="1:31" s="214" customFormat="1" ht="15" hidden="1" x14ac:dyDescent="0.25">
      <c r="A74" s="211"/>
      <c r="B74" s="233"/>
      <c r="C74" s="234"/>
      <c r="D74" s="235">
        <f>D62+D64+D66+D68</f>
        <v>0</v>
      </c>
      <c r="E74" s="235">
        <f t="shared" ref="E74:O74" si="20">E62+E64+E66+E68</f>
        <v>0</v>
      </c>
      <c r="F74" s="235">
        <f t="shared" si="20"/>
        <v>0</v>
      </c>
      <c r="G74" s="235">
        <f t="shared" si="20"/>
        <v>0</v>
      </c>
      <c r="H74" s="235">
        <f t="shared" si="20"/>
        <v>0</v>
      </c>
      <c r="I74" s="235">
        <f t="shared" si="20"/>
        <v>0</v>
      </c>
      <c r="J74" s="235">
        <f t="shared" si="20"/>
        <v>0</v>
      </c>
      <c r="K74" s="235">
        <f t="shared" si="20"/>
        <v>1.4E-2</v>
      </c>
      <c r="L74" s="235">
        <f t="shared" si="20"/>
        <v>2.4E-2</v>
      </c>
      <c r="M74" s="235">
        <f t="shared" si="20"/>
        <v>2.3E-2</v>
      </c>
      <c r="N74" s="235">
        <f t="shared" si="20"/>
        <v>1.7000000000000001E-2</v>
      </c>
      <c r="O74" s="235">
        <f t="shared" si="20"/>
        <v>0</v>
      </c>
      <c r="P74" s="235">
        <f>P62+P64</f>
        <v>6.2E-2</v>
      </c>
      <c r="Q74" s="211"/>
      <c r="R74" s="221"/>
      <c r="S74" s="212"/>
      <c r="T74" s="212"/>
      <c r="U74" s="212"/>
      <c r="V74" s="212"/>
      <c r="W74" s="212"/>
      <c r="X74" s="212"/>
      <c r="Y74" s="212"/>
      <c r="Z74" s="212"/>
      <c r="AA74" s="212"/>
      <c r="AB74" s="212"/>
      <c r="AC74" s="212"/>
      <c r="AD74" s="212"/>
      <c r="AE74" s="213"/>
    </row>
    <row r="75" spans="1:31" s="214" customFormat="1" ht="15" hidden="1" x14ac:dyDescent="0.25">
      <c r="A75" s="211"/>
      <c r="B75" s="236"/>
      <c r="C75" s="237" t="s">
        <v>50</v>
      </c>
      <c r="D75" s="238">
        <f>D74*1/$B$35</f>
        <v>0</v>
      </c>
      <c r="E75" s="238">
        <f t="shared" ref="E75:O75" si="21">E74*1/$B$35</f>
        <v>0</v>
      </c>
      <c r="F75" s="238">
        <f t="shared" si="21"/>
        <v>0</v>
      </c>
      <c r="G75" s="238">
        <f t="shared" si="21"/>
        <v>0</v>
      </c>
      <c r="H75" s="238">
        <f t="shared" si="21"/>
        <v>0</v>
      </c>
      <c r="I75" s="238">
        <f t="shared" si="21"/>
        <v>0</v>
      </c>
      <c r="J75" s="238">
        <f t="shared" si="21"/>
        <v>0</v>
      </c>
      <c r="K75" s="238">
        <f t="shared" si="21"/>
        <v>0.15555555555555556</v>
      </c>
      <c r="L75" s="238">
        <f t="shared" si="21"/>
        <v>0.26666666666666666</v>
      </c>
      <c r="M75" s="238">
        <f t="shared" si="21"/>
        <v>0.25555555555555554</v>
      </c>
      <c r="N75" s="238">
        <f t="shared" si="21"/>
        <v>0.18888888888888891</v>
      </c>
      <c r="O75" s="238">
        <f t="shared" si="21"/>
        <v>0</v>
      </c>
      <c r="P75" s="239">
        <f>SUM(D75:O75)</f>
        <v>0.8666666666666667</v>
      </c>
      <c r="Q75" s="240"/>
      <c r="R75" s="211"/>
      <c r="S75" s="212"/>
      <c r="T75" s="212"/>
      <c r="U75" s="212"/>
      <c r="V75" s="212"/>
      <c r="W75" s="212"/>
      <c r="X75" s="212"/>
      <c r="Y75" s="212"/>
      <c r="Z75" s="212"/>
      <c r="AA75" s="212"/>
      <c r="AB75" s="212"/>
      <c r="AC75" s="212"/>
      <c r="AD75" s="212"/>
      <c r="AE75" s="213"/>
    </row>
    <row r="76" spans="1:31" s="214" customFormat="1" ht="15" hidden="1" x14ac:dyDescent="0.25">
      <c r="A76" s="240"/>
      <c r="B76" s="241"/>
      <c r="C76" s="241"/>
      <c r="D76" s="241"/>
      <c r="E76" s="241"/>
      <c r="F76" s="241"/>
      <c r="G76" s="241"/>
      <c r="H76" s="241"/>
      <c r="I76" s="241"/>
      <c r="J76" s="241"/>
      <c r="K76" s="241"/>
      <c r="L76" s="241"/>
      <c r="M76" s="241"/>
      <c r="N76" s="241"/>
      <c r="O76" s="241"/>
      <c r="P76" s="241"/>
      <c r="Q76" s="240"/>
      <c r="R76" s="240"/>
      <c r="S76" s="212"/>
      <c r="T76" s="212"/>
      <c r="U76" s="212"/>
      <c r="V76" s="212"/>
      <c r="W76" s="212"/>
      <c r="X76" s="212"/>
      <c r="Y76" s="212"/>
      <c r="Z76" s="212"/>
      <c r="AA76" s="212"/>
      <c r="AB76" s="212"/>
      <c r="AC76" s="212"/>
      <c r="AD76" s="212"/>
      <c r="AE76" s="213"/>
    </row>
    <row r="77" spans="1:31" s="214" customFormat="1" ht="15" hidden="1" x14ac:dyDescent="0.25">
      <c r="A77" s="220"/>
      <c r="B77" s="242"/>
      <c r="C77" s="242"/>
      <c r="D77" s="235">
        <f>+D61+D63+D65+D67</f>
        <v>0</v>
      </c>
      <c r="E77" s="235">
        <f t="shared" ref="E77:O77" si="22">+E61+E63+E65+E67</f>
        <v>0</v>
      </c>
      <c r="F77" s="235">
        <f t="shared" si="22"/>
        <v>0</v>
      </c>
      <c r="G77" s="235">
        <f t="shared" si="22"/>
        <v>0</v>
      </c>
      <c r="H77" s="235">
        <f t="shared" si="22"/>
        <v>0</v>
      </c>
      <c r="I77" s="235">
        <f t="shared" si="22"/>
        <v>0</v>
      </c>
      <c r="J77" s="235">
        <f t="shared" si="22"/>
        <v>0</v>
      </c>
      <c r="K77" s="235">
        <f t="shared" si="22"/>
        <v>1.4E-2</v>
      </c>
      <c r="L77" s="235">
        <f t="shared" si="22"/>
        <v>2.4E-2</v>
      </c>
      <c r="M77" s="235">
        <f t="shared" si="22"/>
        <v>2.3E-2</v>
      </c>
      <c r="N77" s="235">
        <f t="shared" si="22"/>
        <v>1.7000000000000001E-2</v>
      </c>
      <c r="O77" s="235">
        <f t="shared" si="22"/>
        <v>1.2E-2</v>
      </c>
      <c r="P77" s="235">
        <f>+P61+P63</f>
        <v>6.9999999999999993E-2</v>
      </c>
      <c r="Q77" s="220"/>
      <c r="R77" s="220"/>
      <c r="S77" s="212"/>
      <c r="T77" s="212"/>
      <c r="U77" s="212"/>
      <c r="V77" s="212"/>
      <c r="W77" s="212"/>
      <c r="X77" s="212"/>
      <c r="Y77" s="212"/>
      <c r="Z77" s="212"/>
      <c r="AA77" s="212"/>
      <c r="AB77" s="212"/>
      <c r="AC77" s="212"/>
      <c r="AD77" s="212"/>
      <c r="AE77" s="213"/>
    </row>
    <row r="78" spans="1:31" s="214" customFormat="1" ht="15" hidden="1" x14ac:dyDescent="0.25">
      <c r="A78" s="220"/>
      <c r="B78" s="242"/>
      <c r="C78" s="237" t="s">
        <v>48</v>
      </c>
      <c r="D78" s="238">
        <f>D77*1/$B$35</f>
        <v>0</v>
      </c>
      <c r="E78" s="238">
        <f t="shared" ref="E78:O78" si="23">E77*1/$B$35</f>
        <v>0</v>
      </c>
      <c r="F78" s="238">
        <f t="shared" si="23"/>
        <v>0</v>
      </c>
      <c r="G78" s="238">
        <f t="shared" si="23"/>
        <v>0</v>
      </c>
      <c r="H78" s="238">
        <f t="shared" si="23"/>
        <v>0</v>
      </c>
      <c r="I78" s="238">
        <f t="shared" si="23"/>
        <v>0</v>
      </c>
      <c r="J78" s="238">
        <f t="shared" si="23"/>
        <v>0</v>
      </c>
      <c r="K78" s="238">
        <f t="shared" si="23"/>
        <v>0.15555555555555556</v>
      </c>
      <c r="L78" s="238">
        <f t="shared" si="23"/>
        <v>0.26666666666666666</v>
      </c>
      <c r="M78" s="238">
        <f t="shared" si="23"/>
        <v>0.25555555555555554</v>
      </c>
      <c r="N78" s="238">
        <f t="shared" si="23"/>
        <v>0.18888888888888891</v>
      </c>
      <c r="O78" s="238">
        <f t="shared" si="23"/>
        <v>0.13333333333333333</v>
      </c>
      <c r="P78" s="239">
        <f>SUM(D78:O78)</f>
        <v>1</v>
      </c>
      <c r="Q78" s="220"/>
      <c r="R78" s="220"/>
      <c r="S78" s="212"/>
      <c r="T78" s="212"/>
      <c r="U78" s="212"/>
      <c r="V78" s="212"/>
      <c r="W78" s="212"/>
      <c r="X78" s="212"/>
      <c r="Y78" s="212"/>
      <c r="Z78" s="212"/>
      <c r="AA78" s="212"/>
      <c r="AB78" s="212"/>
      <c r="AC78" s="212"/>
      <c r="AD78" s="212"/>
      <c r="AE78" s="213"/>
    </row>
    <row r="79" spans="1:31" s="214" customFormat="1" ht="15" hidden="1" x14ac:dyDescent="0.25">
      <c r="A79" s="212"/>
      <c r="Q79" s="212"/>
      <c r="R79" s="212"/>
      <c r="S79" s="212"/>
      <c r="T79" s="212"/>
      <c r="U79" s="212"/>
      <c r="V79" s="212"/>
      <c r="W79" s="212"/>
      <c r="X79" s="212"/>
      <c r="Y79" s="212"/>
      <c r="Z79" s="212"/>
      <c r="AA79" s="212"/>
      <c r="AB79" s="212"/>
      <c r="AC79" s="212"/>
      <c r="AD79" s="212"/>
      <c r="AE79" s="213"/>
    </row>
    <row r="80" spans="1:31" s="214" customFormat="1" ht="15" hidden="1" x14ac:dyDescent="0.25">
      <c r="A80" s="212"/>
      <c r="Q80" s="212"/>
      <c r="R80" s="212"/>
      <c r="S80" s="212"/>
      <c r="T80" s="212"/>
      <c r="U80" s="212"/>
      <c r="V80" s="212"/>
      <c r="W80" s="212"/>
      <c r="X80" s="212"/>
      <c r="Y80" s="212"/>
      <c r="Z80" s="212"/>
      <c r="AA80" s="212"/>
      <c r="AB80" s="212"/>
      <c r="AC80" s="212"/>
      <c r="AD80" s="212"/>
      <c r="AE80" s="213"/>
    </row>
    <row r="81" spans="1:31" s="214" customFormat="1" ht="15" hidden="1" x14ac:dyDescent="0.25">
      <c r="A81" s="212"/>
      <c r="Q81" s="212"/>
      <c r="R81" s="212"/>
      <c r="S81" s="212"/>
      <c r="T81" s="212"/>
      <c r="U81" s="212"/>
      <c r="V81" s="212"/>
      <c r="W81" s="212"/>
      <c r="X81" s="212"/>
      <c r="Y81" s="212"/>
      <c r="Z81" s="212"/>
      <c r="AA81" s="212"/>
      <c r="AB81" s="212"/>
      <c r="AC81" s="212"/>
      <c r="AD81" s="212"/>
      <c r="AE81" s="213"/>
    </row>
    <row r="82" spans="1:31" hidden="1" x14ac:dyDescent="0.25">
      <c r="Q82" s="210"/>
      <c r="R82" s="210"/>
      <c r="S82" s="210"/>
      <c r="T82" s="210"/>
      <c r="U82" s="210"/>
      <c r="V82" s="210"/>
      <c r="W82" s="210"/>
      <c r="X82" s="210"/>
      <c r="Y82" s="210"/>
      <c r="Z82" s="210"/>
      <c r="AA82" s="210"/>
      <c r="AB82" s="210"/>
      <c r="AC82" s="210"/>
      <c r="AD82" s="210"/>
      <c r="AE82" s="210"/>
    </row>
    <row r="83" spans="1:31" hidden="1" x14ac:dyDescent="0.25">
      <c r="Q83" s="210"/>
      <c r="R83" s="210"/>
      <c r="S83" s="210"/>
      <c r="T83" s="210"/>
      <c r="U83" s="210"/>
      <c r="V83" s="210"/>
      <c r="W83" s="210"/>
      <c r="X83" s="210"/>
      <c r="Y83" s="210"/>
      <c r="Z83" s="210"/>
      <c r="AA83" s="210"/>
      <c r="AB83" s="210"/>
      <c r="AC83" s="210"/>
      <c r="AD83" s="210"/>
      <c r="AE83" s="210"/>
    </row>
    <row r="84" spans="1:31" hidden="1" x14ac:dyDescent="0.25">
      <c r="Q84" s="210"/>
      <c r="R84" s="210"/>
      <c r="S84" s="210"/>
      <c r="T84" s="210"/>
      <c r="U84" s="210"/>
      <c r="V84" s="210"/>
      <c r="W84" s="210"/>
      <c r="X84" s="210"/>
      <c r="Y84" s="210"/>
      <c r="Z84" s="210"/>
      <c r="AA84" s="210"/>
      <c r="AB84" s="210"/>
      <c r="AC84" s="210"/>
      <c r="AD84" s="210"/>
      <c r="AE84" s="210"/>
    </row>
    <row r="85" spans="1:31" hidden="1" x14ac:dyDescent="0.25"/>
    <row r="86" spans="1:31" hidden="1" x14ac:dyDescent="0.25"/>
    <row r="87" spans="1:31" hidden="1" x14ac:dyDescent="0.25"/>
    <row r="88" spans="1:31" hidden="1" x14ac:dyDescent="0.25"/>
    <row r="89" spans="1:31" hidden="1" x14ac:dyDescent="0.25"/>
    <row r="90" spans="1:31" hidden="1" x14ac:dyDescent="0.25"/>
    <row r="91" spans="1:31" hidden="1" x14ac:dyDescent="0.25"/>
    <row r="92" spans="1:31" hidden="1" x14ac:dyDescent="0.25"/>
    <row r="93" spans="1:31" hidden="1" x14ac:dyDescent="0.25"/>
    <row r="94" spans="1:31" hidden="1" x14ac:dyDescent="0.25"/>
    <row r="95" spans="1:31" hidden="1" x14ac:dyDescent="0.25"/>
    <row r="96" spans="1:31" hidden="1" x14ac:dyDescent="0.25"/>
    <row r="97" hidden="1" x14ac:dyDescent="0.25"/>
    <row r="98" hidden="1" x14ac:dyDescent="0.25"/>
    <row r="99" hidden="1" x14ac:dyDescent="0.25"/>
    <row r="100" hidden="1" x14ac:dyDescent="0.25"/>
    <row r="101" hidden="1" x14ac:dyDescent="0.25"/>
    <row r="102" hidden="1" x14ac:dyDescent="0.25"/>
    <row r="103" hidden="1" x14ac:dyDescent="0.25"/>
    <row r="104" hidden="1" x14ac:dyDescent="0.25"/>
    <row r="105" hidden="1" x14ac:dyDescent="0.25"/>
    <row r="106" hidden="1" x14ac:dyDescent="0.25"/>
    <row r="107" hidden="1" x14ac:dyDescent="0.25"/>
    <row r="108" hidden="1" x14ac:dyDescent="0.25"/>
    <row r="109" hidden="1" x14ac:dyDescent="0.25"/>
    <row r="110" hidden="1" x14ac:dyDescent="0.25"/>
    <row r="111" hidden="1" x14ac:dyDescent="0.25"/>
    <row r="112"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row r="199" hidden="1" x14ac:dyDescent="0.25"/>
    <row r="200" hidden="1" x14ac:dyDescent="0.25"/>
    <row r="201" hidden="1" x14ac:dyDescent="0.25"/>
    <row r="202" hidden="1" x14ac:dyDescent="0.25"/>
    <row r="203" hidden="1" x14ac:dyDescent="0.25"/>
    <row r="204" hidden="1" x14ac:dyDescent="0.25"/>
    <row r="205" hidden="1" x14ac:dyDescent="0.25"/>
  </sheetData>
  <mergeCells count="98">
    <mergeCell ref="A45:A46"/>
    <mergeCell ref="B45:B46"/>
    <mergeCell ref="Q45:X46"/>
    <mergeCell ref="Y45:AE46"/>
    <mergeCell ref="A47:A48"/>
    <mergeCell ref="B47:B48"/>
    <mergeCell ref="Q47:X48"/>
    <mergeCell ref="Y47:AE48"/>
    <mergeCell ref="A41:A42"/>
    <mergeCell ref="B41:B42"/>
    <mergeCell ref="Q41:X42"/>
    <mergeCell ref="Y41:AE42"/>
    <mergeCell ref="A43:A44"/>
    <mergeCell ref="B43:B44"/>
    <mergeCell ref="Q43:X44"/>
    <mergeCell ref="Y43:AE44"/>
    <mergeCell ref="AC35:AE36"/>
    <mergeCell ref="A38:AE38"/>
    <mergeCell ref="A39:A40"/>
    <mergeCell ref="B39:B40"/>
    <mergeCell ref="C39:C40"/>
    <mergeCell ref="D39:P39"/>
    <mergeCell ref="Q39:AE39"/>
    <mergeCell ref="Q40:X40"/>
    <mergeCell ref="Y40:AE40"/>
    <mergeCell ref="A35:A36"/>
    <mergeCell ref="B35:B36"/>
    <mergeCell ref="Q35:T36"/>
    <mergeCell ref="U35:X36"/>
    <mergeCell ref="Y35:AB36"/>
    <mergeCell ref="B30:C30"/>
    <mergeCell ref="Q30:X30"/>
    <mergeCell ref="Y30:AE30"/>
    <mergeCell ref="A32:AE32"/>
    <mergeCell ref="A33:A34"/>
    <mergeCell ref="B33:B34"/>
    <mergeCell ref="C33:C34"/>
    <mergeCell ref="D33:P33"/>
    <mergeCell ref="Q33:AE33"/>
    <mergeCell ref="Q34:T34"/>
    <mergeCell ref="U34:X34"/>
    <mergeCell ref="Y34:AB34"/>
    <mergeCell ref="AC34:AE34"/>
    <mergeCell ref="A27:AE27"/>
    <mergeCell ref="A28:A29"/>
    <mergeCell ref="B28:C29"/>
    <mergeCell ref="D28:O28"/>
    <mergeCell ref="P28:P29"/>
    <mergeCell ref="Q28:X29"/>
    <mergeCell ref="Y28:AE29"/>
    <mergeCell ref="C16:AB16"/>
    <mergeCell ref="A17:B17"/>
    <mergeCell ref="C17:AE17"/>
    <mergeCell ref="A19:AE19"/>
    <mergeCell ref="B20:O20"/>
    <mergeCell ref="P20:AE20"/>
    <mergeCell ref="A15:B15"/>
    <mergeCell ref="C15:K15"/>
    <mergeCell ref="L15:Q15"/>
    <mergeCell ref="R15:X15"/>
    <mergeCell ref="Y15:Z15"/>
    <mergeCell ref="AA15:AE15"/>
    <mergeCell ref="O7:P7"/>
    <mergeCell ref="M8:N8"/>
    <mergeCell ref="O8:P8"/>
    <mergeCell ref="M9:N9"/>
    <mergeCell ref="O9:P9"/>
    <mergeCell ref="A11:B13"/>
    <mergeCell ref="C11:AE13"/>
    <mergeCell ref="A7:B9"/>
    <mergeCell ref="C7:C9"/>
    <mergeCell ref="D7:H9"/>
    <mergeCell ref="I7:J9"/>
    <mergeCell ref="K7:L9"/>
    <mergeCell ref="M7:N7"/>
    <mergeCell ref="A1:A4"/>
    <mergeCell ref="B1:AA1"/>
    <mergeCell ref="AB1:AE1"/>
    <mergeCell ref="B2:AA2"/>
    <mergeCell ref="AB2:AE2"/>
    <mergeCell ref="B3:AA4"/>
    <mergeCell ref="AB3:AE3"/>
    <mergeCell ref="AB4:AE4"/>
    <mergeCell ref="A59:A60"/>
    <mergeCell ref="B59:B60"/>
    <mergeCell ref="C59:P59"/>
    <mergeCell ref="A61:A62"/>
    <mergeCell ref="B61:B62"/>
    <mergeCell ref="A70:A71"/>
    <mergeCell ref="B70:B71"/>
    <mergeCell ref="A72:A73"/>
    <mergeCell ref="B72:B73"/>
    <mergeCell ref="A63:A64"/>
    <mergeCell ref="B63:B64"/>
    <mergeCell ref="A65:A66"/>
    <mergeCell ref="B65:B66"/>
    <mergeCell ref="A67:A68"/>
    <mergeCell ref="B67:B68"/>
  </mergeCells>
  <dataValidations count="4">
    <dataValidation type="textLength" operator="lessThanOrEqual" allowBlank="1" showInputMessage="1" showErrorMessage="1" errorTitle="Máximo 2.000 caracteres" error="Máximo 2.000 caracteres" sqref="Q41 Q43 Q47" xr:uid="{C4E3822F-1E97-4964-AAB3-7AAEB8C5112A}">
      <formula1>2000</formula1>
    </dataValidation>
    <dataValidation type="textLength" operator="lessThanOrEqual" allowBlank="1" showInputMessage="1" showErrorMessage="1" errorTitle="Máximo 2.000 caracteres" error="Máximo 2.000 caracteres" promptTitle="2.000 caracteres" sqref="Q30:Q31" xr:uid="{3A7B6EE1-E059-4DF4-99C5-E9E6D1E9AE99}">
      <formula1>2000</formula1>
    </dataValidation>
    <dataValidation type="list" allowBlank="1" showInputMessage="1" showErrorMessage="1" sqref="C7" xr:uid="{D97B1E49-1D78-4D4B-9CCB-32B006044765}">
      <formula1>$B$21:$M$21</formula1>
    </dataValidation>
    <dataValidation type="textLength" operator="lessThanOrEqual" allowBlank="1" showInputMessage="1" showErrorMessage="1" errorTitle="Máximo 2.000 caracteres" error="Máximo 2.000 caracteres" sqref="Q45:X46" xr:uid="{45AF1F2F-38FB-4EE4-87C7-5C3583486350}">
      <formula1>20000</formula1>
    </dataValidation>
  </dataValidations>
  <hyperlinks>
    <hyperlink ref="Y41" r:id="rId1" display="https://secretariadistritald.sharepoint.com/:f:/s/BogotCaminaSegura/Eu4N-xyBKChHnAQz69FsUWEBCRswyizXUXS7hOc1BJ4Y4Q?e=vksH3M_x000a__x000a_Septiembre_x000a_https://secretariadistritald.sharepoint.com/:f:/s/BogotCaminaSegura/EqABrL0MqthBgWAQStdJpFsBPzAzK9oJ8GUnO_ECgrPQ2w?e=8H" xr:uid="{6903BA29-715A-45A6-9D6A-3B717B3C369D}"/>
    <hyperlink ref="Y45" r:id="rId2" xr:uid="{261FA50E-3772-4061-85B1-F3B6484DC11B}"/>
    <hyperlink ref="Y45:AE46" r:id="rId3" display="https://secretariadistritald.sharepoint.com/:f:/s/BogotCaminaSegura/ElIUgF4id7ZDj_d2HUfbBzgBR74Kdvd45dN_NgBXoWqGPg?e=TnvvuD" xr:uid="{12516E21-014D-4337-987D-F102BE5F84E2}"/>
    <hyperlink ref="Y47:AE48" r:id="rId4" display="https://secretariadistritald.sharepoint.com/:f:/s/BogotCaminaSegura/EovHildBzolOhASSH6IefPcBGIT93dO16_LwgtC0MgBzFQ?e=zZ5Qkk" xr:uid="{77213F4D-BF7B-4DB2-ADCB-6835D14E14F8}"/>
    <hyperlink ref="Y47" r:id="rId5" xr:uid="{EE20C051-8DF4-48CD-A368-44F86AF97F71}"/>
  </hyperlinks>
  <printOptions horizontalCentered="1"/>
  <pageMargins left="0.39370078740157483" right="0.39370078740157483" top="0.39370078740157483" bottom="0.39370078740157483" header="0" footer="0"/>
  <pageSetup scale="19" orientation="landscape" r:id="rId6"/>
  <drawing r:id="rId7"/>
  <legacyDrawing r:id="rId8"/>
  <extLst>
    <ext xmlns:x14="http://schemas.microsoft.com/office/spreadsheetml/2009/9/main" uri="{CCE6A557-97BC-4b89-ADB6-D9C93CAAB3DF}">
      <x14:dataValidations xmlns:xm="http://schemas.microsoft.com/office/excel/2006/main" count="4">
        <x14:dataValidation type="list" allowBlank="1" showInputMessage="1" showErrorMessage="1" xr:uid="{3A07AC08-D3D1-45CE-8BF3-8988E15C5A31}">
          <x14:formula1>
            <xm:f>listas!$D$2:$D$15</xm:f>
          </x14:formula1>
          <xm:sqref>C11:AE13</xm:sqref>
        </x14:dataValidation>
        <x14:dataValidation type="list" allowBlank="1" showInputMessage="1" showErrorMessage="1" xr:uid="{638B8189-B645-4A2D-8083-A07906DC4FE5}">
          <x14:formula1>
            <xm:f>listas!$A$2:$A$6</xm:f>
          </x14:formula1>
          <xm:sqref>C15:K15</xm:sqref>
        </x14:dataValidation>
        <x14:dataValidation type="list" allowBlank="1" showInputMessage="1" showErrorMessage="1" xr:uid="{6FB476BE-9989-4704-8C38-25037CCC9B69}">
          <x14:formula1>
            <xm:f>listas!$B$2:$B$8</xm:f>
          </x14:formula1>
          <xm:sqref>R15:X15</xm:sqref>
        </x14:dataValidation>
        <x14:dataValidation type="list" allowBlank="1" showInputMessage="1" showErrorMessage="1" xr:uid="{B93B40AD-989E-4023-A544-D44757557B52}">
          <x14:formula1>
            <xm:f>listas!$C$2:$C$20</xm:f>
          </x14:formula1>
          <xm:sqref>AA15:AE15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7" tint="0.39997558519241921"/>
    <pageSetUpPr fitToPage="1"/>
  </sheetPr>
  <dimension ref="A1:BG23"/>
  <sheetViews>
    <sheetView view="pageBreakPreview" topLeftCell="L16" zoomScale="60" zoomScaleNormal="60" workbookViewId="0">
      <selection activeCell="AS15" sqref="AS15"/>
    </sheetView>
  </sheetViews>
  <sheetFormatPr baseColWidth="10" defaultColWidth="10.85546875" defaultRowHeight="31.5" customHeight="1" x14ac:dyDescent="0.25"/>
  <cols>
    <col min="1" max="1" width="15" style="15" customWidth="1"/>
    <col min="2" max="2" width="8.28515625" style="15" customWidth="1"/>
    <col min="3" max="3" width="11.42578125" style="15" customWidth="1"/>
    <col min="4" max="4" width="29.28515625" style="15" customWidth="1"/>
    <col min="5" max="5" width="24" style="15" customWidth="1"/>
    <col min="6" max="6" width="17.28515625" style="15" customWidth="1"/>
    <col min="7" max="7" width="14.7109375" style="27" customWidth="1"/>
    <col min="8" max="8" width="20.7109375" style="27" customWidth="1"/>
    <col min="9" max="9" width="10.5703125" style="15" customWidth="1"/>
    <col min="10" max="11" width="21.140625" style="15" hidden="1" customWidth="1"/>
    <col min="12" max="15" width="8.7109375" style="15" customWidth="1"/>
    <col min="16" max="16" width="22.28515625" style="15" customWidth="1"/>
    <col min="17" max="17" width="22.42578125" style="15" customWidth="1"/>
    <col min="18" max="28" width="7.42578125" style="27" customWidth="1"/>
    <col min="29" max="29" width="5.85546875" style="27" customWidth="1"/>
    <col min="30" max="40" width="8.140625" style="27" customWidth="1"/>
    <col min="41" max="41" width="5.85546875" style="27" customWidth="1"/>
    <col min="42" max="42" width="11.28515625" style="27" customWidth="1"/>
    <col min="43" max="43" width="11.28515625" style="171" customWidth="1"/>
    <col min="44" max="44" width="53.5703125" style="15" customWidth="1"/>
    <col min="45" max="45" width="45" style="15" customWidth="1"/>
    <col min="46" max="46" width="50.28515625" style="15" customWidth="1"/>
    <col min="47" max="48" width="45" style="15" customWidth="1"/>
    <col min="49" max="49" width="10.85546875" style="15"/>
    <col min="50" max="50" width="22.28515625" style="15" customWidth="1"/>
    <col min="51" max="57" width="10.85546875" style="15"/>
    <col min="58" max="58" width="9" style="15" customWidth="1"/>
    <col min="59" max="16384" width="10.85546875" style="15"/>
  </cols>
  <sheetData>
    <row r="1" spans="1:59" ht="31.5" customHeight="1" thickBot="1" x14ac:dyDescent="0.3">
      <c r="A1" s="829" t="s">
        <v>121</v>
      </c>
      <c r="B1" s="830"/>
      <c r="C1" s="830"/>
      <c r="D1" s="830"/>
      <c r="E1" s="830"/>
      <c r="F1" s="830"/>
      <c r="G1" s="830"/>
      <c r="H1" s="830"/>
      <c r="I1" s="830"/>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1"/>
      <c r="AU1" s="825" t="s">
        <v>122</v>
      </c>
      <c r="AV1" s="826"/>
    </row>
    <row r="2" spans="1:59" ht="31.5" customHeight="1" thickBot="1" x14ac:dyDescent="0.3">
      <c r="A2" s="832" t="s">
        <v>123</v>
      </c>
      <c r="B2" s="833"/>
      <c r="C2" s="833"/>
      <c r="D2" s="833"/>
      <c r="E2" s="833"/>
      <c r="F2" s="833"/>
      <c r="G2" s="833"/>
      <c r="H2" s="833"/>
      <c r="I2" s="833"/>
      <c r="J2" s="833"/>
      <c r="K2" s="833"/>
      <c r="L2" s="833"/>
      <c r="M2" s="833"/>
      <c r="N2" s="833"/>
      <c r="O2" s="833"/>
      <c r="P2" s="833"/>
      <c r="Q2" s="833"/>
      <c r="R2" s="833"/>
      <c r="S2" s="833"/>
      <c r="T2" s="833"/>
      <c r="U2" s="833"/>
      <c r="V2" s="833"/>
      <c r="W2" s="833"/>
      <c r="X2" s="833"/>
      <c r="Y2" s="833"/>
      <c r="Z2" s="833"/>
      <c r="AA2" s="833"/>
      <c r="AB2" s="833"/>
      <c r="AC2" s="833"/>
      <c r="AD2" s="833"/>
      <c r="AE2" s="833"/>
      <c r="AF2" s="833"/>
      <c r="AG2" s="833"/>
      <c r="AH2" s="833"/>
      <c r="AI2" s="833"/>
      <c r="AJ2" s="833"/>
      <c r="AK2" s="833"/>
      <c r="AL2" s="833"/>
      <c r="AM2" s="833"/>
      <c r="AN2" s="833"/>
      <c r="AO2" s="833"/>
      <c r="AP2" s="833"/>
      <c r="AQ2" s="833"/>
      <c r="AR2" s="833"/>
      <c r="AS2" s="833"/>
      <c r="AT2" s="834"/>
      <c r="AU2" s="604" t="s">
        <v>124</v>
      </c>
      <c r="AV2" s="827"/>
    </row>
    <row r="3" spans="1:59" ht="31.5" customHeight="1" thickBot="1" x14ac:dyDescent="0.3">
      <c r="A3" s="835" t="s">
        <v>0</v>
      </c>
      <c r="B3" s="836"/>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6"/>
      <c r="AC3" s="836"/>
      <c r="AD3" s="836"/>
      <c r="AE3" s="836"/>
      <c r="AF3" s="836"/>
      <c r="AG3" s="836"/>
      <c r="AH3" s="836"/>
      <c r="AI3" s="836"/>
      <c r="AJ3" s="836"/>
      <c r="AK3" s="836"/>
      <c r="AL3" s="836"/>
      <c r="AM3" s="836"/>
      <c r="AN3" s="836"/>
      <c r="AO3" s="836"/>
      <c r="AP3" s="836"/>
      <c r="AQ3" s="836"/>
      <c r="AR3" s="836"/>
      <c r="AS3" s="836"/>
      <c r="AT3" s="837"/>
      <c r="AU3" s="604" t="s">
        <v>126</v>
      </c>
      <c r="AV3" s="827"/>
    </row>
    <row r="4" spans="1:59" ht="31.5" customHeight="1" x14ac:dyDescent="0.25">
      <c r="A4" s="829"/>
      <c r="B4" s="830"/>
      <c r="C4" s="830"/>
      <c r="D4" s="830"/>
      <c r="E4" s="830"/>
      <c r="F4" s="830"/>
      <c r="G4" s="830"/>
      <c r="H4" s="830"/>
      <c r="I4" s="830"/>
      <c r="J4" s="830"/>
      <c r="K4" s="830"/>
      <c r="L4" s="830"/>
      <c r="M4" s="830"/>
      <c r="N4" s="830"/>
      <c r="O4" s="830"/>
      <c r="P4" s="830"/>
      <c r="Q4" s="830"/>
      <c r="R4" s="830"/>
      <c r="S4" s="830"/>
      <c r="T4" s="830"/>
      <c r="U4" s="830"/>
      <c r="V4" s="830"/>
      <c r="W4" s="830"/>
      <c r="X4" s="830"/>
      <c r="Y4" s="830"/>
      <c r="Z4" s="830"/>
      <c r="AA4" s="830"/>
      <c r="AB4" s="830"/>
      <c r="AC4" s="830"/>
      <c r="AD4" s="830"/>
      <c r="AE4" s="830"/>
      <c r="AF4" s="830"/>
      <c r="AG4" s="830"/>
      <c r="AH4" s="830"/>
      <c r="AI4" s="830"/>
      <c r="AJ4" s="830"/>
      <c r="AK4" s="830"/>
      <c r="AL4" s="830"/>
      <c r="AM4" s="830"/>
      <c r="AN4" s="830"/>
      <c r="AO4" s="830"/>
      <c r="AP4" s="830"/>
      <c r="AQ4" s="830"/>
      <c r="AR4" s="830"/>
      <c r="AS4" s="830"/>
      <c r="AT4" s="831"/>
      <c r="AU4" s="828" t="s">
        <v>253</v>
      </c>
      <c r="AV4" s="828"/>
    </row>
    <row r="5" spans="1:59" ht="31.5" customHeight="1" x14ac:dyDescent="0.25">
      <c r="A5" s="811" t="s">
        <v>254</v>
      </c>
      <c r="B5" s="812"/>
      <c r="C5" s="812"/>
      <c r="D5" s="812"/>
      <c r="E5" s="812"/>
      <c r="F5" s="812"/>
      <c r="G5" s="812"/>
      <c r="H5" s="812"/>
      <c r="I5" s="812"/>
      <c r="J5" s="812"/>
      <c r="K5" s="812"/>
      <c r="L5" s="812"/>
      <c r="M5" s="812"/>
      <c r="N5" s="812"/>
      <c r="O5" s="812"/>
      <c r="P5" s="812"/>
      <c r="Q5" s="812"/>
      <c r="R5" s="812"/>
      <c r="S5" s="812"/>
      <c r="T5" s="812"/>
      <c r="U5" s="812"/>
      <c r="V5" s="812"/>
      <c r="W5" s="812"/>
      <c r="X5" s="812"/>
      <c r="Y5" s="812"/>
      <c r="Z5" s="812"/>
      <c r="AA5" s="812"/>
      <c r="AB5" s="812"/>
      <c r="AC5" s="813"/>
      <c r="AD5" s="814" t="s">
        <v>132</v>
      </c>
      <c r="AE5" s="815"/>
      <c r="AF5" s="815"/>
      <c r="AG5" s="815"/>
      <c r="AH5" s="815"/>
      <c r="AI5" s="815"/>
      <c r="AJ5" s="815"/>
      <c r="AK5" s="815"/>
      <c r="AL5" s="815"/>
      <c r="AM5" s="815"/>
      <c r="AN5" s="815"/>
      <c r="AO5" s="815"/>
      <c r="AP5" s="815"/>
      <c r="AQ5" s="816"/>
      <c r="AR5" s="808" t="s">
        <v>104</v>
      </c>
      <c r="AS5" s="808" t="s">
        <v>106</v>
      </c>
      <c r="AT5" s="808" t="s">
        <v>108</v>
      </c>
      <c r="AU5" s="808" t="s">
        <v>110</v>
      </c>
      <c r="AV5" s="808" t="s">
        <v>255</v>
      </c>
    </row>
    <row r="6" spans="1:59" ht="31.5" customHeight="1" x14ac:dyDescent="0.25">
      <c r="A6" s="838" t="s">
        <v>6</v>
      </c>
      <c r="B6" s="839">
        <v>45639</v>
      </c>
      <c r="C6" s="840"/>
      <c r="D6" s="82" t="s">
        <v>129</v>
      </c>
      <c r="E6" s="83"/>
      <c r="F6" s="84"/>
      <c r="G6" s="156"/>
      <c r="H6" s="80"/>
      <c r="I6" s="85"/>
      <c r="J6" s="85"/>
      <c r="K6" s="85"/>
      <c r="L6" s="85"/>
      <c r="M6" s="85"/>
      <c r="N6" s="85"/>
      <c r="O6" s="85"/>
      <c r="P6" s="85"/>
      <c r="Q6" s="85"/>
      <c r="R6" s="80"/>
      <c r="S6" s="80"/>
      <c r="T6" s="80"/>
      <c r="U6" s="80"/>
      <c r="V6" s="80"/>
      <c r="W6" s="80"/>
      <c r="X6" s="80"/>
      <c r="Y6" s="80"/>
      <c r="Z6" s="80"/>
      <c r="AA6" s="80"/>
      <c r="AB6" s="80"/>
      <c r="AC6" s="366"/>
      <c r="AD6" s="817"/>
      <c r="AE6" s="818"/>
      <c r="AF6" s="818"/>
      <c r="AG6" s="818"/>
      <c r="AH6" s="818"/>
      <c r="AI6" s="818"/>
      <c r="AJ6" s="818"/>
      <c r="AK6" s="818"/>
      <c r="AL6" s="818"/>
      <c r="AM6" s="818"/>
      <c r="AN6" s="818"/>
      <c r="AO6" s="818"/>
      <c r="AP6" s="818"/>
      <c r="AQ6" s="819"/>
      <c r="AR6" s="809"/>
      <c r="AS6" s="809"/>
      <c r="AT6" s="809"/>
      <c r="AU6" s="809"/>
      <c r="AV6" s="809"/>
    </row>
    <row r="7" spans="1:59" ht="31.5" customHeight="1" x14ac:dyDescent="0.25">
      <c r="A7" s="838"/>
      <c r="B7" s="840"/>
      <c r="C7" s="840"/>
      <c r="D7" s="82" t="s">
        <v>130</v>
      </c>
      <c r="E7" s="83"/>
      <c r="F7" s="87"/>
      <c r="G7" s="157"/>
      <c r="H7" s="86"/>
      <c r="I7" s="88"/>
      <c r="J7" s="88"/>
      <c r="K7" s="88"/>
      <c r="L7" s="88"/>
      <c r="M7" s="88"/>
      <c r="N7" s="88"/>
      <c r="O7" s="88"/>
      <c r="P7" s="88"/>
      <c r="Q7" s="88"/>
      <c r="R7" s="86"/>
      <c r="S7" s="86"/>
      <c r="T7" s="86"/>
      <c r="U7" s="86"/>
      <c r="V7" s="86"/>
      <c r="W7" s="86"/>
      <c r="X7" s="86"/>
      <c r="Y7" s="86"/>
      <c r="Z7" s="86"/>
      <c r="AA7" s="86"/>
      <c r="AB7" s="86"/>
      <c r="AC7" s="377"/>
      <c r="AD7" s="817"/>
      <c r="AE7" s="818"/>
      <c r="AF7" s="818"/>
      <c r="AG7" s="818"/>
      <c r="AH7" s="818"/>
      <c r="AI7" s="818"/>
      <c r="AJ7" s="818"/>
      <c r="AK7" s="818"/>
      <c r="AL7" s="818"/>
      <c r="AM7" s="818"/>
      <c r="AN7" s="818"/>
      <c r="AO7" s="818"/>
      <c r="AP7" s="818"/>
      <c r="AQ7" s="819"/>
      <c r="AR7" s="809"/>
      <c r="AS7" s="809"/>
      <c r="AT7" s="809"/>
      <c r="AU7" s="809"/>
      <c r="AV7" s="809"/>
    </row>
    <row r="8" spans="1:59" ht="31.5" customHeight="1" x14ac:dyDescent="0.25">
      <c r="A8" s="838"/>
      <c r="B8" s="840"/>
      <c r="C8" s="840"/>
      <c r="D8" s="82" t="s">
        <v>132</v>
      </c>
      <c r="E8" s="83" t="s">
        <v>131</v>
      </c>
      <c r="F8" s="89"/>
      <c r="G8" s="158"/>
      <c r="H8" s="91"/>
      <c r="I8" s="90"/>
      <c r="J8" s="90"/>
      <c r="K8" s="90"/>
      <c r="L8" s="90"/>
      <c r="M8" s="90"/>
      <c r="N8" s="90"/>
      <c r="O8" s="90"/>
      <c r="P8" s="90"/>
      <c r="Q8" s="90"/>
      <c r="R8" s="91"/>
      <c r="S8" s="91"/>
      <c r="T8" s="91"/>
      <c r="U8" s="91"/>
      <c r="V8" s="91"/>
      <c r="W8" s="91"/>
      <c r="X8" s="91"/>
      <c r="Y8" s="91"/>
      <c r="Z8" s="91"/>
      <c r="AA8" s="91"/>
      <c r="AB8" s="91"/>
      <c r="AC8" s="365"/>
      <c r="AD8" s="817"/>
      <c r="AE8" s="818"/>
      <c r="AF8" s="818"/>
      <c r="AG8" s="818"/>
      <c r="AH8" s="818"/>
      <c r="AI8" s="818"/>
      <c r="AJ8" s="818"/>
      <c r="AK8" s="818"/>
      <c r="AL8" s="818"/>
      <c r="AM8" s="818"/>
      <c r="AN8" s="818"/>
      <c r="AO8" s="818"/>
      <c r="AP8" s="818"/>
      <c r="AQ8" s="819"/>
      <c r="AR8" s="809"/>
      <c r="AS8" s="809"/>
      <c r="AT8" s="809"/>
      <c r="AU8" s="809"/>
      <c r="AV8" s="809"/>
    </row>
    <row r="9" spans="1:59" ht="31.5" customHeight="1" x14ac:dyDescent="0.25">
      <c r="A9" s="823" t="s">
        <v>256</v>
      </c>
      <c r="B9" s="841"/>
      <c r="C9" s="841"/>
      <c r="D9" s="842" t="s">
        <v>257</v>
      </c>
      <c r="E9" s="842"/>
      <c r="F9" s="842"/>
      <c r="G9" s="842"/>
      <c r="H9" s="842"/>
      <c r="I9" s="842"/>
      <c r="J9" s="842"/>
      <c r="K9" s="842"/>
      <c r="L9" s="842"/>
      <c r="M9" s="842"/>
      <c r="N9" s="842"/>
      <c r="O9" s="842"/>
      <c r="P9" s="842"/>
      <c r="Q9" s="842"/>
      <c r="R9" s="842"/>
      <c r="S9" s="842"/>
      <c r="T9" s="842"/>
      <c r="U9" s="842"/>
      <c r="V9" s="842"/>
      <c r="W9" s="842"/>
      <c r="X9" s="842"/>
      <c r="Y9" s="842"/>
      <c r="Z9" s="842"/>
      <c r="AA9" s="842"/>
      <c r="AB9" s="842"/>
      <c r="AC9" s="842"/>
      <c r="AD9" s="817"/>
      <c r="AE9" s="818"/>
      <c r="AF9" s="818"/>
      <c r="AG9" s="818"/>
      <c r="AH9" s="818"/>
      <c r="AI9" s="818"/>
      <c r="AJ9" s="818"/>
      <c r="AK9" s="818"/>
      <c r="AL9" s="818"/>
      <c r="AM9" s="818"/>
      <c r="AN9" s="818"/>
      <c r="AO9" s="818"/>
      <c r="AP9" s="818"/>
      <c r="AQ9" s="819"/>
      <c r="AR9" s="809"/>
      <c r="AS9" s="809"/>
      <c r="AT9" s="809"/>
      <c r="AU9" s="809"/>
      <c r="AV9" s="809"/>
    </row>
    <row r="10" spans="1:59" ht="31.5" customHeight="1" x14ac:dyDescent="0.25">
      <c r="A10" s="823" t="s">
        <v>258</v>
      </c>
      <c r="B10" s="841"/>
      <c r="C10" s="841"/>
      <c r="D10" s="842" t="s">
        <v>134</v>
      </c>
      <c r="E10" s="842"/>
      <c r="F10" s="842"/>
      <c r="G10" s="842"/>
      <c r="H10" s="842"/>
      <c r="I10" s="842"/>
      <c r="J10" s="842"/>
      <c r="K10" s="842"/>
      <c r="L10" s="842"/>
      <c r="M10" s="842"/>
      <c r="N10" s="842"/>
      <c r="O10" s="842"/>
      <c r="P10" s="842"/>
      <c r="Q10" s="842"/>
      <c r="R10" s="842"/>
      <c r="S10" s="842"/>
      <c r="T10" s="842"/>
      <c r="U10" s="842"/>
      <c r="V10" s="842"/>
      <c r="W10" s="842"/>
      <c r="X10" s="842"/>
      <c r="Y10" s="842"/>
      <c r="Z10" s="842"/>
      <c r="AA10" s="842"/>
      <c r="AB10" s="842"/>
      <c r="AC10" s="842"/>
      <c r="AD10" s="820"/>
      <c r="AE10" s="821"/>
      <c r="AF10" s="821"/>
      <c r="AG10" s="821"/>
      <c r="AH10" s="821"/>
      <c r="AI10" s="821"/>
      <c r="AJ10" s="821"/>
      <c r="AK10" s="821"/>
      <c r="AL10" s="821"/>
      <c r="AM10" s="821"/>
      <c r="AN10" s="821"/>
      <c r="AO10" s="821"/>
      <c r="AP10" s="821"/>
      <c r="AQ10" s="822"/>
      <c r="AR10" s="809"/>
      <c r="AS10" s="809"/>
      <c r="AT10" s="809"/>
      <c r="AU10" s="809"/>
      <c r="AV10" s="809"/>
    </row>
    <row r="11" spans="1:59" ht="63.6" customHeight="1" x14ac:dyDescent="0.25">
      <c r="A11" s="823" t="s">
        <v>74</v>
      </c>
      <c r="B11" s="841"/>
      <c r="C11" s="841"/>
      <c r="D11" s="808" t="s">
        <v>259</v>
      </c>
      <c r="E11" s="808" t="s">
        <v>78</v>
      </c>
      <c r="F11" s="808" t="s">
        <v>80</v>
      </c>
      <c r="G11" s="808" t="s">
        <v>82</v>
      </c>
      <c r="H11" s="808" t="s">
        <v>260</v>
      </c>
      <c r="I11" s="808" t="s">
        <v>86</v>
      </c>
      <c r="J11" s="808" t="s">
        <v>88</v>
      </c>
      <c r="K11" s="808" t="s">
        <v>90</v>
      </c>
      <c r="L11" s="843" t="s">
        <v>92</v>
      </c>
      <c r="M11" s="844"/>
      <c r="N11" s="844"/>
      <c r="O11" s="844"/>
      <c r="P11" s="808" t="s">
        <v>94</v>
      </c>
      <c r="Q11" s="808" t="s">
        <v>96</v>
      </c>
      <c r="R11" s="811" t="s">
        <v>98</v>
      </c>
      <c r="S11" s="812"/>
      <c r="T11" s="812"/>
      <c r="U11" s="812"/>
      <c r="V11" s="812"/>
      <c r="W11" s="812"/>
      <c r="X11" s="812"/>
      <c r="Y11" s="812"/>
      <c r="Z11" s="812"/>
      <c r="AA11" s="812"/>
      <c r="AB11" s="812"/>
      <c r="AC11" s="813"/>
      <c r="AD11" s="811" t="s">
        <v>100</v>
      </c>
      <c r="AE11" s="812"/>
      <c r="AF11" s="812"/>
      <c r="AG11" s="812"/>
      <c r="AH11" s="812"/>
      <c r="AI11" s="812"/>
      <c r="AJ11" s="812"/>
      <c r="AK11" s="812"/>
      <c r="AL11" s="812"/>
      <c r="AM11" s="812"/>
      <c r="AN11" s="812"/>
      <c r="AO11" s="813"/>
      <c r="AP11" s="823" t="s">
        <v>102</v>
      </c>
      <c r="AQ11" s="824"/>
      <c r="AR11" s="809"/>
      <c r="AS11" s="809"/>
      <c r="AT11" s="809"/>
      <c r="AU11" s="809"/>
      <c r="AV11" s="809"/>
    </row>
    <row r="12" spans="1:59" ht="95.45" customHeight="1" x14ac:dyDescent="0.25">
      <c r="A12" s="81" t="s">
        <v>261</v>
      </c>
      <c r="B12" s="81" t="s">
        <v>262</v>
      </c>
      <c r="C12" s="81" t="s">
        <v>263</v>
      </c>
      <c r="D12" s="809"/>
      <c r="E12" s="810"/>
      <c r="F12" s="810"/>
      <c r="G12" s="810"/>
      <c r="H12" s="810"/>
      <c r="I12" s="810"/>
      <c r="J12" s="810"/>
      <c r="K12" s="810"/>
      <c r="L12" s="378">
        <v>2024</v>
      </c>
      <c r="M12" s="378">
        <v>2025</v>
      </c>
      <c r="N12" s="378">
        <v>2026</v>
      </c>
      <c r="O12" s="378">
        <v>2027</v>
      </c>
      <c r="P12" s="810"/>
      <c r="Q12" s="810"/>
      <c r="R12" s="92" t="s">
        <v>141</v>
      </c>
      <c r="S12" s="92" t="s">
        <v>142</v>
      </c>
      <c r="T12" s="92" t="s">
        <v>143</v>
      </c>
      <c r="U12" s="92" t="s">
        <v>144</v>
      </c>
      <c r="V12" s="92" t="s">
        <v>145</v>
      </c>
      <c r="W12" s="92" t="s">
        <v>146</v>
      </c>
      <c r="X12" s="92" t="s">
        <v>147</v>
      </c>
      <c r="Y12" s="92" t="s">
        <v>148</v>
      </c>
      <c r="Z12" s="92" t="s">
        <v>149</v>
      </c>
      <c r="AA12" s="92" t="s">
        <v>150</v>
      </c>
      <c r="AB12" s="92" t="s">
        <v>128</v>
      </c>
      <c r="AC12" s="92" t="s">
        <v>151</v>
      </c>
      <c r="AD12" s="92" t="s">
        <v>141</v>
      </c>
      <c r="AE12" s="92" t="s">
        <v>142</v>
      </c>
      <c r="AF12" s="92" t="s">
        <v>143</v>
      </c>
      <c r="AG12" s="92" t="s">
        <v>144</v>
      </c>
      <c r="AH12" s="92" t="s">
        <v>145</v>
      </c>
      <c r="AI12" s="92" t="s">
        <v>146</v>
      </c>
      <c r="AJ12" s="92" t="s">
        <v>147</v>
      </c>
      <c r="AK12" s="92" t="s">
        <v>148</v>
      </c>
      <c r="AL12" s="92" t="s">
        <v>149</v>
      </c>
      <c r="AM12" s="92" t="s">
        <v>150</v>
      </c>
      <c r="AN12" s="92" t="s">
        <v>128</v>
      </c>
      <c r="AO12" s="92" t="s">
        <v>151</v>
      </c>
      <c r="AP12" s="81" t="s">
        <v>264</v>
      </c>
      <c r="AQ12" s="93" t="s">
        <v>265</v>
      </c>
      <c r="AR12" s="810"/>
      <c r="AS12" s="810"/>
      <c r="AT12" s="810"/>
      <c r="AU12" s="810"/>
      <c r="AV12" s="810"/>
    </row>
    <row r="13" spans="1:59" s="147" customFormat="1" ht="178.15" customHeight="1" x14ac:dyDescent="0.25">
      <c r="A13" s="526" t="s">
        <v>136</v>
      </c>
      <c r="B13" s="83">
        <v>11</v>
      </c>
      <c r="C13" s="144"/>
      <c r="D13" s="144" t="s">
        <v>266</v>
      </c>
      <c r="E13" s="144" t="s">
        <v>267</v>
      </c>
      <c r="F13" s="144" t="s">
        <v>268</v>
      </c>
      <c r="G13" s="161" t="s">
        <v>269</v>
      </c>
      <c r="H13" s="83">
        <v>11000</v>
      </c>
      <c r="I13" s="143" t="s">
        <v>270</v>
      </c>
      <c r="J13" s="144" t="s">
        <v>271</v>
      </c>
      <c r="K13" s="144" t="s">
        <v>272</v>
      </c>
      <c r="L13" s="368">
        <v>1500</v>
      </c>
      <c r="M13" s="368">
        <v>3000</v>
      </c>
      <c r="N13" s="368">
        <v>3000</v>
      </c>
      <c r="O13" s="368">
        <v>3500</v>
      </c>
      <c r="P13" s="144" t="s">
        <v>273</v>
      </c>
      <c r="Q13" s="144" t="s">
        <v>274</v>
      </c>
      <c r="R13" s="83">
        <v>0</v>
      </c>
      <c r="S13" s="83">
        <v>0</v>
      </c>
      <c r="T13" s="83">
        <v>0</v>
      </c>
      <c r="U13" s="83">
        <v>0</v>
      </c>
      <c r="V13" s="83">
        <v>0</v>
      </c>
      <c r="W13" s="83">
        <v>0</v>
      </c>
      <c r="X13" s="83">
        <v>0</v>
      </c>
      <c r="Y13" s="83">
        <v>0</v>
      </c>
      <c r="Z13" s="83">
        <v>350</v>
      </c>
      <c r="AA13" s="83">
        <v>350</v>
      </c>
      <c r="AB13" s="83">
        <v>400</v>
      </c>
      <c r="AC13" s="83">
        <v>400</v>
      </c>
      <c r="AD13" s="83">
        <v>0</v>
      </c>
      <c r="AE13" s="83">
        <v>0</v>
      </c>
      <c r="AF13" s="83">
        <v>0</v>
      </c>
      <c r="AG13" s="83">
        <v>0</v>
      </c>
      <c r="AH13" s="83">
        <v>0</v>
      </c>
      <c r="AI13" s="83">
        <v>0</v>
      </c>
      <c r="AJ13" s="83">
        <v>0</v>
      </c>
      <c r="AK13" s="83">
        <v>0</v>
      </c>
      <c r="AL13" s="83">
        <v>184</v>
      </c>
      <c r="AM13" s="83">
        <v>422</v>
      </c>
      <c r="AN13" s="83">
        <v>987</v>
      </c>
      <c r="AO13" s="83"/>
      <c r="AP13" s="83">
        <f>SUM(AD13:AO13)</f>
        <v>1593</v>
      </c>
      <c r="AQ13" s="170" cm="1">
        <f t="array" ref="AQ13">+SUM(AD13:AO13/L13)</f>
        <v>1.0620000000000001</v>
      </c>
      <c r="AR13" s="271" t="s">
        <v>275</v>
      </c>
      <c r="AS13" s="525" t="s">
        <v>276</v>
      </c>
      <c r="AT13" s="271" t="s">
        <v>277</v>
      </c>
      <c r="AU13" s="146" t="s">
        <v>278</v>
      </c>
      <c r="AV13" s="146" t="s">
        <v>279</v>
      </c>
    </row>
    <row r="14" spans="1:59" s="147" customFormat="1" ht="220.9" customHeight="1" x14ac:dyDescent="0.25">
      <c r="A14" s="527"/>
      <c r="B14" s="144"/>
      <c r="C14" s="152"/>
      <c r="D14" s="155" t="s">
        <v>280</v>
      </c>
      <c r="E14" s="153" t="s">
        <v>281</v>
      </c>
      <c r="F14" s="143" t="s">
        <v>282</v>
      </c>
      <c r="G14" s="161" t="s">
        <v>269</v>
      </c>
      <c r="H14" s="161">
        <v>9</v>
      </c>
      <c r="I14" s="143" t="s">
        <v>270</v>
      </c>
      <c r="J14" s="143" t="s">
        <v>283</v>
      </c>
      <c r="K14" s="143" t="s">
        <v>272</v>
      </c>
      <c r="L14" s="379">
        <v>3</v>
      </c>
      <c r="M14" s="379">
        <v>3</v>
      </c>
      <c r="N14" s="379">
        <v>2</v>
      </c>
      <c r="O14" s="379">
        <v>1</v>
      </c>
      <c r="P14" s="145" t="s">
        <v>273</v>
      </c>
      <c r="Q14" s="145" t="s">
        <v>274</v>
      </c>
      <c r="R14" s="83">
        <v>0</v>
      </c>
      <c r="S14" s="83">
        <v>0</v>
      </c>
      <c r="T14" s="83">
        <v>0</v>
      </c>
      <c r="U14" s="83">
        <v>0</v>
      </c>
      <c r="V14" s="83">
        <v>0</v>
      </c>
      <c r="W14" s="83">
        <v>0</v>
      </c>
      <c r="X14" s="83">
        <v>0</v>
      </c>
      <c r="Y14" s="83">
        <v>0</v>
      </c>
      <c r="Z14" s="83">
        <v>1</v>
      </c>
      <c r="AA14" s="83">
        <v>1</v>
      </c>
      <c r="AB14" s="83">
        <v>1</v>
      </c>
      <c r="AC14" s="83">
        <v>0</v>
      </c>
      <c r="AD14" s="169">
        <f>+Meta.1!D36</f>
        <v>0</v>
      </c>
      <c r="AE14" s="169">
        <f>+Meta.1!E36</f>
        <v>0</v>
      </c>
      <c r="AF14" s="169">
        <f>+Meta.1!F36</f>
        <v>0</v>
      </c>
      <c r="AG14" s="169">
        <f>+Meta.1!G36</f>
        <v>0</v>
      </c>
      <c r="AH14" s="169">
        <f>+Meta.1!H36</f>
        <v>0</v>
      </c>
      <c r="AI14" s="169">
        <f>+Meta.1!I36</f>
        <v>0</v>
      </c>
      <c r="AJ14" s="169">
        <f>+Meta.1!J36</f>
        <v>0</v>
      </c>
      <c r="AK14" s="169">
        <f>+Meta.1!K36</f>
        <v>0.56999999999999995</v>
      </c>
      <c r="AL14" s="169">
        <f>+Meta.1!L36</f>
        <v>1.0349999999999997</v>
      </c>
      <c r="AM14" s="169">
        <f>+Meta.1!M36</f>
        <v>0.34500000000000003</v>
      </c>
      <c r="AN14" s="169">
        <f>+Meta.1!N36</f>
        <v>0.52500000000000002</v>
      </c>
      <c r="AO14" s="169">
        <f>+Meta.1!O36</f>
        <v>0</v>
      </c>
      <c r="AP14" s="83">
        <f t="shared" ref="AP14:AP19" si="0">IF(G14="suma",SUM(AD14:AO14),IF(G14="creciente",MAX(AD14:AO14),IF(G14="DECRECIENTE",O14-MIN(AD14:AO14),IF(G14="CONSTANTE",AVERAGE(AD14:AO14)," "))))</f>
        <v>2.4749999999999996</v>
      </c>
      <c r="AQ14" s="170" cm="1">
        <f t="array" ref="AQ14">+SUM(AD14:AO14/L14)</f>
        <v>0.82499999999999996</v>
      </c>
      <c r="AR14" s="270" t="s">
        <v>284</v>
      </c>
      <c r="AS14" s="524" t="s">
        <v>285</v>
      </c>
      <c r="AT14" s="535" t="s">
        <v>163</v>
      </c>
      <c r="AU14" s="146" t="s">
        <v>279</v>
      </c>
      <c r="AV14" s="146" t="s">
        <v>279</v>
      </c>
      <c r="AX14" s="363" t="s">
        <v>286</v>
      </c>
      <c r="AY14" s="147">
        <f>LEN(AX14)</f>
        <v>297</v>
      </c>
      <c r="BG14" s="147" t="s">
        <v>287</v>
      </c>
    </row>
    <row r="15" spans="1:59" s="147" customFormat="1" ht="409.15" customHeight="1" x14ac:dyDescent="0.25">
      <c r="A15" s="527"/>
      <c r="B15" s="144"/>
      <c r="C15" s="144"/>
      <c r="D15" s="154" t="s">
        <v>288</v>
      </c>
      <c r="E15" s="144" t="s">
        <v>289</v>
      </c>
      <c r="F15" s="144" t="s">
        <v>290</v>
      </c>
      <c r="G15" s="161" t="s">
        <v>269</v>
      </c>
      <c r="H15" s="83">
        <v>3</v>
      </c>
      <c r="I15" s="143" t="s">
        <v>270</v>
      </c>
      <c r="J15" s="144" t="s">
        <v>291</v>
      </c>
      <c r="K15" s="143" t="s">
        <v>272</v>
      </c>
      <c r="L15" s="368">
        <v>1</v>
      </c>
      <c r="M15" s="368">
        <v>1</v>
      </c>
      <c r="N15" s="368">
        <v>1</v>
      </c>
      <c r="O15" s="368">
        <v>0</v>
      </c>
      <c r="P15" s="144" t="s">
        <v>273</v>
      </c>
      <c r="Q15" s="144" t="s">
        <v>292</v>
      </c>
      <c r="R15" s="83">
        <v>0</v>
      </c>
      <c r="S15" s="83">
        <v>0</v>
      </c>
      <c r="T15" s="83">
        <v>0</v>
      </c>
      <c r="U15" s="83">
        <v>0</v>
      </c>
      <c r="V15" s="83">
        <v>0</v>
      </c>
      <c r="W15" s="83">
        <v>0</v>
      </c>
      <c r="X15" s="83">
        <v>0</v>
      </c>
      <c r="Y15" s="83">
        <v>0</v>
      </c>
      <c r="Z15" s="83">
        <v>0</v>
      </c>
      <c r="AA15" s="83">
        <v>0</v>
      </c>
      <c r="AB15" s="83">
        <v>0</v>
      </c>
      <c r="AC15" s="83">
        <v>1</v>
      </c>
      <c r="AD15" s="169">
        <f>+Meta.3!D36</f>
        <v>0</v>
      </c>
      <c r="AE15" s="169">
        <f>+Meta.3!E36</f>
        <v>0</v>
      </c>
      <c r="AF15" s="169">
        <f>+Meta.3!F36</f>
        <v>0</v>
      </c>
      <c r="AG15" s="169">
        <f>+Meta.3!G36</f>
        <v>0</v>
      </c>
      <c r="AH15" s="169">
        <f>+Meta.3!H36</f>
        <v>0</v>
      </c>
      <c r="AI15" s="169">
        <f>+Meta.3!I36</f>
        <v>0</v>
      </c>
      <c r="AJ15" s="169">
        <f>+Meta.3!J36</f>
        <v>0</v>
      </c>
      <c r="AK15" s="169">
        <f>+Meta.3!K36</f>
        <v>4.0579710144927547E-2</v>
      </c>
      <c r="AL15" s="169">
        <f>+Meta.3!L36</f>
        <v>0.17971014492753629</v>
      </c>
      <c r="AM15" s="169">
        <f>+Meta.3!M36</f>
        <v>0.25797101449275367</v>
      </c>
      <c r="AN15" s="169">
        <f>+Meta.3!N36</f>
        <v>0.29420289855072468</v>
      </c>
      <c r="AO15" s="169">
        <f>+Meta.3!O36</f>
        <v>0</v>
      </c>
      <c r="AP15" s="83">
        <f t="shared" si="0"/>
        <v>0.7724637681159422</v>
      </c>
      <c r="AQ15" s="170" cm="1">
        <f t="array" ref="AQ15">+SUM(AD15:AO15/L15)</f>
        <v>0.7724637681159422</v>
      </c>
      <c r="AR15" s="271" t="s">
        <v>293</v>
      </c>
      <c r="AS15" s="524" t="s">
        <v>294</v>
      </c>
      <c r="AT15" s="271" t="s">
        <v>200</v>
      </c>
      <c r="AU15" s="146" t="s">
        <v>279</v>
      </c>
      <c r="AV15" s="146" t="s">
        <v>279</v>
      </c>
      <c r="AX15" s="271"/>
      <c r="AY15" s="147">
        <f>LEN(AX15)</f>
        <v>0</v>
      </c>
      <c r="BG15" s="147" t="s">
        <v>295</v>
      </c>
    </row>
    <row r="16" spans="1:59" s="147" customFormat="1" ht="409.15" customHeight="1" x14ac:dyDescent="0.25">
      <c r="A16" s="527"/>
      <c r="B16" s="144"/>
      <c r="C16" s="144"/>
      <c r="D16" s="144" t="s">
        <v>296</v>
      </c>
      <c r="E16" s="144" t="s">
        <v>289</v>
      </c>
      <c r="F16" s="144" t="s">
        <v>290</v>
      </c>
      <c r="G16" s="161" t="s">
        <v>269</v>
      </c>
      <c r="H16" s="83">
        <v>3</v>
      </c>
      <c r="I16" s="143" t="s">
        <v>270</v>
      </c>
      <c r="J16" s="144" t="s">
        <v>291</v>
      </c>
      <c r="K16" s="143" t="s">
        <v>272</v>
      </c>
      <c r="L16" s="368">
        <v>1</v>
      </c>
      <c r="M16" s="368">
        <v>1</v>
      </c>
      <c r="N16" s="368">
        <v>1</v>
      </c>
      <c r="O16" s="368">
        <v>0</v>
      </c>
      <c r="P16" s="144" t="s">
        <v>273</v>
      </c>
      <c r="Q16" s="144" t="s">
        <v>292</v>
      </c>
      <c r="R16" s="83">
        <v>0</v>
      </c>
      <c r="S16" s="83">
        <v>0</v>
      </c>
      <c r="T16" s="83">
        <v>0</v>
      </c>
      <c r="U16" s="83">
        <v>0</v>
      </c>
      <c r="V16" s="83">
        <v>0</v>
      </c>
      <c r="W16" s="83">
        <v>0</v>
      </c>
      <c r="X16" s="83">
        <v>0</v>
      </c>
      <c r="Y16" s="83">
        <v>0</v>
      </c>
      <c r="Z16" s="83">
        <v>0</v>
      </c>
      <c r="AA16" s="83">
        <v>0</v>
      </c>
      <c r="AB16" s="83">
        <v>0</v>
      </c>
      <c r="AC16" s="83">
        <v>1</v>
      </c>
      <c r="AD16" s="169">
        <f>+Meta.4!D36</f>
        <v>0</v>
      </c>
      <c r="AE16" s="169">
        <f>+Meta.4!E36</f>
        <v>0</v>
      </c>
      <c r="AF16" s="169">
        <f>+Meta.4!F36</f>
        <v>0</v>
      </c>
      <c r="AG16" s="169">
        <f>+Meta.4!G36</f>
        <v>0</v>
      </c>
      <c r="AH16" s="169">
        <f>+Meta.4!H36</f>
        <v>0</v>
      </c>
      <c r="AI16" s="169">
        <f>+Meta.4!I36</f>
        <v>0</v>
      </c>
      <c r="AJ16" s="169">
        <f>+Meta.4!J36</f>
        <v>0</v>
      </c>
      <c r="AK16" s="169">
        <f>+Meta.4!K36</f>
        <v>0.20833333333333334</v>
      </c>
      <c r="AL16" s="169">
        <f>+Meta.4!L36</f>
        <v>0.2416666666666667</v>
      </c>
      <c r="AM16" s="169">
        <f>+Meta.4!M36</f>
        <v>0.35000000000000003</v>
      </c>
      <c r="AN16" s="169">
        <f>+Meta.4!N36</f>
        <v>0.1</v>
      </c>
      <c r="AO16" s="169">
        <f>+Meta.4!O36</f>
        <v>0</v>
      </c>
      <c r="AP16" s="83">
        <f t="shared" si="0"/>
        <v>0.9</v>
      </c>
      <c r="AQ16" s="170" cm="1">
        <f t="array" ref="AQ16">+SUM(AD16:AO16/L16)</f>
        <v>0.9</v>
      </c>
      <c r="AR16" s="271" t="s">
        <v>297</v>
      </c>
      <c r="AS16" s="524" t="s">
        <v>298</v>
      </c>
      <c r="AT16" s="536" t="s">
        <v>223</v>
      </c>
      <c r="AU16" s="146" t="s">
        <v>279</v>
      </c>
      <c r="AV16" s="146" t="s">
        <v>279</v>
      </c>
      <c r="BG16" s="147" t="s">
        <v>299</v>
      </c>
    </row>
    <row r="17" spans="1:48" s="147" customFormat="1" ht="322.14999999999998" customHeight="1" x14ac:dyDescent="0.25">
      <c r="A17" s="528"/>
      <c r="B17" s="144"/>
      <c r="C17" s="144"/>
      <c r="D17" s="144" t="s">
        <v>300</v>
      </c>
      <c r="E17" s="144" t="s">
        <v>289</v>
      </c>
      <c r="F17" s="144" t="s">
        <v>290</v>
      </c>
      <c r="G17" s="161" t="s">
        <v>269</v>
      </c>
      <c r="H17" s="83">
        <v>3</v>
      </c>
      <c r="I17" s="143" t="s">
        <v>270</v>
      </c>
      <c r="J17" s="144" t="s">
        <v>291</v>
      </c>
      <c r="K17" s="143" t="s">
        <v>272</v>
      </c>
      <c r="L17" s="368">
        <v>1</v>
      </c>
      <c r="M17" s="368">
        <v>1</v>
      </c>
      <c r="N17" s="368">
        <v>1</v>
      </c>
      <c r="O17" s="368">
        <v>0</v>
      </c>
      <c r="P17" s="144" t="s">
        <v>273</v>
      </c>
      <c r="Q17" s="144" t="s">
        <v>292</v>
      </c>
      <c r="R17" s="83">
        <v>0</v>
      </c>
      <c r="S17" s="83">
        <v>0</v>
      </c>
      <c r="T17" s="83">
        <v>0</v>
      </c>
      <c r="U17" s="83">
        <v>0</v>
      </c>
      <c r="V17" s="83">
        <v>0</v>
      </c>
      <c r="W17" s="83">
        <v>0</v>
      </c>
      <c r="X17" s="83">
        <v>0</v>
      </c>
      <c r="Y17" s="83">
        <v>0</v>
      </c>
      <c r="Z17" s="83">
        <v>0</v>
      </c>
      <c r="AA17" s="83">
        <v>0</v>
      </c>
      <c r="AB17" s="83">
        <v>0</v>
      </c>
      <c r="AC17" s="83">
        <v>1</v>
      </c>
      <c r="AD17" s="169">
        <f>+Meta.5!D36</f>
        <v>0</v>
      </c>
      <c r="AE17" s="169">
        <f>+Meta.5!E36</f>
        <v>0</v>
      </c>
      <c r="AF17" s="169">
        <f>+Meta.5!F36</f>
        <v>0</v>
      </c>
      <c r="AG17" s="169">
        <f>+Meta.5!G36</f>
        <v>0</v>
      </c>
      <c r="AH17" s="169">
        <f>+Meta.5!H36</f>
        <v>0</v>
      </c>
      <c r="AI17" s="169">
        <f>+Meta.5!I36</f>
        <v>0</v>
      </c>
      <c r="AJ17" s="169">
        <f>+Meta.5!J36</f>
        <v>0</v>
      </c>
      <c r="AK17" s="169">
        <f>+Meta.5!K36</f>
        <v>0.15555555555555556</v>
      </c>
      <c r="AL17" s="169">
        <f>+Meta.5!L36</f>
        <v>0.26666666666666666</v>
      </c>
      <c r="AM17" s="169">
        <f>+Meta.5!M36</f>
        <v>0.25555555555555554</v>
      </c>
      <c r="AN17" s="169">
        <f>+Meta.5!N36</f>
        <v>0.18888888888888891</v>
      </c>
      <c r="AO17" s="169">
        <f>+Meta.5!O36</f>
        <v>0</v>
      </c>
      <c r="AP17" s="549">
        <f t="shared" si="0"/>
        <v>0.8666666666666667</v>
      </c>
      <c r="AQ17" s="550" cm="1">
        <f t="array" ref="AQ17">+SUM(AD17:AO17/L17)</f>
        <v>0.8666666666666667</v>
      </c>
      <c r="AR17" s="551" t="s">
        <v>301</v>
      </c>
      <c r="AS17" s="524" t="s">
        <v>302</v>
      </c>
      <c r="AT17" s="537" t="s">
        <v>238</v>
      </c>
      <c r="AU17" s="551" t="s">
        <v>279</v>
      </c>
      <c r="AV17" s="146" t="s">
        <v>279</v>
      </c>
    </row>
    <row r="18" spans="1:48" s="147" customFormat="1" ht="31.5" customHeight="1" x14ac:dyDescent="0.2">
      <c r="A18" s="144"/>
      <c r="B18" s="144"/>
      <c r="C18" s="144"/>
      <c r="D18" s="144"/>
      <c r="E18" s="144"/>
      <c r="F18" s="144"/>
      <c r="G18" s="161"/>
      <c r="H18" s="83"/>
      <c r="I18" s="143"/>
      <c r="J18" s="144"/>
      <c r="K18" s="144"/>
      <c r="L18" s="368"/>
      <c r="M18" s="368"/>
      <c r="N18" s="368"/>
      <c r="O18" s="368"/>
      <c r="P18" s="144"/>
      <c r="Q18" s="144"/>
      <c r="R18" s="83"/>
      <c r="S18" s="83"/>
      <c r="T18" s="83"/>
      <c r="U18" s="83"/>
      <c r="V18" s="83"/>
      <c r="W18" s="83"/>
      <c r="X18" s="83"/>
      <c r="Y18" s="83"/>
      <c r="Z18" s="83"/>
      <c r="AA18" s="83"/>
      <c r="AB18" s="83"/>
      <c r="AC18" s="83"/>
      <c r="AD18" s="83"/>
      <c r="AE18" s="83"/>
      <c r="AF18" s="83"/>
      <c r="AG18" s="83"/>
      <c r="AH18" s="83"/>
      <c r="AI18" s="83"/>
      <c r="AJ18" s="83"/>
      <c r="AK18" s="83"/>
      <c r="AL18" s="83"/>
      <c r="AM18" s="83"/>
      <c r="AN18" s="83"/>
      <c r="AO18" s="545"/>
      <c r="AP18" s="538" t="str">
        <f t="shared" si="0"/>
        <v xml:space="preserve"> </v>
      </c>
      <c r="AQ18" s="539" t="str">
        <f>IF(G18="suma",AP18/#REF!,IF(G18="creciente",AP18/(MAX(R18:AC18)),IF(G18="DECRECIENTE",AP18/(O18-(MIN(R18:AC18))),IF(G18="CONSTANTE",AP18/AVERAGE(R18:AC18)," "))))</f>
        <v xml:space="preserve"> </v>
      </c>
      <c r="AR18" s="540"/>
      <c r="AS18" s="540"/>
      <c r="AT18" s="541" t="s">
        <v>303</v>
      </c>
      <c r="AU18" s="540"/>
      <c r="AV18" s="547"/>
    </row>
    <row r="19" spans="1:48" s="147" customFormat="1" ht="31.5" customHeight="1" x14ac:dyDescent="0.25">
      <c r="A19" s="144"/>
      <c r="B19" s="144"/>
      <c r="C19" s="144"/>
      <c r="D19" s="144"/>
      <c r="E19" s="144"/>
      <c r="F19" s="144"/>
      <c r="G19" s="161"/>
      <c r="H19" s="83"/>
      <c r="I19" s="143"/>
      <c r="J19" s="144"/>
      <c r="K19" s="144"/>
      <c r="L19" s="368"/>
      <c r="M19" s="368"/>
      <c r="N19" s="368"/>
      <c r="O19" s="368"/>
      <c r="P19" s="144"/>
      <c r="Q19" s="144"/>
      <c r="R19" s="83"/>
      <c r="S19" s="83"/>
      <c r="T19" s="83"/>
      <c r="U19" s="83"/>
      <c r="V19" s="83"/>
      <c r="W19" s="83"/>
      <c r="X19" s="83"/>
      <c r="Y19" s="83"/>
      <c r="Z19" s="83"/>
      <c r="AA19" s="83"/>
      <c r="AB19" s="83"/>
      <c r="AC19" s="83"/>
      <c r="AD19" s="83"/>
      <c r="AE19" s="83"/>
      <c r="AF19" s="83"/>
      <c r="AG19" s="83"/>
      <c r="AH19" s="83"/>
      <c r="AI19" s="83"/>
      <c r="AJ19" s="83"/>
      <c r="AK19" s="83"/>
      <c r="AL19" s="83"/>
      <c r="AM19" s="83"/>
      <c r="AN19" s="83"/>
      <c r="AO19" s="545"/>
      <c r="AP19" s="538" t="str">
        <f t="shared" si="0"/>
        <v xml:space="preserve"> </v>
      </c>
      <c r="AQ19" s="539" t="str">
        <f>IF(G19="suma",AP19/#REF!,IF(G19="creciente",AP19/(MAX(R19:AC19)),IF(G19="DECRECIENTE",AP19/(O19-(MIN(R19:AC19))),IF(G19="CONSTANTE",AP19/AVERAGE(R19:AC19)," "))))</f>
        <v xml:space="preserve"> </v>
      </c>
      <c r="AR19" s="540"/>
      <c r="AS19" s="540"/>
      <c r="AT19" s="542"/>
      <c r="AU19" s="540"/>
      <c r="AV19" s="547"/>
    </row>
    <row r="20" spans="1:48" ht="31.5" customHeight="1" x14ac:dyDescent="0.2">
      <c r="A20" s="530" t="s">
        <v>197</v>
      </c>
      <c r="B20" s="531"/>
      <c r="C20" s="531"/>
      <c r="D20" s="531"/>
      <c r="E20" s="531"/>
      <c r="F20" s="531"/>
      <c r="G20" s="531"/>
      <c r="H20" s="531"/>
      <c r="I20" s="531"/>
      <c r="J20" s="531"/>
      <c r="K20" s="531"/>
      <c r="L20" s="531"/>
      <c r="M20" s="531"/>
      <c r="N20" s="531"/>
      <c r="O20" s="531"/>
      <c r="P20" s="531"/>
      <c r="Q20" s="531"/>
      <c r="R20" s="531"/>
      <c r="S20" s="531"/>
      <c r="T20" s="531"/>
      <c r="U20" s="531"/>
      <c r="V20" s="531"/>
      <c r="W20" s="531"/>
      <c r="X20" s="531"/>
      <c r="Y20" s="531"/>
      <c r="Z20" s="531"/>
      <c r="AA20" s="531"/>
      <c r="AB20" s="531"/>
      <c r="AC20" s="531"/>
      <c r="AD20" s="531"/>
      <c r="AE20" s="531"/>
      <c r="AF20" s="531"/>
      <c r="AG20" s="531"/>
      <c r="AH20" s="531"/>
      <c r="AI20" s="531"/>
      <c r="AJ20" s="531"/>
      <c r="AK20" s="531"/>
      <c r="AL20" s="531"/>
      <c r="AM20" s="531"/>
      <c r="AN20" s="531"/>
      <c r="AO20" s="531"/>
      <c r="AP20" s="543"/>
      <c r="AQ20" s="543"/>
      <c r="AR20" s="543"/>
      <c r="AS20" s="543"/>
      <c r="AT20" s="541" t="s">
        <v>304</v>
      </c>
      <c r="AU20" s="543"/>
      <c r="AV20" s="532"/>
    </row>
    <row r="21" spans="1:48" ht="59.65" customHeight="1" x14ac:dyDescent="0.25">
      <c r="A21" s="533" t="s">
        <v>305</v>
      </c>
      <c r="B21" s="529" t="s">
        <v>306</v>
      </c>
      <c r="C21" s="529"/>
      <c r="D21" s="529"/>
      <c r="E21" s="534" t="s">
        <v>307</v>
      </c>
      <c r="F21" s="534"/>
      <c r="G21" s="534"/>
      <c r="H21" s="534"/>
      <c r="I21" s="534"/>
      <c r="J21" s="534"/>
      <c r="K21" s="534"/>
      <c r="L21" s="534"/>
      <c r="M21" s="529" t="s">
        <v>306</v>
      </c>
      <c r="N21" s="529"/>
      <c r="O21" s="529"/>
      <c r="P21" s="529"/>
      <c r="Q21" s="529"/>
      <c r="R21" s="529" t="s">
        <v>306</v>
      </c>
      <c r="S21" s="529"/>
      <c r="T21" s="529"/>
      <c r="U21" s="529"/>
      <c r="V21" s="529"/>
      <c r="W21" s="529"/>
      <c r="X21" s="529"/>
      <c r="Y21" s="529"/>
      <c r="Z21" s="529" t="s">
        <v>306</v>
      </c>
      <c r="AA21" s="529"/>
      <c r="AB21" s="529"/>
      <c r="AC21" s="529"/>
      <c r="AD21" s="529"/>
      <c r="AE21" s="529"/>
      <c r="AF21" s="529"/>
      <c r="AG21" s="529"/>
      <c r="AH21" s="529"/>
      <c r="AI21" s="529"/>
      <c r="AJ21" s="529"/>
      <c r="AK21" s="529"/>
      <c r="AL21" s="534" t="s">
        <v>308</v>
      </c>
      <c r="AM21" s="534"/>
      <c r="AN21" s="534"/>
      <c r="AO21" s="546"/>
      <c r="AP21" s="544" t="s">
        <v>309</v>
      </c>
      <c r="AQ21" s="544"/>
      <c r="AR21" s="544"/>
      <c r="AS21" s="544"/>
      <c r="AT21" s="542"/>
      <c r="AU21" s="544"/>
      <c r="AV21" s="548"/>
    </row>
    <row r="22" spans="1:48" ht="46.15" customHeight="1" x14ac:dyDescent="0.2">
      <c r="A22" s="533"/>
      <c r="B22" s="529" t="s">
        <v>310</v>
      </c>
      <c r="C22" s="529"/>
      <c r="D22" s="529"/>
      <c r="E22" s="534"/>
      <c r="F22" s="534"/>
      <c r="G22" s="534"/>
      <c r="H22" s="534"/>
      <c r="I22" s="534"/>
      <c r="J22" s="534"/>
      <c r="K22" s="534"/>
      <c r="L22" s="534"/>
      <c r="M22" s="529" t="s">
        <v>311</v>
      </c>
      <c r="N22" s="529"/>
      <c r="O22" s="529"/>
      <c r="P22" s="529"/>
      <c r="Q22" s="529"/>
      <c r="R22" s="529" t="s">
        <v>312</v>
      </c>
      <c r="S22" s="529"/>
      <c r="T22" s="529"/>
      <c r="U22" s="529"/>
      <c r="V22" s="529"/>
      <c r="W22" s="529"/>
      <c r="X22" s="529"/>
      <c r="Y22" s="529"/>
      <c r="Z22" s="529" t="s">
        <v>313</v>
      </c>
      <c r="AA22" s="529"/>
      <c r="AB22" s="529"/>
      <c r="AC22" s="529"/>
      <c r="AD22" s="529"/>
      <c r="AE22" s="529"/>
      <c r="AF22" s="529"/>
      <c r="AG22" s="529"/>
      <c r="AH22" s="529"/>
      <c r="AI22" s="529"/>
      <c r="AJ22" s="529"/>
      <c r="AK22" s="529"/>
      <c r="AL22" s="534"/>
      <c r="AM22" s="534"/>
      <c r="AN22" s="534"/>
      <c r="AO22" s="546"/>
      <c r="AP22" s="544" t="s">
        <v>313</v>
      </c>
      <c r="AQ22" s="544"/>
      <c r="AR22" s="544"/>
      <c r="AS22" s="544"/>
      <c r="AT22" s="541" t="s">
        <v>314</v>
      </c>
      <c r="AU22" s="544"/>
      <c r="AV22" s="548"/>
    </row>
    <row r="23" spans="1:48" ht="33" customHeight="1" x14ac:dyDescent="0.25">
      <c r="A23" s="533"/>
      <c r="B23" s="529" t="s">
        <v>315</v>
      </c>
      <c r="C23" s="529"/>
      <c r="D23" s="529"/>
      <c r="E23" s="534"/>
      <c r="F23" s="534"/>
      <c r="G23" s="534"/>
      <c r="H23" s="534"/>
      <c r="I23" s="534"/>
      <c r="J23" s="534"/>
      <c r="K23" s="534"/>
      <c r="L23" s="534"/>
      <c r="M23" s="529" t="s">
        <v>316</v>
      </c>
      <c r="N23" s="529"/>
      <c r="O23" s="529"/>
      <c r="P23" s="529"/>
      <c r="Q23" s="529"/>
      <c r="R23" s="529" t="s">
        <v>317</v>
      </c>
      <c r="S23" s="529"/>
      <c r="T23" s="529"/>
      <c r="U23" s="529"/>
      <c r="V23" s="529"/>
      <c r="W23" s="529"/>
      <c r="X23" s="529"/>
      <c r="Y23" s="529"/>
      <c r="Z23" s="529" t="s">
        <v>318</v>
      </c>
      <c r="AA23" s="529"/>
      <c r="AB23" s="529"/>
      <c r="AC23" s="529"/>
      <c r="AD23" s="529"/>
      <c r="AE23" s="529"/>
      <c r="AF23" s="529"/>
      <c r="AG23" s="529"/>
      <c r="AH23" s="529"/>
      <c r="AI23" s="529"/>
      <c r="AJ23" s="529"/>
      <c r="AK23" s="529"/>
      <c r="AL23" s="534"/>
      <c r="AM23" s="534"/>
      <c r="AN23" s="534"/>
      <c r="AO23" s="546"/>
      <c r="AP23" s="544" t="s">
        <v>319</v>
      </c>
      <c r="AQ23" s="544"/>
      <c r="AR23" s="544"/>
      <c r="AS23" s="544"/>
      <c r="AT23" s="544"/>
      <c r="AU23" s="544"/>
      <c r="AV23" s="548"/>
    </row>
  </sheetData>
  <mergeCells count="35">
    <mergeCell ref="D10:AC10"/>
    <mergeCell ref="A11:C11"/>
    <mergeCell ref="H11:H12"/>
    <mergeCell ref="Q11:Q12"/>
    <mergeCell ref="L11:O11"/>
    <mergeCell ref="AU1:AV1"/>
    <mergeCell ref="AU2:AV2"/>
    <mergeCell ref="AU3:AV3"/>
    <mergeCell ref="AU4:AV4"/>
    <mergeCell ref="A1:AT1"/>
    <mergeCell ref="A2:AT2"/>
    <mergeCell ref="A3:AT4"/>
    <mergeCell ref="AV5:AV12"/>
    <mergeCell ref="AD11:AO11"/>
    <mergeCell ref="AD5:AQ10"/>
    <mergeCell ref="AR5:AR12"/>
    <mergeCell ref="AP11:AQ11"/>
    <mergeCell ref="AS5:AS12"/>
    <mergeCell ref="AT5:AT12"/>
    <mergeCell ref="D11:D12"/>
    <mergeCell ref="E11:E12"/>
    <mergeCell ref="F11:F12"/>
    <mergeCell ref="K11:K12"/>
    <mergeCell ref="AU5:AU12"/>
    <mergeCell ref="R11:AC11"/>
    <mergeCell ref="P11:P12"/>
    <mergeCell ref="J11:J12"/>
    <mergeCell ref="I11:I12"/>
    <mergeCell ref="A5:AC5"/>
    <mergeCell ref="A6:A8"/>
    <mergeCell ref="B6:C8"/>
    <mergeCell ref="G11:G12"/>
    <mergeCell ref="A9:C9"/>
    <mergeCell ref="A10:C10"/>
    <mergeCell ref="D9:AC9"/>
  </mergeCells>
  <hyperlinks>
    <hyperlink ref="AS13" r:id="rId1" xr:uid="{9C8AF264-689D-48A4-9384-77974B948555}"/>
    <hyperlink ref="AS15" r:id="rId2" xr:uid="{3A2A07D9-C35C-4833-B3E2-33D339C02B2A}"/>
    <hyperlink ref="AS14" r:id="rId3" xr:uid="{11E3D17D-B895-428C-A2D3-7EB57F634CB3}"/>
    <hyperlink ref="AS16" r:id="rId4" xr:uid="{8A8B7FC9-06DE-458D-BA65-179274CE9B3E}"/>
    <hyperlink ref="AS17" r:id="rId5" xr:uid="{40EFB2B3-1616-4868-8776-5073288F3AF5}"/>
  </hyperlinks>
  <printOptions horizontalCentered="1"/>
  <pageMargins left="0.39370078740157483" right="0.39370078740157483" top="0.39370078740157483" bottom="0.39370078740157483" header="0" footer="0"/>
  <pageSetup scale="19" orientation="landscape" r:id="rId6"/>
  <drawing r:id="rId7"/>
  <legacyDrawing r:id="rId8"/>
  <mc:AlternateContent xmlns:mc="http://schemas.openxmlformats.org/markup-compatibility/2006">
    <mc:Choice Requires="x14">
      <controls>
        <mc:AlternateContent xmlns:mc="http://schemas.openxmlformats.org/markup-compatibility/2006">
          <mc:Choice Requires="x14">
            <control shapeId="75811" r:id="rId9" name="Control 35">
              <controlPr defaultSize="0" print="0" uiObject="1" autoLine="0" autoPict="0">
                <anchor moveWithCells="1" sizeWithCells="1">
                  <from>
                    <xdr:col>47</xdr:col>
                    <xdr:colOff>0</xdr:colOff>
                    <xdr:row>13</xdr:row>
                    <xdr:rowOff>0</xdr:rowOff>
                  </from>
                  <to>
                    <xdr:col>48</xdr:col>
                    <xdr:colOff>0</xdr:colOff>
                    <xdr:row>14</xdr:row>
                    <xdr:rowOff>0</xdr:rowOff>
                  </to>
                </anchor>
              </controlPr>
            </control>
          </mc:Choice>
        </mc:AlternateContent>
        <mc:AlternateContent xmlns:mc="http://schemas.openxmlformats.org/markup-compatibility/2006">
          <mc:Choice Requires="x14">
            <control shapeId="75812" r:id="rId10" name="Control 36">
              <controlPr defaultSize="0" print="0" uiObject="1" autoLine="0" autoPict="0">
                <anchor moveWithCells="1" sizeWithCells="1">
                  <from>
                    <xdr:col>41</xdr:col>
                    <xdr:colOff>0</xdr:colOff>
                    <xdr:row>2</xdr:row>
                    <xdr:rowOff>0</xdr:rowOff>
                  </from>
                  <to>
                    <xdr:col>48</xdr:col>
                    <xdr:colOff>0</xdr:colOff>
                    <xdr:row>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30B5F1B6-729C-44FA-A4F3-34AD2BA71C5F}">
          <x14:formula1>
            <xm:f>listas!$A$3:$A$6</xm:f>
          </x14:formula1>
          <xm:sqref>D10:AC10</xm:sqref>
        </x14:dataValidation>
        <x14:dataValidation type="list" allowBlank="1" showInputMessage="1" showErrorMessage="1" xr:uid="{BB947DFD-876D-4CBA-B4F9-43960E36A95A}">
          <x14:formula1>
            <xm:f>listas!$H$2:$H$5</xm:f>
          </x14:formula1>
          <xm:sqref>G13:G19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A149B-F447-4E4F-A9F2-C336364BF0D7}">
  <sheetPr codeName="Hoja3">
    <tabColor theme="7" tint="0.39997558519241921"/>
  </sheetPr>
  <dimension ref="A1:B13"/>
  <sheetViews>
    <sheetView workbookViewId="0">
      <selection activeCell="B3" sqref="B3"/>
    </sheetView>
  </sheetViews>
  <sheetFormatPr baseColWidth="10" defaultColWidth="11.42578125" defaultRowHeight="15" x14ac:dyDescent="0.25"/>
  <sheetData>
    <row r="1" spans="1:2" x14ac:dyDescent="0.25">
      <c r="A1" t="s">
        <v>320</v>
      </c>
      <c r="B1" t="s">
        <v>321</v>
      </c>
    </row>
    <row r="2" spans="1:2" x14ac:dyDescent="0.25">
      <c r="A2" t="s">
        <v>322</v>
      </c>
      <c r="B2" t="s">
        <v>323</v>
      </c>
    </row>
    <row r="3" spans="1:2" x14ac:dyDescent="0.25">
      <c r="A3" t="s">
        <v>324</v>
      </c>
      <c r="B3" t="s">
        <v>325</v>
      </c>
    </row>
    <row r="4" spans="1:2" x14ac:dyDescent="0.25">
      <c r="A4" t="s">
        <v>326</v>
      </c>
    </row>
    <row r="5" spans="1:2" x14ac:dyDescent="0.25">
      <c r="A5" t="s">
        <v>327</v>
      </c>
    </row>
    <row r="6" spans="1:2" x14ac:dyDescent="0.25">
      <c r="A6" t="s">
        <v>328</v>
      </c>
    </row>
    <row r="7" spans="1:2" x14ac:dyDescent="0.25">
      <c r="A7" t="s">
        <v>329</v>
      </c>
    </row>
    <row r="8" spans="1:2" x14ac:dyDescent="0.25">
      <c r="A8" t="s">
        <v>330</v>
      </c>
    </row>
    <row r="9" spans="1:2" x14ac:dyDescent="0.25">
      <c r="A9" t="s">
        <v>331</v>
      </c>
    </row>
    <row r="10" spans="1:2" x14ac:dyDescent="0.25">
      <c r="A10" t="s">
        <v>332</v>
      </c>
    </row>
    <row r="11" spans="1:2" x14ac:dyDescent="0.25">
      <c r="A11" t="s">
        <v>333</v>
      </c>
    </row>
    <row r="12" spans="1:2" x14ac:dyDescent="0.25">
      <c r="A12" t="s">
        <v>334</v>
      </c>
    </row>
    <row r="13" spans="1:2" x14ac:dyDescent="0.25">
      <c r="A13" t="s">
        <v>335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theme="7" tint="0.39997558519241921"/>
    <pageSetUpPr fitToPage="1"/>
  </sheetPr>
  <dimension ref="A1:BK130"/>
  <sheetViews>
    <sheetView view="pageBreakPreview" topLeftCell="A3" zoomScale="85" zoomScaleNormal="60" zoomScaleSheetLayoutView="85" workbookViewId="0">
      <selection activeCell="O12" sqref="O12:O31"/>
    </sheetView>
  </sheetViews>
  <sheetFormatPr baseColWidth="10" defaultColWidth="19.42578125" defaultRowHeight="14.25" x14ac:dyDescent="0.25"/>
  <cols>
    <col min="1" max="1" width="29.5703125" style="15" bestFit="1" customWidth="1"/>
    <col min="2" max="9" width="11" style="15" customWidth="1"/>
    <col min="10" max="12" width="12.42578125" style="15" customWidth="1"/>
    <col min="13" max="13" width="19" style="15" bestFit="1" customWidth="1"/>
    <col min="14" max="16" width="12.42578125" style="15" customWidth="1"/>
    <col min="17" max="17" width="19.28515625" style="15" customWidth="1"/>
    <col min="18" max="18" width="12.140625" style="15" customWidth="1"/>
    <col min="19" max="19" width="26.7109375" style="15" customWidth="1"/>
    <col min="20" max="23" width="8.140625" style="15" customWidth="1"/>
    <col min="24" max="24" width="9.42578125" style="15" customWidth="1"/>
    <col min="25" max="25" width="8.140625" style="15" customWidth="1"/>
    <col min="26" max="30" width="7.85546875" style="15" customWidth="1"/>
    <col min="31" max="31" width="11.28515625" style="15" customWidth="1"/>
    <col min="32" max="32" width="2.28515625" style="15" customWidth="1"/>
    <col min="33" max="33" width="19.42578125" style="15" customWidth="1"/>
    <col min="34" max="34" width="11.140625" style="15" customWidth="1"/>
    <col min="35" max="44" width="11.28515625" style="15" customWidth="1"/>
    <col min="45" max="45" width="17.5703125" style="15" bestFit="1" customWidth="1"/>
    <col min="46" max="50" width="11.28515625" style="15" customWidth="1"/>
    <col min="51" max="51" width="19.5703125" style="15" bestFit="1" customWidth="1"/>
    <col min="52" max="63" width="8.85546875" style="15" customWidth="1"/>
    <col min="64" max="16384" width="19.42578125" style="15"/>
  </cols>
  <sheetData>
    <row r="1" spans="1:63" ht="15.95" customHeight="1" x14ac:dyDescent="0.25">
      <c r="A1" s="848" t="s">
        <v>121</v>
      </c>
      <c r="B1" s="848"/>
      <c r="C1" s="848"/>
      <c r="D1" s="848"/>
      <c r="E1" s="848"/>
      <c r="F1" s="848"/>
      <c r="G1" s="848"/>
      <c r="H1" s="848"/>
      <c r="I1" s="848"/>
      <c r="J1" s="848"/>
      <c r="K1" s="848"/>
      <c r="L1" s="848"/>
      <c r="M1" s="848"/>
      <c r="N1" s="848"/>
      <c r="O1" s="848"/>
      <c r="P1" s="848"/>
      <c r="Q1" s="848"/>
      <c r="R1" s="848"/>
      <c r="S1" s="848"/>
      <c r="T1" s="848"/>
      <c r="U1" s="848"/>
      <c r="V1" s="848"/>
      <c r="W1" s="848"/>
      <c r="X1" s="848"/>
      <c r="Y1" s="848"/>
      <c r="Z1" s="848"/>
      <c r="AA1" s="848"/>
      <c r="AB1" s="848"/>
      <c r="AC1" s="848"/>
      <c r="AD1" s="848"/>
      <c r="AE1" s="848"/>
      <c r="AF1" s="848"/>
      <c r="AG1" s="848"/>
      <c r="AH1" s="848"/>
      <c r="AI1" s="848"/>
      <c r="AJ1" s="848"/>
      <c r="AK1" s="848"/>
      <c r="AL1" s="848"/>
      <c r="AM1" s="848"/>
      <c r="AN1" s="848"/>
      <c r="AO1" s="848"/>
      <c r="AP1" s="848"/>
      <c r="AQ1" s="848"/>
      <c r="AR1" s="848"/>
      <c r="AS1" s="848"/>
      <c r="AT1" s="848"/>
      <c r="AU1" s="848"/>
      <c r="AV1" s="848"/>
      <c r="AW1" s="848"/>
      <c r="AX1" s="848"/>
      <c r="AY1" s="848"/>
      <c r="AZ1" s="848"/>
      <c r="BA1" s="848"/>
      <c r="BB1" s="848"/>
      <c r="BC1" s="848"/>
      <c r="BD1" s="848"/>
      <c r="BE1" s="848"/>
      <c r="BF1" s="848"/>
      <c r="BG1" s="848"/>
      <c r="BH1" s="848"/>
      <c r="BI1" s="849" t="s">
        <v>336</v>
      </c>
      <c r="BJ1" s="849"/>
      <c r="BK1" s="849"/>
    </row>
    <row r="2" spans="1:63" ht="15.95" customHeight="1" x14ac:dyDescent="0.25">
      <c r="A2" s="848" t="s">
        <v>123</v>
      </c>
      <c r="B2" s="848"/>
      <c r="C2" s="848"/>
      <c r="D2" s="848"/>
      <c r="E2" s="848"/>
      <c r="F2" s="848"/>
      <c r="G2" s="848"/>
      <c r="H2" s="848"/>
      <c r="I2" s="848"/>
      <c r="J2" s="848"/>
      <c r="K2" s="848"/>
      <c r="L2" s="848"/>
      <c r="M2" s="848"/>
      <c r="N2" s="848"/>
      <c r="O2" s="848"/>
      <c r="P2" s="848"/>
      <c r="Q2" s="848"/>
      <c r="R2" s="848"/>
      <c r="S2" s="848"/>
      <c r="T2" s="848"/>
      <c r="U2" s="848"/>
      <c r="V2" s="848"/>
      <c r="W2" s="848"/>
      <c r="X2" s="848"/>
      <c r="Y2" s="848"/>
      <c r="Z2" s="848"/>
      <c r="AA2" s="848"/>
      <c r="AB2" s="848"/>
      <c r="AC2" s="848"/>
      <c r="AD2" s="848"/>
      <c r="AE2" s="848"/>
      <c r="AF2" s="848"/>
      <c r="AG2" s="848"/>
      <c r="AH2" s="848"/>
      <c r="AI2" s="848"/>
      <c r="AJ2" s="848"/>
      <c r="AK2" s="848"/>
      <c r="AL2" s="848"/>
      <c r="AM2" s="848"/>
      <c r="AN2" s="848"/>
      <c r="AO2" s="848"/>
      <c r="AP2" s="848"/>
      <c r="AQ2" s="848"/>
      <c r="AR2" s="848"/>
      <c r="AS2" s="848"/>
      <c r="AT2" s="848"/>
      <c r="AU2" s="848"/>
      <c r="AV2" s="848"/>
      <c r="AW2" s="848"/>
      <c r="AX2" s="848"/>
      <c r="AY2" s="848"/>
      <c r="AZ2" s="848"/>
      <c r="BA2" s="848"/>
      <c r="BB2" s="848"/>
      <c r="BC2" s="848"/>
      <c r="BD2" s="848"/>
      <c r="BE2" s="848"/>
      <c r="BF2" s="848"/>
      <c r="BG2" s="848"/>
      <c r="BH2" s="848"/>
      <c r="BI2" s="849" t="s">
        <v>124</v>
      </c>
      <c r="BJ2" s="849"/>
      <c r="BK2" s="849"/>
    </row>
    <row r="3" spans="1:63" ht="26.1" customHeight="1" x14ac:dyDescent="0.25">
      <c r="A3" s="848" t="s">
        <v>337</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848"/>
      <c r="AJ3" s="848"/>
      <c r="AK3" s="848"/>
      <c r="AL3" s="848"/>
      <c r="AM3" s="848"/>
      <c r="AN3" s="848"/>
      <c r="AO3" s="848"/>
      <c r="AP3" s="848"/>
      <c r="AQ3" s="848"/>
      <c r="AR3" s="848"/>
      <c r="AS3" s="848"/>
      <c r="AT3" s="848"/>
      <c r="AU3" s="848"/>
      <c r="AV3" s="848"/>
      <c r="AW3" s="848"/>
      <c r="AX3" s="848"/>
      <c r="AY3" s="848"/>
      <c r="AZ3" s="848"/>
      <c r="BA3" s="848"/>
      <c r="BB3" s="848"/>
      <c r="BC3" s="848"/>
      <c r="BD3" s="848"/>
      <c r="BE3" s="848"/>
      <c r="BF3" s="848"/>
      <c r="BG3" s="848"/>
      <c r="BH3" s="848"/>
      <c r="BI3" s="849" t="s">
        <v>126</v>
      </c>
      <c r="BJ3" s="849"/>
      <c r="BK3" s="849"/>
    </row>
    <row r="4" spans="1:63" ht="15.95" customHeight="1" x14ac:dyDescent="0.25">
      <c r="A4" s="848" t="s">
        <v>338</v>
      </c>
      <c r="B4" s="848"/>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c r="AE4" s="848"/>
      <c r="AF4" s="848"/>
      <c r="AG4" s="848"/>
      <c r="AH4" s="848"/>
      <c r="AI4" s="848"/>
      <c r="AJ4" s="848"/>
      <c r="AK4" s="848"/>
      <c r="AL4" s="848"/>
      <c r="AM4" s="848"/>
      <c r="AN4" s="848"/>
      <c r="AO4" s="848"/>
      <c r="AP4" s="848"/>
      <c r="AQ4" s="848"/>
      <c r="AR4" s="848"/>
      <c r="AS4" s="848"/>
      <c r="AT4" s="848"/>
      <c r="AU4" s="848"/>
      <c r="AV4" s="848"/>
      <c r="AW4" s="848"/>
      <c r="AX4" s="848"/>
      <c r="AY4" s="848"/>
      <c r="AZ4" s="848"/>
      <c r="BA4" s="848"/>
      <c r="BB4" s="848"/>
      <c r="BC4" s="848"/>
      <c r="BD4" s="848"/>
      <c r="BE4" s="848"/>
      <c r="BF4" s="848"/>
      <c r="BG4" s="848"/>
      <c r="BH4" s="848"/>
      <c r="BI4" s="845" t="s">
        <v>339</v>
      </c>
      <c r="BJ4" s="846"/>
      <c r="BK4" s="847"/>
    </row>
    <row r="5" spans="1:63" ht="26.1" customHeight="1" x14ac:dyDescent="0.25">
      <c r="A5" s="850" t="s">
        <v>254</v>
      </c>
      <c r="B5" s="850"/>
      <c r="C5" s="850"/>
      <c r="D5" s="850"/>
      <c r="E5" s="850"/>
      <c r="F5" s="850"/>
      <c r="G5" s="850"/>
      <c r="H5" s="850"/>
      <c r="I5" s="850"/>
      <c r="J5" s="850"/>
      <c r="K5" s="850"/>
      <c r="L5" s="850"/>
      <c r="M5" s="850"/>
      <c r="N5" s="850"/>
      <c r="O5" s="850"/>
      <c r="P5" s="850"/>
      <c r="Q5" s="850"/>
      <c r="R5" s="850"/>
      <c r="S5" s="850"/>
      <c r="T5" s="850"/>
      <c r="U5" s="850"/>
      <c r="V5" s="850"/>
      <c r="W5" s="850"/>
      <c r="X5" s="850"/>
      <c r="Y5" s="850"/>
      <c r="Z5" s="850"/>
      <c r="AA5" s="850"/>
      <c r="AB5" s="850"/>
      <c r="AC5" s="850"/>
      <c r="AD5" s="850"/>
      <c r="AE5" s="850"/>
      <c r="AG5" s="850" t="s">
        <v>340</v>
      </c>
      <c r="AH5" s="850"/>
      <c r="AI5" s="850"/>
      <c r="AJ5" s="850"/>
      <c r="AK5" s="850"/>
      <c r="AL5" s="850"/>
      <c r="AM5" s="850"/>
      <c r="AN5" s="850"/>
      <c r="AO5" s="850"/>
      <c r="AP5" s="850"/>
      <c r="AQ5" s="850"/>
      <c r="AR5" s="850"/>
      <c r="AS5" s="850"/>
      <c r="AT5" s="850"/>
      <c r="AU5" s="850"/>
      <c r="AV5" s="850"/>
      <c r="AW5" s="850"/>
      <c r="AX5" s="850"/>
      <c r="AY5" s="850"/>
      <c r="AZ5" s="850"/>
      <c r="BA5" s="850"/>
      <c r="BB5" s="850"/>
      <c r="BC5" s="850"/>
      <c r="BD5" s="850"/>
      <c r="BE5" s="850"/>
      <c r="BF5" s="850"/>
      <c r="BG5" s="850"/>
      <c r="BH5" s="850"/>
      <c r="BI5" s="851"/>
      <c r="BJ5" s="851"/>
      <c r="BK5" s="851"/>
    </row>
    <row r="6" spans="1:63" ht="31.5" customHeight="1" x14ac:dyDescent="0.25">
      <c r="A6" s="94" t="s">
        <v>341</v>
      </c>
      <c r="B6" s="856">
        <v>45639</v>
      </c>
      <c r="C6" s="857"/>
      <c r="D6" s="857"/>
      <c r="E6" s="857"/>
      <c r="F6" s="857"/>
      <c r="G6" s="857"/>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7"/>
      <c r="AY6" s="857"/>
      <c r="AZ6" s="857"/>
      <c r="BA6" s="857"/>
      <c r="BB6" s="857"/>
      <c r="BC6" s="857"/>
      <c r="BD6" s="857"/>
      <c r="BE6" s="857"/>
      <c r="BF6" s="857"/>
      <c r="BG6" s="857"/>
      <c r="BH6" s="857"/>
      <c r="BI6" s="857"/>
      <c r="BJ6" s="857"/>
      <c r="BK6" s="857"/>
    </row>
    <row r="7" spans="1:63" ht="31.5" customHeight="1" x14ac:dyDescent="0.25">
      <c r="A7" s="95" t="s">
        <v>342</v>
      </c>
      <c r="B7" s="859" t="s">
        <v>343</v>
      </c>
      <c r="C7" s="860"/>
      <c r="D7" s="860"/>
      <c r="E7" s="860"/>
      <c r="F7" s="860"/>
      <c r="G7" s="860"/>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0"/>
      <c r="AG7" s="860"/>
      <c r="AH7" s="860"/>
      <c r="AI7" s="860"/>
      <c r="AJ7" s="860"/>
      <c r="AK7" s="860"/>
      <c r="AL7" s="860"/>
      <c r="AM7" s="860"/>
      <c r="AN7" s="860"/>
      <c r="AO7" s="860"/>
      <c r="AP7" s="860"/>
      <c r="AQ7" s="860"/>
      <c r="AR7" s="860"/>
      <c r="AS7" s="860"/>
      <c r="AT7" s="860"/>
      <c r="AU7" s="860"/>
      <c r="AV7" s="860"/>
      <c r="AW7" s="860"/>
      <c r="AX7" s="860"/>
      <c r="AY7" s="860"/>
      <c r="AZ7" s="860"/>
      <c r="BA7" s="860"/>
      <c r="BB7" s="860"/>
      <c r="BC7" s="860"/>
      <c r="BD7" s="860"/>
      <c r="BE7" s="860"/>
      <c r="BF7" s="860"/>
      <c r="BG7" s="860"/>
      <c r="BH7" s="860"/>
      <c r="BI7" s="860"/>
      <c r="BJ7" s="860"/>
      <c r="BK7" s="861"/>
    </row>
    <row r="8" spans="1:63" ht="18.75" customHeight="1" x14ac:dyDescent="0.25">
      <c r="A8" s="96"/>
      <c r="B8" s="96"/>
      <c r="C8" s="96"/>
      <c r="D8" s="96"/>
      <c r="E8" s="96"/>
      <c r="F8" s="96"/>
      <c r="G8" s="96"/>
      <c r="H8" s="96"/>
      <c r="I8" s="96"/>
      <c r="J8" s="96"/>
      <c r="K8" s="97"/>
      <c r="L8" s="97"/>
      <c r="M8" s="97"/>
      <c r="N8" s="97"/>
      <c r="O8" s="97"/>
      <c r="P8" s="97"/>
      <c r="Q8" s="97"/>
      <c r="R8" s="97"/>
      <c r="S8" s="97"/>
      <c r="T8" s="97"/>
      <c r="U8" s="97"/>
      <c r="V8" s="97"/>
      <c r="W8" s="97"/>
      <c r="X8" s="97"/>
      <c r="Y8" s="97"/>
      <c r="Z8" s="97"/>
      <c r="AA8" s="97"/>
      <c r="AB8" s="97"/>
      <c r="AC8" s="97"/>
      <c r="AD8" s="97"/>
      <c r="AE8" s="97"/>
      <c r="AG8" s="96"/>
      <c r="AH8" s="97"/>
      <c r="AI8" s="97"/>
      <c r="AJ8" s="97"/>
      <c r="AK8" s="97"/>
      <c r="AL8" s="97"/>
      <c r="AM8" s="97"/>
      <c r="AN8" s="97"/>
      <c r="AO8" s="97"/>
    </row>
    <row r="9" spans="1:63" ht="30" customHeight="1" x14ac:dyDescent="0.25">
      <c r="A9" s="852" t="s">
        <v>344</v>
      </c>
      <c r="B9" s="98" t="s">
        <v>141</v>
      </c>
      <c r="C9" s="98" t="s">
        <v>142</v>
      </c>
      <c r="D9" s="854" t="s">
        <v>143</v>
      </c>
      <c r="E9" s="855"/>
      <c r="F9" s="98" t="s">
        <v>144</v>
      </c>
      <c r="G9" s="98" t="s">
        <v>145</v>
      </c>
      <c r="H9" s="854" t="s">
        <v>146</v>
      </c>
      <c r="I9" s="855"/>
      <c r="J9" s="98" t="s">
        <v>147</v>
      </c>
      <c r="K9" s="98" t="s">
        <v>148</v>
      </c>
      <c r="L9" s="854" t="s">
        <v>149</v>
      </c>
      <c r="M9" s="855"/>
      <c r="N9" s="98" t="s">
        <v>150</v>
      </c>
      <c r="O9" s="98" t="s">
        <v>128</v>
      </c>
      <c r="P9" s="854" t="s">
        <v>151</v>
      </c>
      <c r="Q9" s="855"/>
      <c r="R9" s="854" t="s">
        <v>345</v>
      </c>
      <c r="S9" s="855"/>
      <c r="T9" s="854" t="s">
        <v>346</v>
      </c>
      <c r="U9" s="858"/>
      <c r="V9" s="858"/>
      <c r="W9" s="858"/>
      <c r="X9" s="858"/>
      <c r="Y9" s="855"/>
      <c r="Z9" s="854" t="s">
        <v>347</v>
      </c>
      <c r="AA9" s="858"/>
      <c r="AB9" s="858"/>
      <c r="AC9" s="858"/>
      <c r="AD9" s="858"/>
      <c r="AE9" s="855"/>
      <c r="AG9" s="852" t="s">
        <v>344</v>
      </c>
      <c r="AH9" s="98" t="s">
        <v>141</v>
      </c>
      <c r="AI9" s="98" t="s">
        <v>142</v>
      </c>
      <c r="AJ9" s="854" t="s">
        <v>143</v>
      </c>
      <c r="AK9" s="855"/>
      <c r="AL9" s="98" t="s">
        <v>144</v>
      </c>
      <c r="AM9" s="98" t="s">
        <v>145</v>
      </c>
      <c r="AN9" s="854" t="s">
        <v>146</v>
      </c>
      <c r="AO9" s="855"/>
      <c r="AP9" s="98" t="s">
        <v>147</v>
      </c>
      <c r="AQ9" s="98" t="s">
        <v>148</v>
      </c>
      <c r="AR9" s="854" t="s">
        <v>149</v>
      </c>
      <c r="AS9" s="855"/>
      <c r="AT9" s="98" t="s">
        <v>150</v>
      </c>
      <c r="AU9" s="98" t="s">
        <v>128</v>
      </c>
      <c r="AV9" s="854" t="s">
        <v>151</v>
      </c>
      <c r="AW9" s="855"/>
      <c r="AX9" s="854" t="s">
        <v>345</v>
      </c>
      <c r="AY9" s="855"/>
      <c r="AZ9" s="854" t="s">
        <v>346</v>
      </c>
      <c r="BA9" s="858"/>
      <c r="BB9" s="858"/>
      <c r="BC9" s="858"/>
      <c r="BD9" s="858"/>
      <c r="BE9" s="855"/>
      <c r="BF9" s="854" t="s">
        <v>347</v>
      </c>
      <c r="BG9" s="858"/>
      <c r="BH9" s="858"/>
      <c r="BI9" s="858"/>
      <c r="BJ9" s="858"/>
      <c r="BK9" s="855"/>
    </row>
    <row r="10" spans="1:63" ht="36" customHeight="1" x14ac:dyDescent="0.25">
      <c r="A10" s="853"/>
      <c r="B10" s="92" t="s">
        <v>348</v>
      </c>
      <c r="C10" s="92" t="s">
        <v>348</v>
      </c>
      <c r="D10" s="92" t="s">
        <v>348</v>
      </c>
      <c r="E10" s="92" t="s">
        <v>349</v>
      </c>
      <c r="F10" s="92" t="s">
        <v>348</v>
      </c>
      <c r="G10" s="92" t="s">
        <v>348</v>
      </c>
      <c r="H10" s="92" t="s">
        <v>348</v>
      </c>
      <c r="I10" s="92" t="s">
        <v>349</v>
      </c>
      <c r="J10" s="92" t="s">
        <v>348</v>
      </c>
      <c r="K10" s="92" t="s">
        <v>348</v>
      </c>
      <c r="L10" s="92" t="s">
        <v>348</v>
      </c>
      <c r="M10" s="92" t="s">
        <v>349</v>
      </c>
      <c r="N10" s="92" t="s">
        <v>348</v>
      </c>
      <c r="O10" s="92" t="s">
        <v>348</v>
      </c>
      <c r="P10" s="92" t="s">
        <v>348</v>
      </c>
      <c r="Q10" s="92" t="s">
        <v>349</v>
      </c>
      <c r="R10" s="92" t="s">
        <v>348</v>
      </c>
      <c r="S10" s="92" t="s">
        <v>349</v>
      </c>
      <c r="T10" s="99" t="s">
        <v>350</v>
      </c>
      <c r="U10" s="99" t="s">
        <v>351</v>
      </c>
      <c r="V10" s="99" t="s">
        <v>352</v>
      </c>
      <c r="W10" s="99" t="s">
        <v>353</v>
      </c>
      <c r="X10" s="100" t="s">
        <v>354</v>
      </c>
      <c r="Y10" s="99" t="s">
        <v>355</v>
      </c>
      <c r="Z10" s="92" t="s">
        <v>356</v>
      </c>
      <c r="AA10" s="101" t="s">
        <v>357</v>
      </c>
      <c r="AB10" s="92" t="s">
        <v>358</v>
      </c>
      <c r="AC10" s="92" t="s">
        <v>359</v>
      </c>
      <c r="AD10" s="92" t="s">
        <v>360</v>
      </c>
      <c r="AE10" s="92" t="s">
        <v>361</v>
      </c>
      <c r="AG10" s="853"/>
      <c r="AH10" s="92" t="s">
        <v>348</v>
      </c>
      <c r="AI10" s="92" t="s">
        <v>348</v>
      </c>
      <c r="AJ10" s="92" t="s">
        <v>348</v>
      </c>
      <c r="AK10" s="92" t="s">
        <v>349</v>
      </c>
      <c r="AL10" s="92" t="s">
        <v>348</v>
      </c>
      <c r="AM10" s="92" t="s">
        <v>348</v>
      </c>
      <c r="AN10" s="92" t="s">
        <v>348</v>
      </c>
      <c r="AO10" s="92" t="s">
        <v>349</v>
      </c>
      <c r="AP10" s="92" t="s">
        <v>348</v>
      </c>
      <c r="AQ10" s="92" t="s">
        <v>348</v>
      </c>
      <c r="AR10" s="92" t="s">
        <v>348</v>
      </c>
      <c r="AS10" s="92" t="s">
        <v>349</v>
      </c>
      <c r="AT10" s="92" t="s">
        <v>348</v>
      </c>
      <c r="AU10" s="92" t="s">
        <v>348</v>
      </c>
      <c r="AV10" s="92" t="s">
        <v>348</v>
      </c>
      <c r="AW10" s="92" t="s">
        <v>349</v>
      </c>
      <c r="AX10" s="92" t="s">
        <v>348</v>
      </c>
      <c r="AY10" s="92" t="s">
        <v>349</v>
      </c>
      <c r="AZ10" s="99" t="s">
        <v>350</v>
      </c>
      <c r="BA10" s="99" t="s">
        <v>351</v>
      </c>
      <c r="BB10" s="99" t="s">
        <v>352</v>
      </c>
      <c r="BC10" s="99" t="s">
        <v>353</v>
      </c>
      <c r="BD10" s="100" t="s">
        <v>354</v>
      </c>
      <c r="BE10" s="99" t="s">
        <v>355</v>
      </c>
      <c r="BF10" s="102" t="s">
        <v>356</v>
      </c>
      <c r="BG10" s="103" t="s">
        <v>357</v>
      </c>
      <c r="BH10" s="102" t="s">
        <v>358</v>
      </c>
      <c r="BI10" s="102" t="s">
        <v>359</v>
      </c>
      <c r="BJ10" s="102" t="s">
        <v>360</v>
      </c>
      <c r="BK10" s="102" t="s">
        <v>361</v>
      </c>
    </row>
    <row r="11" spans="1:63" ht="15" x14ac:dyDescent="0.25">
      <c r="A11" s="104" t="s">
        <v>362</v>
      </c>
      <c r="B11" s="104"/>
      <c r="C11" s="104"/>
      <c r="D11" s="104"/>
      <c r="E11" s="105"/>
      <c r="F11" s="104"/>
      <c r="G11" s="104"/>
      <c r="H11" s="104"/>
      <c r="I11" s="105"/>
      <c r="J11" s="380">
        <f>+Meta.3!J35</f>
        <v>0</v>
      </c>
      <c r="K11" s="380">
        <f>+Meta.3!K35</f>
        <v>4.0579710144927547E-2</v>
      </c>
      <c r="L11" s="380">
        <f>+Meta.3!L35</f>
        <v>0.17971014492753629</v>
      </c>
      <c r="M11" s="105">
        <f>+K89+L89</f>
        <v>39253333.333333336</v>
      </c>
      <c r="N11" s="380">
        <f>+Meta.3!M35</f>
        <v>0.25797101449275367</v>
      </c>
      <c r="O11" s="380">
        <f>+Meta.3!N35</f>
        <v>0.29420289855072468</v>
      </c>
      <c r="P11" s="380">
        <f>+Meta.3!O35</f>
        <v>0.227536231884058</v>
      </c>
      <c r="Q11" s="105">
        <f>+M89+N89+O89</f>
        <v>88320000</v>
      </c>
      <c r="R11" s="384">
        <f>B11+C11+D11+F11+G11+H11+J11+K11+L11+N11+O11+P11</f>
        <v>1.0000000000000002</v>
      </c>
      <c r="S11" s="107">
        <f>+E11+I11+M11+Q11</f>
        <v>127573333.33333334</v>
      </c>
      <c r="T11" s="108"/>
      <c r="U11" s="108"/>
      <c r="V11" s="108"/>
      <c r="W11" s="108"/>
      <c r="X11" s="108"/>
      <c r="Y11" s="109"/>
      <c r="Z11" s="109"/>
      <c r="AA11" s="109"/>
      <c r="AB11" s="109"/>
      <c r="AC11" s="109"/>
      <c r="AD11" s="109"/>
      <c r="AE11" s="110"/>
      <c r="AG11" s="104" t="s">
        <v>362</v>
      </c>
      <c r="AH11" s="104"/>
      <c r="AI11" s="104"/>
      <c r="AJ11" s="104"/>
      <c r="AK11" s="105"/>
      <c r="AL11" s="104"/>
      <c r="AM11" s="104"/>
      <c r="AN11" s="104"/>
      <c r="AO11" s="105"/>
      <c r="AP11" s="380">
        <f>+Meta.3!J35</f>
        <v>0</v>
      </c>
      <c r="AQ11" s="380">
        <f>+Meta.3!K35</f>
        <v>4.0579710144927547E-2</v>
      </c>
      <c r="AR11" s="380">
        <f>+Meta.3!L35</f>
        <v>0.17971014492753629</v>
      </c>
      <c r="AS11" s="105" t="e">
        <f>+#REF!+#REF!+#REF!+#REF!+#REF!+#REF!+#REF!+#REF!</f>
        <v>#REF!</v>
      </c>
      <c r="AT11" s="380">
        <f>+Meta.3!M35</f>
        <v>0.25797101449275367</v>
      </c>
      <c r="AU11" s="380">
        <f>+Meta.3!N35</f>
        <v>0.29420289855072468</v>
      </c>
      <c r="AV11" s="380">
        <f>+Meta.3!O35</f>
        <v>0.227536231884058</v>
      </c>
      <c r="AW11" s="105"/>
      <c r="AX11" s="106">
        <f t="shared" ref="AX11:AX31" si="0">AH11+AI11+AJ11+AL11+AM11+AN11+AP11+AQ11+AR11+AT11+AU11+AV11</f>
        <v>1.0000000000000002</v>
      </c>
      <c r="AY11" s="107" t="e">
        <f>+AK11+AO11+AS11+AW11</f>
        <v>#REF!</v>
      </c>
      <c r="AZ11" s="109"/>
      <c r="BA11" s="109"/>
      <c r="BB11" s="109"/>
      <c r="BC11" s="109"/>
      <c r="BD11" s="109"/>
      <c r="BE11" s="109"/>
      <c r="BF11" s="109"/>
      <c r="BG11" s="109"/>
      <c r="BH11" s="109"/>
      <c r="BI11" s="109"/>
      <c r="BJ11" s="109"/>
      <c r="BK11" s="110"/>
    </row>
    <row r="12" spans="1:63" ht="15" x14ac:dyDescent="0.25">
      <c r="A12" s="104" t="s">
        <v>363</v>
      </c>
      <c r="B12" s="104"/>
      <c r="C12" s="104"/>
      <c r="D12" s="104"/>
      <c r="E12" s="105"/>
      <c r="F12" s="104"/>
      <c r="G12" s="104"/>
      <c r="H12" s="104"/>
      <c r="I12" s="105"/>
      <c r="J12" s="104"/>
      <c r="K12" s="104"/>
      <c r="L12" s="104"/>
      <c r="M12" s="105"/>
      <c r="N12" s="104">
        <v>90</v>
      </c>
      <c r="O12" s="104">
        <v>107</v>
      </c>
      <c r="P12" s="104"/>
      <c r="Q12" s="105"/>
      <c r="R12" s="106">
        <f>B12+C12+D12+F12+G12+H12+J12+K12+L12+N12+O12+P12</f>
        <v>197</v>
      </c>
      <c r="S12" s="107">
        <f>+E12+I12+M12+Q12</f>
        <v>0</v>
      </c>
      <c r="T12" s="108"/>
      <c r="U12" s="108"/>
      <c r="V12" s="108"/>
      <c r="W12" s="108"/>
      <c r="X12" s="108"/>
      <c r="Y12" s="109"/>
      <c r="Z12" s="109"/>
      <c r="AA12" s="109"/>
      <c r="AB12" s="109"/>
      <c r="AC12" s="109"/>
      <c r="AD12" s="109"/>
      <c r="AE12" s="109"/>
      <c r="AG12" s="104" t="s">
        <v>363</v>
      </c>
      <c r="AH12" s="104"/>
      <c r="AI12" s="104"/>
      <c r="AJ12" s="104"/>
      <c r="AK12" s="105"/>
      <c r="AL12" s="104"/>
      <c r="AM12" s="104"/>
      <c r="AN12" s="104"/>
      <c r="AO12" s="105"/>
      <c r="AP12" s="104"/>
      <c r="AQ12" s="104"/>
      <c r="AR12" s="104"/>
      <c r="AS12" s="105"/>
      <c r="AT12" s="104"/>
      <c r="AU12" s="104"/>
      <c r="AV12" s="104"/>
      <c r="AW12" s="105"/>
      <c r="AX12" s="106">
        <f t="shared" si="0"/>
        <v>0</v>
      </c>
      <c r="AY12" s="107">
        <f t="shared" ref="AY12:AY31" si="1">+AK12+AO12+AS12+AW12</f>
        <v>0</v>
      </c>
      <c r="AZ12" s="109"/>
      <c r="BA12" s="109"/>
      <c r="BB12" s="109"/>
      <c r="BC12" s="109"/>
      <c r="BD12" s="109"/>
      <c r="BE12" s="109"/>
      <c r="BF12" s="109"/>
      <c r="BG12" s="109"/>
      <c r="BH12" s="109"/>
      <c r="BI12" s="109"/>
      <c r="BJ12" s="109"/>
      <c r="BK12" s="109"/>
    </row>
    <row r="13" spans="1:63" ht="15" x14ac:dyDescent="0.25">
      <c r="A13" s="104" t="s">
        <v>364</v>
      </c>
      <c r="B13" s="104"/>
      <c r="C13" s="104"/>
      <c r="D13" s="104"/>
      <c r="E13" s="105"/>
      <c r="F13" s="104"/>
      <c r="G13" s="104"/>
      <c r="H13" s="104"/>
      <c r="I13" s="105"/>
      <c r="J13" s="104"/>
      <c r="K13" s="104"/>
      <c r="L13" s="104"/>
      <c r="M13" s="105"/>
      <c r="N13" s="104">
        <v>0</v>
      </c>
      <c r="O13" s="104">
        <v>23</v>
      </c>
      <c r="P13" s="104"/>
      <c r="Q13" s="105"/>
      <c r="R13" s="106">
        <f t="shared" ref="R13:R31" si="2">B13+C13+D13+F13+G13+H13+J13+K13+L13+N13+O13+P13</f>
        <v>23</v>
      </c>
      <c r="S13" s="107">
        <f t="shared" ref="S13:S31" si="3">+E13+I13+M13+Q13</f>
        <v>0</v>
      </c>
      <c r="T13" s="108"/>
      <c r="U13" s="108"/>
      <c r="V13" s="108"/>
      <c r="W13" s="108"/>
      <c r="X13" s="108"/>
      <c r="Y13" s="109"/>
      <c r="Z13" s="109"/>
      <c r="AA13" s="109"/>
      <c r="AB13" s="109"/>
      <c r="AC13" s="109"/>
      <c r="AD13" s="109"/>
      <c r="AE13" s="109"/>
      <c r="AG13" s="104" t="s">
        <v>364</v>
      </c>
      <c r="AH13" s="104"/>
      <c r="AI13" s="104"/>
      <c r="AJ13" s="104"/>
      <c r="AK13" s="105"/>
      <c r="AL13" s="104"/>
      <c r="AM13" s="104"/>
      <c r="AN13" s="104"/>
      <c r="AO13" s="105"/>
      <c r="AP13" s="104"/>
      <c r="AQ13" s="104"/>
      <c r="AR13" s="104"/>
      <c r="AS13" s="105"/>
      <c r="AT13" s="104"/>
      <c r="AU13" s="104"/>
      <c r="AV13" s="104"/>
      <c r="AW13" s="105"/>
      <c r="AX13" s="106">
        <f t="shared" si="0"/>
        <v>0</v>
      </c>
      <c r="AY13" s="107">
        <f t="shared" si="1"/>
        <v>0</v>
      </c>
      <c r="AZ13" s="109"/>
      <c r="BA13" s="109"/>
      <c r="BB13" s="109"/>
      <c r="BC13" s="109"/>
      <c r="BD13" s="109"/>
      <c r="BE13" s="109"/>
      <c r="BF13" s="109"/>
      <c r="BG13" s="109"/>
      <c r="BH13" s="109"/>
      <c r="BI13" s="109"/>
      <c r="BJ13" s="109"/>
      <c r="BK13" s="109"/>
    </row>
    <row r="14" spans="1:63" ht="15" x14ac:dyDescent="0.25">
      <c r="A14" s="104" t="s">
        <v>365</v>
      </c>
      <c r="B14" s="104"/>
      <c r="C14" s="104"/>
      <c r="D14" s="104"/>
      <c r="E14" s="105"/>
      <c r="F14" s="104"/>
      <c r="G14" s="104"/>
      <c r="H14" s="104"/>
      <c r="I14" s="105"/>
      <c r="J14" s="104"/>
      <c r="K14" s="104"/>
      <c r="L14" s="104"/>
      <c r="M14" s="105"/>
      <c r="N14" s="104">
        <v>23</v>
      </c>
      <c r="O14" s="104">
        <v>136</v>
      </c>
      <c r="P14" s="104"/>
      <c r="Q14" s="105"/>
      <c r="R14" s="106">
        <f t="shared" si="2"/>
        <v>159</v>
      </c>
      <c r="S14" s="107">
        <f t="shared" si="3"/>
        <v>0</v>
      </c>
      <c r="T14" s="108"/>
      <c r="U14" s="108"/>
      <c r="V14" s="108"/>
      <c r="W14" s="108"/>
      <c r="X14" s="108"/>
      <c r="Y14" s="109"/>
      <c r="Z14" s="109"/>
      <c r="AA14" s="109"/>
      <c r="AB14" s="109"/>
      <c r="AC14" s="109"/>
      <c r="AD14" s="109"/>
      <c r="AE14" s="109"/>
      <c r="AG14" s="104" t="s">
        <v>365</v>
      </c>
      <c r="AH14" s="104"/>
      <c r="AI14" s="104"/>
      <c r="AJ14" s="104"/>
      <c r="AK14" s="105"/>
      <c r="AL14" s="104"/>
      <c r="AM14" s="104"/>
      <c r="AN14" s="104"/>
      <c r="AO14" s="105"/>
      <c r="AP14" s="104"/>
      <c r="AQ14" s="104"/>
      <c r="AR14" s="104"/>
      <c r="AS14" s="105"/>
      <c r="AT14" s="104"/>
      <c r="AU14" s="104"/>
      <c r="AV14" s="104"/>
      <c r="AW14" s="105"/>
      <c r="AX14" s="106">
        <f t="shared" si="0"/>
        <v>0</v>
      </c>
      <c r="AY14" s="107">
        <f t="shared" si="1"/>
        <v>0</v>
      </c>
      <c r="AZ14" s="109"/>
      <c r="BA14" s="109"/>
      <c r="BB14" s="109"/>
      <c r="BC14" s="109"/>
      <c r="BD14" s="109"/>
      <c r="BE14" s="109"/>
      <c r="BF14" s="109"/>
      <c r="BG14" s="109"/>
      <c r="BH14" s="109"/>
      <c r="BI14" s="109"/>
      <c r="BJ14" s="109"/>
      <c r="BK14" s="109"/>
    </row>
    <row r="15" spans="1:63" ht="15" x14ac:dyDescent="0.25">
      <c r="A15" s="104" t="s">
        <v>366</v>
      </c>
      <c r="B15" s="104"/>
      <c r="C15" s="104"/>
      <c r="D15" s="104"/>
      <c r="E15" s="105"/>
      <c r="F15" s="104"/>
      <c r="G15" s="104"/>
      <c r="H15" s="104"/>
      <c r="I15" s="105"/>
      <c r="J15" s="104"/>
      <c r="K15" s="104"/>
      <c r="L15" s="104"/>
      <c r="M15" s="105"/>
      <c r="N15" s="104">
        <v>27</v>
      </c>
      <c r="O15" s="104">
        <v>81</v>
      </c>
      <c r="P15" s="104"/>
      <c r="Q15" s="105"/>
      <c r="R15" s="106">
        <f t="shared" si="2"/>
        <v>108</v>
      </c>
      <c r="S15" s="107">
        <f t="shared" si="3"/>
        <v>0</v>
      </c>
      <c r="T15" s="108"/>
      <c r="U15" s="108"/>
      <c r="V15" s="108"/>
      <c r="W15" s="108"/>
      <c r="X15" s="108"/>
      <c r="Y15" s="109"/>
      <c r="Z15" s="109"/>
      <c r="AA15" s="109"/>
      <c r="AB15" s="109"/>
      <c r="AC15" s="109"/>
      <c r="AD15" s="109"/>
      <c r="AE15" s="109"/>
      <c r="AG15" s="104" t="s">
        <v>366</v>
      </c>
      <c r="AH15" s="104"/>
      <c r="AI15" s="104"/>
      <c r="AJ15" s="104"/>
      <c r="AK15" s="105"/>
      <c r="AL15" s="104"/>
      <c r="AM15" s="104"/>
      <c r="AN15" s="104"/>
      <c r="AO15" s="105"/>
      <c r="AP15" s="104"/>
      <c r="AQ15" s="104"/>
      <c r="AR15" s="104"/>
      <c r="AS15" s="105"/>
      <c r="AT15" s="104"/>
      <c r="AU15" s="104"/>
      <c r="AV15" s="104"/>
      <c r="AW15" s="105"/>
      <c r="AX15" s="106">
        <f t="shared" si="0"/>
        <v>0</v>
      </c>
      <c r="AY15" s="107">
        <f t="shared" si="1"/>
        <v>0</v>
      </c>
      <c r="AZ15" s="109"/>
      <c r="BA15" s="109"/>
      <c r="BB15" s="109"/>
      <c r="BC15" s="109"/>
      <c r="BD15" s="109"/>
      <c r="BE15" s="109"/>
      <c r="BF15" s="109"/>
      <c r="BG15" s="109"/>
      <c r="BH15" s="109"/>
      <c r="BI15" s="109"/>
      <c r="BJ15" s="109"/>
      <c r="BK15" s="109"/>
    </row>
    <row r="16" spans="1:63" ht="15" x14ac:dyDescent="0.25">
      <c r="A16" s="104" t="s">
        <v>367</v>
      </c>
      <c r="B16" s="104"/>
      <c r="C16" s="104"/>
      <c r="D16" s="104"/>
      <c r="E16" s="105"/>
      <c r="F16" s="104"/>
      <c r="G16" s="104"/>
      <c r="H16" s="104"/>
      <c r="I16" s="105"/>
      <c r="J16" s="104"/>
      <c r="K16" s="104"/>
      <c r="L16" s="104"/>
      <c r="M16" s="105"/>
      <c r="N16" s="104">
        <v>13</v>
      </c>
      <c r="O16" s="104">
        <v>18</v>
      </c>
      <c r="P16" s="104"/>
      <c r="Q16" s="105"/>
      <c r="R16" s="106">
        <f t="shared" si="2"/>
        <v>31</v>
      </c>
      <c r="S16" s="107">
        <f t="shared" si="3"/>
        <v>0</v>
      </c>
      <c r="T16" s="108"/>
      <c r="U16" s="108"/>
      <c r="V16" s="108"/>
      <c r="W16" s="108"/>
      <c r="X16" s="108"/>
      <c r="Y16" s="109"/>
      <c r="Z16" s="109"/>
      <c r="AA16" s="109"/>
      <c r="AB16" s="109"/>
      <c r="AC16" s="109"/>
      <c r="AD16" s="109"/>
      <c r="AE16" s="109"/>
      <c r="AG16" s="104" t="s">
        <v>367</v>
      </c>
      <c r="AH16" s="104"/>
      <c r="AI16" s="104"/>
      <c r="AJ16" s="104"/>
      <c r="AK16" s="105"/>
      <c r="AL16" s="104"/>
      <c r="AM16" s="104"/>
      <c r="AN16" s="104"/>
      <c r="AO16" s="105"/>
      <c r="AP16" s="104"/>
      <c r="AQ16" s="104"/>
      <c r="AR16" s="104"/>
      <c r="AS16" s="105"/>
      <c r="AT16" s="104"/>
      <c r="AU16" s="104"/>
      <c r="AV16" s="104"/>
      <c r="AW16" s="105"/>
      <c r="AX16" s="106">
        <f t="shared" si="0"/>
        <v>0</v>
      </c>
      <c r="AY16" s="107">
        <f t="shared" si="1"/>
        <v>0</v>
      </c>
      <c r="AZ16" s="109"/>
      <c r="BA16" s="109"/>
      <c r="BB16" s="109"/>
      <c r="BC16" s="109"/>
      <c r="BD16" s="109"/>
      <c r="BE16" s="109"/>
      <c r="BF16" s="109"/>
      <c r="BG16" s="109"/>
      <c r="BH16" s="109"/>
      <c r="BI16" s="109"/>
      <c r="BJ16" s="109"/>
      <c r="BK16" s="109"/>
    </row>
    <row r="17" spans="1:63" ht="15" x14ac:dyDescent="0.25">
      <c r="A17" s="104" t="s">
        <v>368</v>
      </c>
      <c r="B17" s="104"/>
      <c r="C17" s="104"/>
      <c r="D17" s="104"/>
      <c r="E17" s="105"/>
      <c r="F17" s="104"/>
      <c r="G17" s="104"/>
      <c r="H17" s="104"/>
      <c r="I17" s="105"/>
      <c r="J17" s="104"/>
      <c r="K17" s="104"/>
      <c r="L17" s="104"/>
      <c r="M17" s="105"/>
      <c r="N17" s="104">
        <v>24</v>
      </c>
      <c r="O17" s="104">
        <v>10</v>
      </c>
      <c r="P17" s="104"/>
      <c r="Q17" s="105"/>
      <c r="R17" s="106">
        <f t="shared" si="2"/>
        <v>34</v>
      </c>
      <c r="S17" s="107">
        <f t="shared" si="3"/>
        <v>0</v>
      </c>
      <c r="T17" s="108"/>
      <c r="U17" s="108"/>
      <c r="V17" s="108"/>
      <c r="W17" s="108"/>
      <c r="X17" s="108"/>
      <c r="Y17" s="109"/>
      <c r="Z17" s="109"/>
      <c r="AA17" s="109"/>
      <c r="AB17" s="109"/>
      <c r="AC17" s="109"/>
      <c r="AD17" s="109"/>
      <c r="AE17" s="109"/>
      <c r="AG17" s="104" t="s">
        <v>368</v>
      </c>
      <c r="AH17" s="104"/>
      <c r="AI17" s="104"/>
      <c r="AJ17" s="104"/>
      <c r="AK17" s="105"/>
      <c r="AL17" s="104"/>
      <c r="AM17" s="104"/>
      <c r="AN17" s="104"/>
      <c r="AO17" s="105"/>
      <c r="AP17" s="104"/>
      <c r="AQ17" s="104"/>
      <c r="AR17" s="104"/>
      <c r="AS17" s="105"/>
      <c r="AT17" s="104"/>
      <c r="AU17" s="104"/>
      <c r="AV17" s="104"/>
      <c r="AW17" s="105"/>
      <c r="AX17" s="106">
        <f t="shared" si="0"/>
        <v>0</v>
      </c>
      <c r="AY17" s="107">
        <f t="shared" si="1"/>
        <v>0</v>
      </c>
      <c r="AZ17" s="109"/>
      <c r="BA17" s="109"/>
      <c r="BB17" s="109"/>
      <c r="BC17" s="109"/>
      <c r="BD17" s="109"/>
      <c r="BE17" s="109"/>
      <c r="BF17" s="109"/>
      <c r="BG17" s="109"/>
      <c r="BH17" s="109"/>
      <c r="BI17" s="109"/>
      <c r="BJ17" s="109"/>
      <c r="BK17" s="109"/>
    </row>
    <row r="18" spans="1:63" ht="15" x14ac:dyDescent="0.25">
      <c r="A18" s="104" t="s">
        <v>369</v>
      </c>
      <c r="B18" s="104"/>
      <c r="C18" s="104"/>
      <c r="D18" s="104"/>
      <c r="E18" s="105"/>
      <c r="F18" s="104"/>
      <c r="G18" s="104"/>
      <c r="H18" s="104"/>
      <c r="I18" s="105"/>
      <c r="J18" s="104"/>
      <c r="K18" s="104"/>
      <c r="L18" s="104"/>
      <c r="M18" s="105"/>
      <c r="N18" s="104">
        <v>29</v>
      </c>
      <c r="O18" s="104">
        <v>32</v>
      </c>
      <c r="P18" s="104"/>
      <c r="Q18" s="105"/>
      <c r="R18" s="106">
        <f t="shared" si="2"/>
        <v>61</v>
      </c>
      <c r="S18" s="107">
        <f t="shared" si="3"/>
        <v>0</v>
      </c>
      <c r="T18" s="108"/>
      <c r="U18" s="108"/>
      <c r="V18" s="108"/>
      <c r="W18" s="108"/>
      <c r="X18" s="108"/>
      <c r="Y18" s="109"/>
      <c r="Z18" s="109"/>
      <c r="AA18" s="109"/>
      <c r="AB18" s="109"/>
      <c r="AC18" s="109"/>
      <c r="AD18" s="109"/>
      <c r="AE18" s="109"/>
      <c r="AG18" s="104" t="s">
        <v>369</v>
      </c>
      <c r="AH18" s="104"/>
      <c r="AI18" s="104"/>
      <c r="AJ18" s="104"/>
      <c r="AK18" s="105"/>
      <c r="AL18" s="104"/>
      <c r="AM18" s="104"/>
      <c r="AN18" s="104"/>
      <c r="AO18" s="105"/>
      <c r="AP18" s="104"/>
      <c r="AQ18" s="104"/>
      <c r="AR18" s="104"/>
      <c r="AS18" s="105"/>
      <c r="AT18" s="104"/>
      <c r="AU18" s="104"/>
      <c r="AV18" s="104"/>
      <c r="AW18" s="105"/>
      <c r="AX18" s="106">
        <f t="shared" si="0"/>
        <v>0</v>
      </c>
      <c r="AY18" s="107">
        <f t="shared" si="1"/>
        <v>0</v>
      </c>
      <c r="AZ18" s="109"/>
      <c r="BA18" s="109"/>
      <c r="BB18" s="109"/>
      <c r="BC18" s="109"/>
      <c r="BD18" s="109"/>
      <c r="BE18" s="109"/>
      <c r="BF18" s="109"/>
      <c r="BG18" s="109"/>
      <c r="BH18" s="109"/>
      <c r="BI18" s="109"/>
      <c r="BJ18" s="109"/>
      <c r="BK18" s="109"/>
    </row>
    <row r="19" spans="1:63" ht="15" x14ac:dyDescent="0.25">
      <c r="A19" s="104" t="s">
        <v>370</v>
      </c>
      <c r="B19" s="104"/>
      <c r="C19" s="104"/>
      <c r="D19" s="104"/>
      <c r="E19" s="105"/>
      <c r="F19" s="104"/>
      <c r="G19" s="104"/>
      <c r="H19" s="104"/>
      <c r="I19" s="105"/>
      <c r="J19" s="104"/>
      <c r="K19" s="104"/>
      <c r="L19" s="104"/>
      <c r="M19" s="105"/>
      <c r="N19" s="104">
        <v>10</v>
      </c>
      <c r="O19" s="104">
        <v>61</v>
      </c>
      <c r="P19" s="104"/>
      <c r="Q19" s="105"/>
      <c r="R19" s="106">
        <f t="shared" si="2"/>
        <v>71</v>
      </c>
      <c r="S19" s="107">
        <f t="shared" si="3"/>
        <v>0</v>
      </c>
      <c r="T19" s="108"/>
      <c r="U19" s="108"/>
      <c r="V19" s="108"/>
      <c r="W19" s="108"/>
      <c r="X19" s="108"/>
      <c r="Y19" s="109"/>
      <c r="Z19" s="109"/>
      <c r="AA19" s="109"/>
      <c r="AB19" s="109"/>
      <c r="AC19" s="109"/>
      <c r="AD19" s="109"/>
      <c r="AE19" s="109"/>
      <c r="AG19" s="104" t="s">
        <v>370</v>
      </c>
      <c r="AH19" s="104"/>
      <c r="AI19" s="104"/>
      <c r="AJ19" s="104"/>
      <c r="AK19" s="105"/>
      <c r="AL19" s="104"/>
      <c r="AM19" s="104"/>
      <c r="AN19" s="104"/>
      <c r="AO19" s="105"/>
      <c r="AP19" s="104"/>
      <c r="AQ19" s="104"/>
      <c r="AR19" s="104"/>
      <c r="AS19" s="105"/>
      <c r="AT19" s="104"/>
      <c r="AU19" s="104"/>
      <c r="AV19" s="104"/>
      <c r="AW19" s="105"/>
      <c r="AX19" s="106">
        <f t="shared" si="0"/>
        <v>0</v>
      </c>
      <c r="AY19" s="107">
        <f t="shared" si="1"/>
        <v>0</v>
      </c>
      <c r="AZ19" s="109"/>
      <c r="BA19" s="109"/>
      <c r="BB19" s="109"/>
      <c r="BC19" s="109"/>
      <c r="BD19" s="109"/>
      <c r="BE19" s="109"/>
      <c r="BF19" s="109"/>
      <c r="BG19" s="109"/>
      <c r="BH19" s="109"/>
      <c r="BI19" s="104"/>
      <c r="BJ19" s="104"/>
      <c r="BK19" s="104"/>
    </row>
    <row r="20" spans="1:63" ht="15" x14ac:dyDescent="0.25">
      <c r="A20" s="104" t="s">
        <v>371</v>
      </c>
      <c r="B20" s="104"/>
      <c r="C20" s="104"/>
      <c r="D20" s="104"/>
      <c r="E20" s="105"/>
      <c r="F20" s="104"/>
      <c r="G20" s="104"/>
      <c r="H20" s="104"/>
      <c r="I20" s="105"/>
      <c r="J20" s="104"/>
      <c r="K20" s="104"/>
      <c r="L20" s="104"/>
      <c r="M20" s="105"/>
      <c r="N20" s="104">
        <v>18</v>
      </c>
      <c r="O20" s="104">
        <v>105</v>
      </c>
      <c r="P20" s="104"/>
      <c r="Q20" s="105"/>
      <c r="R20" s="106">
        <f t="shared" si="2"/>
        <v>123</v>
      </c>
      <c r="S20" s="107">
        <f t="shared" si="3"/>
        <v>0</v>
      </c>
      <c r="T20" s="108"/>
      <c r="U20" s="108"/>
      <c r="V20" s="108"/>
      <c r="W20" s="108"/>
      <c r="X20" s="108"/>
      <c r="Y20" s="109"/>
      <c r="Z20" s="109"/>
      <c r="AA20" s="109"/>
      <c r="AB20" s="109"/>
      <c r="AC20" s="109"/>
      <c r="AD20" s="109"/>
      <c r="AE20" s="109"/>
      <c r="AG20" s="104" t="s">
        <v>371</v>
      </c>
      <c r="AH20" s="104"/>
      <c r="AI20" s="104"/>
      <c r="AJ20" s="104"/>
      <c r="AK20" s="105"/>
      <c r="AL20" s="104"/>
      <c r="AM20" s="104"/>
      <c r="AN20" s="104"/>
      <c r="AO20" s="105"/>
      <c r="AP20" s="104"/>
      <c r="AQ20" s="104"/>
      <c r="AR20" s="104"/>
      <c r="AS20" s="105"/>
      <c r="AT20" s="104"/>
      <c r="AU20" s="104"/>
      <c r="AV20" s="104"/>
      <c r="AW20" s="105"/>
      <c r="AX20" s="106">
        <f t="shared" si="0"/>
        <v>0</v>
      </c>
      <c r="AY20" s="107">
        <f t="shared" si="1"/>
        <v>0</v>
      </c>
      <c r="AZ20" s="109"/>
      <c r="BA20" s="109"/>
      <c r="BB20" s="109"/>
      <c r="BC20" s="109"/>
      <c r="BD20" s="109"/>
      <c r="BE20" s="109"/>
      <c r="BF20" s="109"/>
      <c r="BG20" s="109"/>
      <c r="BH20" s="109"/>
      <c r="BI20" s="104"/>
      <c r="BJ20" s="104"/>
      <c r="BK20" s="104"/>
    </row>
    <row r="21" spans="1:63" ht="15" x14ac:dyDescent="0.25">
      <c r="A21" s="104" t="s">
        <v>372</v>
      </c>
      <c r="B21" s="104"/>
      <c r="C21" s="104"/>
      <c r="D21" s="104"/>
      <c r="E21" s="105"/>
      <c r="F21" s="104"/>
      <c r="G21" s="104"/>
      <c r="H21" s="104"/>
      <c r="I21" s="105"/>
      <c r="J21" s="104"/>
      <c r="K21" s="104"/>
      <c r="L21" s="104"/>
      <c r="M21" s="105"/>
      <c r="N21" s="104">
        <v>53</v>
      </c>
      <c r="O21" s="104">
        <v>0</v>
      </c>
      <c r="P21" s="104"/>
      <c r="Q21" s="105"/>
      <c r="R21" s="106">
        <f t="shared" si="2"/>
        <v>53</v>
      </c>
      <c r="S21" s="107">
        <f t="shared" si="3"/>
        <v>0</v>
      </c>
      <c r="T21" s="108"/>
      <c r="U21" s="108"/>
      <c r="V21" s="108"/>
      <c r="W21" s="108"/>
      <c r="X21" s="108"/>
      <c r="Y21" s="109"/>
      <c r="Z21" s="109"/>
      <c r="AA21" s="109"/>
      <c r="AB21" s="109"/>
      <c r="AC21" s="109"/>
      <c r="AD21" s="109"/>
      <c r="AE21" s="109"/>
      <c r="AG21" s="104" t="s">
        <v>372</v>
      </c>
      <c r="AH21" s="104"/>
      <c r="AI21" s="104"/>
      <c r="AJ21" s="104"/>
      <c r="AK21" s="105"/>
      <c r="AL21" s="104"/>
      <c r="AM21" s="104"/>
      <c r="AN21" s="104"/>
      <c r="AO21" s="105"/>
      <c r="AP21" s="104"/>
      <c r="AQ21" s="104"/>
      <c r="AR21" s="104"/>
      <c r="AS21" s="105"/>
      <c r="AT21" s="104"/>
      <c r="AU21" s="104"/>
      <c r="AV21" s="104"/>
      <c r="AW21" s="105"/>
      <c r="AX21" s="106">
        <f t="shared" si="0"/>
        <v>0</v>
      </c>
      <c r="AY21" s="107">
        <f t="shared" si="1"/>
        <v>0</v>
      </c>
      <c r="AZ21" s="109"/>
      <c r="BA21" s="109"/>
      <c r="BB21" s="109"/>
      <c r="BC21" s="109"/>
      <c r="BD21" s="109"/>
      <c r="BE21" s="109"/>
      <c r="BF21" s="109"/>
      <c r="BG21" s="109"/>
      <c r="BH21" s="109"/>
      <c r="BI21" s="104"/>
      <c r="BJ21" s="104"/>
      <c r="BK21" s="104"/>
    </row>
    <row r="22" spans="1:63" ht="15" x14ac:dyDescent="0.25">
      <c r="A22" s="104" t="s">
        <v>373</v>
      </c>
      <c r="B22" s="104"/>
      <c r="C22" s="104"/>
      <c r="D22" s="104"/>
      <c r="E22" s="105"/>
      <c r="F22" s="104"/>
      <c r="G22" s="104"/>
      <c r="H22" s="104"/>
      <c r="I22" s="105"/>
      <c r="J22" s="104"/>
      <c r="K22" s="104"/>
      <c r="L22" s="104"/>
      <c r="M22" s="105"/>
      <c r="N22" s="104">
        <v>41</v>
      </c>
      <c r="O22" s="104">
        <v>28</v>
      </c>
      <c r="P22" s="104"/>
      <c r="Q22" s="105"/>
      <c r="R22" s="106">
        <f t="shared" si="2"/>
        <v>69</v>
      </c>
      <c r="S22" s="107">
        <f t="shared" si="3"/>
        <v>0</v>
      </c>
      <c r="T22" s="108"/>
      <c r="U22" s="108"/>
      <c r="V22" s="108"/>
      <c r="W22" s="108"/>
      <c r="X22" s="108"/>
      <c r="Y22" s="109"/>
      <c r="Z22" s="109"/>
      <c r="AA22" s="109"/>
      <c r="AB22" s="109"/>
      <c r="AC22" s="109"/>
      <c r="AD22" s="109"/>
      <c r="AE22" s="109"/>
      <c r="AG22" s="104" t="s">
        <v>373</v>
      </c>
      <c r="AH22" s="104"/>
      <c r="AI22" s="104"/>
      <c r="AJ22" s="104"/>
      <c r="AK22" s="105"/>
      <c r="AL22" s="104"/>
      <c r="AM22" s="104"/>
      <c r="AN22" s="104"/>
      <c r="AO22" s="105"/>
      <c r="AP22" s="104"/>
      <c r="AQ22" s="104"/>
      <c r="AR22" s="104"/>
      <c r="AS22" s="105"/>
      <c r="AT22" s="104"/>
      <c r="AU22" s="104"/>
      <c r="AV22" s="104"/>
      <c r="AW22" s="105"/>
      <c r="AX22" s="106">
        <f t="shared" si="0"/>
        <v>0</v>
      </c>
      <c r="AY22" s="107">
        <f t="shared" si="1"/>
        <v>0</v>
      </c>
      <c r="AZ22" s="109"/>
      <c r="BA22" s="109"/>
      <c r="BB22" s="109"/>
      <c r="BC22" s="109"/>
      <c r="BD22" s="109"/>
      <c r="BE22" s="109"/>
      <c r="BF22" s="109"/>
      <c r="BG22" s="109"/>
      <c r="BH22" s="109"/>
      <c r="BI22" s="109"/>
      <c r="BJ22" s="109"/>
      <c r="BK22" s="109"/>
    </row>
    <row r="23" spans="1:63" ht="15" x14ac:dyDescent="0.25">
      <c r="A23" s="104" t="s">
        <v>374</v>
      </c>
      <c r="B23" s="104"/>
      <c r="C23" s="104"/>
      <c r="D23" s="104"/>
      <c r="E23" s="105"/>
      <c r="F23" s="104"/>
      <c r="G23" s="104"/>
      <c r="H23" s="104"/>
      <c r="I23" s="105"/>
      <c r="J23" s="104"/>
      <c r="K23" s="104"/>
      <c r="L23" s="104"/>
      <c r="M23" s="105"/>
      <c r="N23" s="104">
        <v>8</v>
      </c>
      <c r="O23" s="104">
        <v>83</v>
      </c>
      <c r="P23" s="104"/>
      <c r="Q23" s="105"/>
      <c r="R23" s="106">
        <f t="shared" si="2"/>
        <v>91</v>
      </c>
      <c r="S23" s="107">
        <f t="shared" si="3"/>
        <v>0</v>
      </c>
      <c r="T23" s="108"/>
      <c r="U23" s="108"/>
      <c r="V23" s="108"/>
      <c r="W23" s="108"/>
      <c r="X23" s="108"/>
      <c r="Y23" s="109"/>
      <c r="Z23" s="109"/>
      <c r="AA23" s="109"/>
      <c r="AB23" s="109"/>
      <c r="AC23" s="109"/>
      <c r="AD23" s="109"/>
      <c r="AE23" s="109"/>
      <c r="AG23" s="104" t="s">
        <v>374</v>
      </c>
      <c r="AH23" s="104"/>
      <c r="AI23" s="104"/>
      <c r="AJ23" s="104"/>
      <c r="AK23" s="105"/>
      <c r="AL23" s="104"/>
      <c r="AM23" s="104"/>
      <c r="AN23" s="104"/>
      <c r="AO23" s="105"/>
      <c r="AP23" s="104"/>
      <c r="AQ23" s="104"/>
      <c r="AR23" s="104"/>
      <c r="AS23" s="105"/>
      <c r="AT23" s="104"/>
      <c r="AU23" s="104"/>
      <c r="AV23" s="104"/>
      <c r="AW23" s="105"/>
      <c r="AX23" s="106">
        <f t="shared" si="0"/>
        <v>0</v>
      </c>
      <c r="AY23" s="107">
        <f t="shared" si="1"/>
        <v>0</v>
      </c>
      <c r="AZ23" s="109"/>
      <c r="BA23" s="109"/>
      <c r="BB23" s="109"/>
      <c r="BC23" s="109"/>
      <c r="BD23" s="109"/>
      <c r="BE23" s="109"/>
      <c r="BF23" s="109"/>
      <c r="BG23" s="109"/>
      <c r="BH23" s="109"/>
      <c r="BI23" s="109"/>
      <c r="BJ23" s="109"/>
      <c r="BK23" s="109"/>
    </row>
    <row r="24" spans="1:63" ht="15" x14ac:dyDescent="0.25">
      <c r="A24" s="104" t="s">
        <v>375</v>
      </c>
      <c r="B24" s="104"/>
      <c r="C24" s="104"/>
      <c r="D24" s="104"/>
      <c r="E24" s="105"/>
      <c r="F24" s="104"/>
      <c r="G24" s="104"/>
      <c r="H24" s="104"/>
      <c r="I24" s="105"/>
      <c r="J24" s="104"/>
      <c r="K24" s="104"/>
      <c r="L24" s="104"/>
      <c r="M24" s="105"/>
      <c r="N24" s="104">
        <v>0</v>
      </c>
      <c r="O24" s="104">
        <v>55</v>
      </c>
      <c r="P24" s="104"/>
      <c r="Q24" s="105"/>
      <c r="R24" s="106">
        <f t="shared" si="2"/>
        <v>55</v>
      </c>
      <c r="S24" s="107">
        <f t="shared" si="3"/>
        <v>0</v>
      </c>
      <c r="T24" s="108"/>
      <c r="U24" s="108"/>
      <c r="V24" s="108"/>
      <c r="W24" s="108"/>
      <c r="X24" s="108"/>
      <c r="Y24" s="109"/>
      <c r="Z24" s="109"/>
      <c r="AA24" s="109"/>
      <c r="AB24" s="109"/>
      <c r="AC24" s="109"/>
      <c r="AD24" s="109"/>
      <c r="AE24" s="109"/>
      <c r="AG24" s="104" t="s">
        <v>375</v>
      </c>
      <c r="AH24" s="104"/>
      <c r="AI24" s="104"/>
      <c r="AJ24" s="104"/>
      <c r="AK24" s="105"/>
      <c r="AL24" s="104"/>
      <c r="AM24" s="104"/>
      <c r="AN24" s="104"/>
      <c r="AO24" s="105"/>
      <c r="AP24" s="104"/>
      <c r="AQ24" s="104"/>
      <c r="AR24" s="104"/>
      <c r="AS24" s="105"/>
      <c r="AT24" s="104"/>
      <c r="AU24" s="104"/>
      <c r="AV24" s="104"/>
      <c r="AW24" s="105"/>
      <c r="AX24" s="106">
        <f t="shared" si="0"/>
        <v>0</v>
      </c>
      <c r="AY24" s="107">
        <f t="shared" si="1"/>
        <v>0</v>
      </c>
      <c r="AZ24" s="109"/>
      <c r="BA24" s="109"/>
      <c r="BB24" s="109"/>
      <c r="BC24" s="109"/>
      <c r="BD24" s="109"/>
      <c r="BE24" s="109"/>
      <c r="BF24" s="109"/>
      <c r="BG24" s="109"/>
      <c r="BH24" s="109"/>
      <c r="BI24" s="109"/>
      <c r="BJ24" s="109"/>
      <c r="BK24" s="109"/>
    </row>
    <row r="25" spans="1:63" ht="15" x14ac:dyDescent="0.25">
      <c r="A25" s="104" t="s">
        <v>376</v>
      </c>
      <c r="B25" s="104"/>
      <c r="C25" s="104"/>
      <c r="D25" s="104"/>
      <c r="E25" s="105"/>
      <c r="F25" s="104"/>
      <c r="G25" s="104"/>
      <c r="H25" s="104"/>
      <c r="I25" s="105"/>
      <c r="J25" s="104"/>
      <c r="K25" s="104"/>
      <c r="L25" s="104"/>
      <c r="M25" s="105"/>
      <c r="N25" s="104">
        <v>15</v>
      </c>
      <c r="O25" s="104">
        <v>58</v>
      </c>
      <c r="P25" s="104"/>
      <c r="Q25" s="105"/>
      <c r="R25" s="106">
        <f t="shared" si="2"/>
        <v>73</v>
      </c>
      <c r="S25" s="107">
        <f t="shared" si="3"/>
        <v>0</v>
      </c>
      <c r="T25" s="108"/>
      <c r="U25" s="108"/>
      <c r="V25" s="108"/>
      <c r="W25" s="108"/>
      <c r="X25" s="108"/>
      <c r="Y25" s="109"/>
      <c r="Z25" s="109"/>
      <c r="AA25" s="109"/>
      <c r="AB25" s="109"/>
      <c r="AC25" s="109"/>
      <c r="AD25" s="109"/>
      <c r="AE25" s="109"/>
      <c r="AG25" s="104" t="s">
        <v>376</v>
      </c>
      <c r="AH25" s="104"/>
      <c r="AI25" s="104"/>
      <c r="AJ25" s="104"/>
      <c r="AK25" s="105"/>
      <c r="AL25" s="104"/>
      <c r="AM25" s="104"/>
      <c r="AN25" s="104"/>
      <c r="AO25" s="105"/>
      <c r="AP25" s="104"/>
      <c r="AQ25" s="104"/>
      <c r="AR25" s="104"/>
      <c r="AS25" s="105"/>
      <c r="AT25" s="104"/>
      <c r="AU25" s="104"/>
      <c r="AV25" s="104"/>
      <c r="AW25" s="105"/>
      <c r="AX25" s="106">
        <f t="shared" si="0"/>
        <v>0</v>
      </c>
      <c r="AY25" s="107">
        <f t="shared" si="1"/>
        <v>0</v>
      </c>
      <c r="AZ25" s="109"/>
      <c r="BA25" s="109"/>
      <c r="BB25" s="109"/>
      <c r="BC25" s="109"/>
      <c r="BD25" s="109"/>
      <c r="BE25" s="109"/>
      <c r="BF25" s="109"/>
      <c r="BG25" s="109"/>
      <c r="BH25" s="109"/>
      <c r="BI25" s="109"/>
      <c r="BJ25" s="109"/>
      <c r="BK25" s="109"/>
    </row>
    <row r="26" spans="1:63" ht="15" x14ac:dyDescent="0.25">
      <c r="A26" s="104" t="s">
        <v>377</v>
      </c>
      <c r="B26" s="104"/>
      <c r="C26" s="104"/>
      <c r="D26" s="104"/>
      <c r="E26" s="105"/>
      <c r="F26" s="104"/>
      <c r="G26" s="104"/>
      <c r="H26" s="104"/>
      <c r="I26" s="105"/>
      <c r="J26" s="104"/>
      <c r="K26" s="104"/>
      <c r="L26" s="104"/>
      <c r="M26" s="105"/>
      <c r="N26" s="104">
        <v>0</v>
      </c>
      <c r="O26" s="104">
        <v>60</v>
      </c>
      <c r="P26" s="104"/>
      <c r="Q26" s="105"/>
      <c r="R26" s="106">
        <f t="shared" si="2"/>
        <v>60</v>
      </c>
      <c r="S26" s="107">
        <f t="shared" si="3"/>
        <v>0</v>
      </c>
      <c r="T26" s="108"/>
      <c r="U26" s="108"/>
      <c r="V26" s="108"/>
      <c r="W26" s="108"/>
      <c r="X26" s="108"/>
      <c r="Y26" s="109"/>
      <c r="Z26" s="109"/>
      <c r="AA26" s="109"/>
      <c r="AB26" s="109"/>
      <c r="AC26" s="109"/>
      <c r="AD26" s="109"/>
      <c r="AE26" s="109"/>
      <c r="AG26" s="104" t="s">
        <v>377</v>
      </c>
      <c r="AH26" s="104"/>
      <c r="AI26" s="104"/>
      <c r="AJ26" s="104"/>
      <c r="AK26" s="105"/>
      <c r="AL26" s="104"/>
      <c r="AM26" s="104"/>
      <c r="AN26" s="104"/>
      <c r="AO26" s="105"/>
      <c r="AP26" s="104"/>
      <c r="AQ26" s="104"/>
      <c r="AR26" s="104"/>
      <c r="AS26" s="105"/>
      <c r="AT26" s="104"/>
      <c r="AU26" s="104"/>
      <c r="AV26" s="104"/>
      <c r="AW26" s="105"/>
      <c r="AX26" s="106">
        <f t="shared" si="0"/>
        <v>0</v>
      </c>
      <c r="AY26" s="107">
        <f t="shared" si="1"/>
        <v>0</v>
      </c>
      <c r="AZ26" s="109"/>
      <c r="BA26" s="109"/>
      <c r="BB26" s="109"/>
      <c r="BC26" s="109"/>
      <c r="BD26" s="109"/>
      <c r="BE26" s="109"/>
      <c r="BF26" s="109"/>
      <c r="BG26" s="109"/>
      <c r="BH26" s="109"/>
      <c r="BI26" s="109"/>
      <c r="BJ26" s="109"/>
      <c r="BK26" s="109"/>
    </row>
    <row r="27" spans="1:63" ht="15" x14ac:dyDescent="0.25">
      <c r="A27" s="104" t="s">
        <v>378</v>
      </c>
      <c r="B27" s="104"/>
      <c r="C27" s="104"/>
      <c r="D27" s="104"/>
      <c r="E27" s="105"/>
      <c r="F27" s="104"/>
      <c r="G27" s="104"/>
      <c r="H27" s="104"/>
      <c r="I27" s="105"/>
      <c r="J27" s="104"/>
      <c r="K27" s="104"/>
      <c r="L27" s="104"/>
      <c r="M27" s="105"/>
      <c r="N27" s="104">
        <v>38</v>
      </c>
      <c r="O27" s="104">
        <v>115</v>
      </c>
      <c r="P27" s="104"/>
      <c r="Q27" s="105"/>
      <c r="R27" s="106">
        <f t="shared" si="2"/>
        <v>153</v>
      </c>
      <c r="S27" s="107">
        <f t="shared" si="3"/>
        <v>0</v>
      </c>
      <c r="T27" s="108"/>
      <c r="U27" s="108"/>
      <c r="V27" s="108"/>
      <c r="W27" s="108"/>
      <c r="X27" s="108"/>
      <c r="Y27" s="109"/>
      <c r="Z27" s="109"/>
      <c r="AA27" s="109"/>
      <c r="AB27" s="109"/>
      <c r="AC27" s="109"/>
      <c r="AD27" s="109"/>
      <c r="AE27" s="109"/>
      <c r="AG27" s="104" t="s">
        <v>378</v>
      </c>
      <c r="AH27" s="104"/>
      <c r="AI27" s="104"/>
      <c r="AJ27" s="104"/>
      <c r="AK27" s="105"/>
      <c r="AL27" s="104"/>
      <c r="AM27" s="104"/>
      <c r="AN27" s="104"/>
      <c r="AO27" s="105"/>
      <c r="AP27" s="104"/>
      <c r="AQ27" s="104"/>
      <c r="AR27" s="104"/>
      <c r="AS27" s="105"/>
      <c r="AT27" s="104"/>
      <c r="AU27" s="104"/>
      <c r="AV27" s="104"/>
      <c r="AW27" s="105"/>
      <c r="AX27" s="106">
        <f t="shared" si="0"/>
        <v>0</v>
      </c>
      <c r="AY27" s="107">
        <f t="shared" si="1"/>
        <v>0</v>
      </c>
      <c r="AZ27" s="109"/>
      <c r="BA27" s="109"/>
      <c r="BB27" s="109"/>
      <c r="BC27" s="109"/>
      <c r="BD27" s="109"/>
      <c r="BE27" s="109"/>
      <c r="BF27" s="109"/>
      <c r="BG27" s="109"/>
      <c r="BH27" s="109"/>
      <c r="BI27" s="109"/>
      <c r="BJ27" s="109"/>
      <c r="BK27" s="109"/>
    </row>
    <row r="28" spans="1:63" ht="15" x14ac:dyDescent="0.25">
      <c r="A28" s="104" t="s">
        <v>379</v>
      </c>
      <c r="B28" s="104"/>
      <c r="C28" s="104"/>
      <c r="D28" s="104"/>
      <c r="E28" s="105"/>
      <c r="F28" s="104"/>
      <c r="G28" s="104"/>
      <c r="H28" s="104"/>
      <c r="I28" s="105"/>
      <c r="J28" s="104"/>
      <c r="K28" s="104"/>
      <c r="L28" s="104"/>
      <c r="M28" s="105"/>
      <c r="N28" s="104">
        <v>0</v>
      </c>
      <c r="O28" s="104">
        <v>0</v>
      </c>
      <c r="P28" s="104"/>
      <c r="Q28" s="105"/>
      <c r="R28" s="106">
        <f t="shared" si="2"/>
        <v>0</v>
      </c>
      <c r="S28" s="107">
        <f t="shared" si="3"/>
        <v>0</v>
      </c>
      <c r="T28" s="108"/>
      <c r="U28" s="108"/>
      <c r="V28" s="108"/>
      <c r="W28" s="108"/>
      <c r="X28" s="108"/>
      <c r="Y28" s="109"/>
      <c r="Z28" s="109"/>
      <c r="AA28" s="109"/>
      <c r="AB28" s="109"/>
      <c r="AC28" s="109"/>
      <c r="AD28" s="109"/>
      <c r="AE28" s="109"/>
      <c r="AG28" s="104" t="s">
        <v>379</v>
      </c>
      <c r="AH28" s="104"/>
      <c r="AI28" s="104"/>
      <c r="AJ28" s="104"/>
      <c r="AK28" s="105"/>
      <c r="AL28" s="104"/>
      <c r="AM28" s="104"/>
      <c r="AN28" s="104"/>
      <c r="AO28" s="105"/>
      <c r="AP28" s="104"/>
      <c r="AQ28" s="104"/>
      <c r="AR28" s="104"/>
      <c r="AS28" s="105"/>
      <c r="AT28" s="104"/>
      <c r="AU28" s="104"/>
      <c r="AV28" s="104"/>
      <c r="AW28" s="105"/>
      <c r="AX28" s="106">
        <f t="shared" si="0"/>
        <v>0</v>
      </c>
      <c r="AY28" s="107">
        <f t="shared" si="1"/>
        <v>0</v>
      </c>
      <c r="AZ28" s="109"/>
      <c r="BA28" s="109"/>
      <c r="BB28" s="109"/>
      <c r="BC28" s="109"/>
      <c r="BD28" s="109"/>
      <c r="BE28" s="109"/>
      <c r="BF28" s="109"/>
      <c r="BG28" s="109"/>
      <c r="BH28" s="109"/>
      <c r="BI28" s="109"/>
      <c r="BJ28" s="109"/>
      <c r="BK28" s="109"/>
    </row>
    <row r="29" spans="1:63" ht="15" x14ac:dyDescent="0.25">
      <c r="A29" s="104" t="s">
        <v>380</v>
      </c>
      <c r="B29" s="104"/>
      <c r="C29" s="104"/>
      <c r="D29" s="104"/>
      <c r="E29" s="105"/>
      <c r="F29" s="104"/>
      <c r="G29" s="104"/>
      <c r="H29" s="104"/>
      <c r="I29" s="105"/>
      <c r="J29" s="104"/>
      <c r="K29" s="104"/>
      <c r="L29" s="104"/>
      <c r="M29" s="105"/>
      <c r="N29" s="104">
        <v>20</v>
      </c>
      <c r="O29" s="104">
        <v>0</v>
      </c>
      <c r="P29" s="104"/>
      <c r="Q29" s="105"/>
      <c r="R29" s="106">
        <f t="shared" si="2"/>
        <v>20</v>
      </c>
      <c r="S29" s="107">
        <f t="shared" si="3"/>
        <v>0</v>
      </c>
      <c r="T29" s="108"/>
      <c r="U29" s="108"/>
      <c r="V29" s="108"/>
      <c r="W29" s="108"/>
      <c r="X29" s="108"/>
      <c r="Y29" s="109"/>
      <c r="Z29" s="109"/>
      <c r="AA29" s="109"/>
      <c r="AB29" s="109"/>
      <c r="AC29" s="109"/>
      <c r="AD29" s="109"/>
      <c r="AE29" s="109"/>
      <c r="AG29" s="104" t="s">
        <v>380</v>
      </c>
      <c r="AH29" s="104"/>
      <c r="AI29" s="104"/>
      <c r="AJ29" s="104"/>
      <c r="AK29" s="105"/>
      <c r="AL29" s="104"/>
      <c r="AM29" s="104"/>
      <c r="AN29" s="104"/>
      <c r="AO29" s="105"/>
      <c r="AP29" s="104"/>
      <c r="AQ29" s="104"/>
      <c r="AR29" s="104"/>
      <c r="AS29" s="105"/>
      <c r="AT29" s="104"/>
      <c r="AU29" s="104"/>
      <c r="AV29" s="104"/>
      <c r="AW29" s="105"/>
      <c r="AX29" s="106">
        <f t="shared" si="0"/>
        <v>0</v>
      </c>
      <c r="AY29" s="107">
        <f t="shared" si="1"/>
        <v>0</v>
      </c>
      <c r="AZ29" s="109"/>
      <c r="BA29" s="109"/>
      <c r="BB29" s="109"/>
      <c r="BC29" s="109"/>
      <c r="BD29" s="109"/>
      <c r="BE29" s="109"/>
      <c r="BF29" s="109"/>
      <c r="BG29" s="109"/>
      <c r="BH29" s="109"/>
      <c r="BI29" s="109"/>
      <c r="BJ29" s="109"/>
      <c r="BK29" s="109"/>
    </row>
    <row r="30" spans="1:63" ht="15" x14ac:dyDescent="0.25">
      <c r="A30" s="104" t="s">
        <v>381</v>
      </c>
      <c r="B30" s="104"/>
      <c r="C30" s="104"/>
      <c r="D30" s="104"/>
      <c r="E30" s="105"/>
      <c r="F30" s="104"/>
      <c r="G30" s="104"/>
      <c r="H30" s="104"/>
      <c r="I30" s="105"/>
      <c r="J30" s="104"/>
      <c r="K30" s="104"/>
      <c r="L30" s="104"/>
      <c r="M30" s="105"/>
      <c r="N30" s="104">
        <v>13</v>
      </c>
      <c r="O30" s="104">
        <v>15</v>
      </c>
      <c r="P30" s="104"/>
      <c r="Q30" s="105"/>
      <c r="R30" s="106">
        <f t="shared" si="2"/>
        <v>28</v>
      </c>
      <c r="S30" s="107">
        <f t="shared" si="3"/>
        <v>0</v>
      </c>
      <c r="T30" s="108"/>
      <c r="U30" s="108"/>
      <c r="V30" s="108"/>
      <c r="W30" s="108"/>
      <c r="X30" s="108"/>
      <c r="Y30" s="109"/>
      <c r="Z30" s="109"/>
      <c r="AA30" s="109"/>
      <c r="AB30" s="109"/>
      <c r="AC30" s="109"/>
      <c r="AD30" s="109"/>
      <c r="AE30" s="109"/>
      <c r="AG30" s="104" t="s">
        <v>381</v>
      </c>
      <c r="AH30" s="104"/>
      <c r="AI30" s="104"/>
      <c r="AJ30" s="104"/>
      <c r="AK30" s="105"/>
      <c r="AL30" s="104"/>
      <c r="AM30" s="104"/>
      <c r="AN30" s="104"/>
      <c r="AO30" s="105"/>
      <c r="AP30" s="104"/>
      <c r="AQ30" s="104"/>
      <c r="AR30" s="104"/>
      <c r="AS30" s="105"/>
      <c r="AT30" s="104"/>
      <c r="AU30" s="104"/>
      <c r="AV30" s="104"/>
      <c r="AW30" s="105"/>
      <c r="AX30" s="106">
        <f t="shared" si="0"/>
        <v>0</v>
      </c>
      <c r="AY30" s="107">
        <f t="shared" si="1"/>
        <v>0</v>
      </c>
      <c r="AZ30" s="109"/>
      <c r="BA30" s="109"/>
      <c r="BB30" s="109"/>
      <c r="BC30" s="109"/>
      <c r="BD30" s="109"/>
      <c r="BE30" s="109"/>
      <c r="BF30" s="109"/>
      <c r="BG30" s="109"/>
      <c r="BH30" s="109"/>
      <c r="BI30" s="109"/>
      <c r="BJ30" s="109"/>
      <c r="BK30" s="109"/>
    </row>
    <row r="31" spans="1:63" ht="15" x14ac:dyDescent="0.25">
      <c r="A31" s="104" t="s">
        <v>382</v>
      </c>
      <c r="B31" s="104"/>
      <c r="C31" s="104"/>
      <c r="D31" s="104"/>
      <c r="E31" s="105"/>
      <c r="F31" s="104"/>
      <c r="G31" s="104"/>
      <c r="H31" s="104"/>
      <c r="I31" s="105"/>
      <c r="J31" s="104"/>
      <c r="K31" s="104"/>
      <c r="L31" s="104"/>
      <c r="M31" s="105"/>
      <c r="N31" s="104">
        <v>0</v>
      </c>
      <c r="O31" s="104">
        <v>0</v>
      </c>
      <c r="P31" s="104"/>
      <c r="Q31" s="105"/>
      <c r="R31" s="106">
        <f t="shared" si="2"/>
        <v>0</v>
      </c>
      <c r="S31" s="107">
        <f t="shared" si="3"/>
        <v>0</v>
      </c>
      <c r="T31" s="108"/>
      <c r="U31" s="108"/>
      <c r="V31" s="108"/>
      <c r="W31" s="108"/>
      <c r="X31" s="108"/>
      <c r="Y31" s="109"/>
      <c r="Z31" s="109"/>
      <c r="AA31" s="109"/>
      <c r="AB31" s="109"/>
      <c r="AC31" s="109"/>
      <c r="AD31" s="109"/>
      <c r="AE31" s="109"/>
      <c r="AG31" s="104" t="s">
        <v>382</v>
      </c>
      <c r="AH31" s="104"/>
      <c r="AI31" s="104"/>
      <c r="AJ31" s="104"/>
      <c r="AK31" s="105"/>
      <c r="AL31" s="104"/>
      <c r="AM31" s="104"/>
      <c r="AN31" s="104"/>
      <c r="AO31" s="105"/>
      <c r="AP31" s="104"/>
      <c r="AQ31" s="104"/>
      <c r="AR31" s="104"/>
      <c r="AS31" s="105"/>
      <c r="AT31" s="104"/>
      <c r="AU31" s="104"/>
      <c r="AV31" s="104"/>
      <c r="AW31" s="105"/>
      <c r="AX31" s="106">
        <f t="shared" si="0"/>
        <v>0</v>
      </c>
      <c r="AY31" s="107">
        <f t="shared" si="1"/>
        <v>0</v>
      </c>
      <c r="AZ31" s="109"/>
      <c r="BA31" s="109"/>
      <c r="BB31" s="109"/>
      <c r="BC31" s="109"/>
      <c r="BD31" s="109"/>
      <c r="BE31" s="109"/>
      <c r="BF31" s="109"/>
      <c r="BG31" s="109"/>
      <c r="BH31" s="109"/>
      <c r="BI31" s="109"/>
      <c r="BJ31" s="109"/>
      <c r="BK31" s="109"/>
    </row>
    <row r="32" spans="1:63" ht="15" x14ac:dyDescent="0.25">
      <c r="A32" s="111" t="s">
        <v>383</v>
      </c>
      <c r="B32" s="112">
        <f>SUM(B11:B31)</f>
        <v>0</v>
      </c>
      <c r="C32" s="112">
        <f t="shared" ref="C32:AE32" si="4">SUM(C11:C31)</f>
        <v>0</v>
      </c>
      <c r="D32" s="112">
        <f t="shared" si="4"/>
        <v>0</v>
      </c>
      <c r="E32" s="113">
        <f>SUM(E11:E31)</f>
        <v>0</v>
      </c>
      <c r="F32" s="112">
        <f t="shared" si="4"/>
        <v>0</v>
      </c>
      <c r="G32" s="112">
        <f t="shared" si="4"/>
        <v>0</v>
      </c>
      <c r="H32" s="112">
        <f t="shared" si="4"/>
        <v>0</v>
      </c>
      <c r="I32" s="113">
        <f>SUM(I11:I31)</f>
        <v>0</v>
      </c>
      <c r="J32" s="112">
        <f t="shared" si="4"/>
        <v>0</v>
      </c>
      <c r="K32" s="112">
        <f t="shared" si="4"/>
        <v>4.0579710144927547E-2</v>
      </c>
      <c r="L32" s="112">
        <f t="shared" si="4"/>
        <v>0.17971014492753629</v>
      </c>
      <c r="M32" s="113">
        <f>SUM(M11:M31)</f>
        <v>39253333.333333336</v>
      </c>
      <c r="N32" s="112">
        <f>SUM(N11:N31)</f>
        <v>422.25797101449274</v>
      </c>
      <c r="O32" s="112">
        <f>SUM(O11:O31)</f>
        <v>987.29420289855079</v>
      </c>
      <c r="P32" s="112">
        <f>SUM(P11:P31)</f>
        <v>0.227536231884058</v>
      </c>
      <c r="Q32" s="113">
        <f>SUM(Q11:Q31)</f>
        <v>88320000</v>
      </c>
      <c r="R32" s="112">
        <f t="shared" si="4"/>
        <v>1410</v>
      </c>
      <c r="S32" s="107">
        <f t="shared" si="4"/>
        <v>127573333.33333334</v>
      </c>
      <c r="T32" s="112">
        <f t="shared" si="4"/>
        <v>0</v>
      </c>
      <c r="U32" s="112">
        <f t="shared" si="4"/>
        <v>0</v>
      </c>
      <c r="V32" s="112">
        <f t="shared" si="4"/>
        <v>0</v>
      </c>
      <c r="W32" s="112">
        <f t="shared" si="4"/>
        <v>0</v>
      </c>
      <c r="X32" s="112">
        <f t="shared" si="4"/>
        <v>0</v>
      </c>
      <c r="Y32" s="112">
        <f t="shared" si="4"/>
        <v>0</v>
      </c>
      <c r="Z32" s="112">
        <f t="shared" si="4"/>
        <v>0</v>
      </c>
      <c r="AA32" s="112">
        <f t="shared" si="4"/>
        <v>0</v>
      </c>
      <c r="AB32" s="112">
        <f t="shared" si="4"/>
        <v>0</v>
      </c>
      <c r="AC32" s="112">
        <f t="shared" si="4"/>
        <v>0</v>
      </c>
      <c r="AD32" s="112">
        <f t="shared" si="4"/>
        <v>0</v>
      </c>
      <c r="AE32" s="112">
        <f t="shared" si="4"/>
        <v>0</v>
      </c>
      <c r="AG32" s="111" t="s">
        <v>383</v>
      </c>
      <c r="AH32" s="112">
        <f t="shared" ref="AH32:AW32" si="5">SUM(AH11:AH31)</f>
        <v>0</v>
      </c>
      <c r="AI32" s="112">
        <f t="shared" si="5"/>
        <v>0</v>
      </c>
      <c r="AJ32" s="112">
        <f t="shared" si="5"/>
        <v>0</v>
      </c>
      <c r="AK32" s="113">
        <f t="shared" si="5"/>
        <v>0</v>
      </c>
      <c r="AL32" s="112">
        <f t="shared" si="5"/>
        <v>0</v>
      </c>
      <c r="AM32" s="112">
        <f t="shared" si="5"/>
        <v>0</v>
      </c>
      <c r="AN32" s="112">
        <f t="shared" si="5"/>
        <v>0</v>
      </c>
      <c r="AO32" s="113">
        <f t="shared" si="5"/>
        <v>0</v>
      </c>
      <c r="AP32" s="112">
        <f t="shared" si="5"/>
        <v>0</v>
      </c>
      <c r="AQ32" s="112">
        <f t="shared" si="5"/>
        <v>4.0579710144927547E-2</v>
      </c>
      <c r="AR32" s="112">
        <f t="shared" si="5"/>
        <v>0.17971014492753629</v>
      </c>
      <c r="AS32" s="113" t="e">
        <f t="shared" si="5"/>
        <v>#REF!</v>
      </c>
      <c r="AT32" s="112">
        <f t="shared" si="5"/>
        <v>0.25797101449275367</v>
      </c>
      <c r="AU32" s="112">
        <f t="shared" si="5"/>
        <v>0.29420289855072468</v>
      </c>
      <c r="AV32" s="112">
        <f t="shared" si="5"/>
        <v>0.227536231884058</v>
      </c>
      <c r="AW32" s="113">
        <f t="shared" si="5"/>
        <v>0</v>
      </c>
      <c r="AX32" s="114">
        <f t="shared" ref="AX32:BK32" si="6">SUM(AX11:AX31)</f>
        <v>1.0000000000000002</v>
      </c>
      <c r="AY32" s="115" t="e">
        <f t="shared" si="6"/>
        <v>#REF!</v>
      </c>
      <c r="AZ32" s="112">
        <f t="shared" si="6"/>
        <v>0</v>
      </c>
      <c r="BA32" s="112">
        <f t="shared" si="6"/>
        <v>0</v>
      </c>
      <c r="BB32" s="112">
        <f t="shared" si="6"/>
        <v>0</v>
      </c>
      <c r="BC32" s="112">
        <f t="shared" si="6"/>
        <v>0</v>
      </c>
      <c r="BD32" s="112">
        <f t="shared" si="6"/>
        <v>0</v>
      </c>
      <c r="BE32" s="112">
        <f t="shared" si="6"/>
        <v>0</v>
      </c>
      <c r="BF32" s="112">
        <f t="shared" si="6"/>
        <v>0</v>
      </c>
      <c r="BG32" s="112">
        <f t="shared" si="6"/>
        <v>0</v>
      </c>
      <c r="BH32" s="112">
        <f t="shared" si="6"/>
        <v>0</v>
      </c>
      <c r="BI32" s="112">
        <f t="shared" si="6"/>
        <v>0</v>
      </c>
      <c r="BJ32" s="112">
        <f t="shared" si="6"/>
        <v>0</v>
      </c>
      <c r="BK32" s="112">
        <f t="shared" si="6"/>
        <v>0</v>
      </c>
    </row>
    <row r="35" spans="1:63" ht="31.5" customHeight="1" x14ac:dyDescent="0.25">
      <c r="A35" s="95" t="s">
        <v>342</v>
      </c>
      <c r="B35" s="859" t="s">
        <v>384</v>
      </c>
      <c r="C35" s="860"/>
      <c r="D35" s="860"/>
      <c r="E35" s="860"/>
      <c r="F35" s="860"/>
      <c r="G35" s="860"/>
      <c r="H35" s="860"/>
      <c r="I35" s="860"/>
      <c r="J35" s="860"/>
      <c r="K35" s="860"/>
      <c r="L35" s="860"/>
      <c r="M35" s="860"/>
      <c r="N35" s="860"/>
      <c r="O35" s="860"/>
      <c r="P35" s="860"/>
      <c r="Q35" s="860"/>
      <c r="R35" s="860"/>
      <c r="S35" s="860"/>
      <c r="T35" s="860"/>
      <c r="U35" s="860"/>
      <c r="V35" s="860"/>
      <c r="W35" s="860"/>
      <c r="X35" s="860"/>
      <c r="Y35" s="860"/>
      <c r="Z35" s="860"/>
      <c r="AA35" s="860"/>
      <c r="AB35" s="860"/>
      <c r="AC35" s="860"/>
      <c r="AD35" s="860"/>
      <c r="AE35" s="860"/>
      <c r="AF35" s="860"/>
      <c r="AG35" s="860"/>
      <c r="AH35" s="860"/>
      <c r="AI35" s="860"/>
      <c r="AJ35" s="860"/>
      <c r="AK35" s="860"/>
      <c r="AL35" s="860"/>
      <c r="AM35" s="860"/>
      <c r="AN35" s="860"/>
      <c r="AO35" s="860"/>
      <c r="AP35" s="860"/>
      <c r="AQ35" s="860"/>
      <c r="AR35" s="860"/>
      <c r="AS35" s="860"/>
      <c r="AT35" s="860"/>
      <c r="AU35" s="860"/>
      <c r="AV35" s="860"/>
      <c r="AW35" s="860"/>
      <c r="AX35" s="860"/>
      <c r="AY35" s="860"/>
      <c r="AZ35" s="860"/>
      <c r="BA35" s="860"/>
      <c r="BB35" s="860"/>
      <c r="BC35" s="860"/>
      <c r="BD35" s="860"/>
      <c r="BE35" s="860"/>
      <c r="BF35" s="860"/>
      <c r="BG35" s="860"/>
      <c r="BH35" s="860"/>
      <c r="BI35" s="860"/>
      <c r="BJ35" s="860"/>
      <c r="BK35" s="861"/>
    </row>
    <row r="36" spans="1:63" ht="18.75" customHeight="1" x14ac:dyDescent="0.25">
      <c r="A36" s="96"/>
      <c r="B36" s="96"/>
      <c r="C36" s="96"/>
      <c r="D36" s="96"/>
      <c r="E36" s="96"/>
      <c r="F36" s="96"/>
      <c r="G36" s="96"/>
      <c r="H36" s="96"/>
      <c r="I36" s="96"/>
      <c r="J36" s="96"/>
      <c r="K36" s="97"/>
      <c r="L36" s="97"/>
      <c r="M36" s="97"/>
      <c r="N36" s="97"/>
      <c r="O36" s="97"/>
      <c r="P36" s="97"/>
      <c r="Q36" s="97"/>
      <c r="R36" s="97"/>
      <c r="S36" s="97"/>
      <c r="T36" s="97"/>
      <c r="U36" s="97"/>
      <c r="V36" s="97"/>
      <c r="W36" s="97"/>
      <c r="X36" s="97"/>
      <c r="Y36" s="97"/>
      <c r="Z36" s="97"/>
      <c r="AA36" s="97"/>
      <c r="AB36" s="97"/>
      <c r="AC36" s="97"/>
      <c r="AD36" s="97"/>
      <c r="AE36" s="97"/>
      <c r="AG36" s="96"/>
      <c r="AH36" s="97"/>
      <c r="AI36" s="97"/>
      <c r="AJ36" s="97"/>
      <c r="AK36" s="97"/>
      <c r="AL36" s="97"/>
      <c r="AM36" s="97"/>
      <c r="AN36" s="97"/>
      <c r="AO36" s="97"/>
    </row>
    <row r="37" spans="1:63" ht="30" customHeight="1" x14ac:dyDescent="0.25">
      <c r="A37" s="852" t="s">
        <v>344</v>
      </c>
      <c r="B37" s="98" t="s">
        <v>141</v>
      </c>
      <c r="C37" s="98" t="s">
        <v>142</v>
      </c>
      <c r="D37" s="854" t="s">
        <v>143</v>
      </c>
      <c r="E37" s="855"/>
      <c r="F37" s="98" t="s">
        <v>144</v>
      </c>
      <c r="G37" s="98" t="s">
        <v>145</v>
      </c>
      <c r="H37" s="854" t="s">
        <v>146</v>
      </c>
      <c r="I37" s="855"/>
      <c r="J37" s="98" t="s">
        <v>147</v>
      </c>
      <c r="K37" s="98" t="s">
        <v>148</v>
      </c>
      <c r="L37" s="854" t="s">
        <v>149</v>
      </c>
      <c r="M37" s="855"/>
      <c r="N37" s="98" t="s">
        <v>150</v>
      </c>
      <c r="O37" s="98" t="s">
        <v>128</v>
      </c>
      <c r="P37" s="854" t="s">
        <v>151</v>
      </c>
      <c r="Q37" s="855"/>
      <c r="R37" s="854" t="s">
        <v>345</v>
      </c>
      <c r="S37" s="855"/>
      <c r="T37" s="854" t="s">
        <v>346</v>
      </c>
      <c r="U37" s="858"/>
      <c r="V37" s="858"/>
      <c r="W37" s="858"/>
      <c r="X37" s="858"/>
      <c r="Y37" s="855"/>
      <c r="Z37" s="854" t="s">
        <v>347</v>
      </c>
      <c r="AA37" s="858"/>
      <c r="AB37" s="858"/>
      <c r="AC37" s="858"/>
      <c r="AD37" s="858"/>
      <c r="AE37" s="855"/>
      <c r="AG37" s="852" t="s">
        <v>344</v>
      </c>
      <c r="AH37" s="98" t="s">
        <v>141</v>
      </c>
      <c r="AI37" s="98" t="s">
        <v>142</v>
      </c>
      <c r="AJ37" s="854" t="s">
        <v>143</v>
      </c>
      <c r="AK37" s="855"/>
      <c r="AL37" s="98" t="s">
        <v>144</v>
      </c>
      <c r="AM37" s="98" t="s">
        <v>145</v>
      </c>
      <c r="AN37" s="854" t="s">
        <v>146</v>
      </c>
      <c r="AO37" s="855"/>
      <c r="AP37" s="98" t="s">
        <v>147</v>
      </c>
      <c r="AQ37" s="98" t="s">
        <v>148</v>
      </c>
      <c r="AR37" s="854" t="s">
        <v>149</v>
      </c>
      <c r="AS37" s="855"/>
      <c r="AT37" s="98" t="s">
        <v>150</v>
      </c>
      <c r="AU37" s="98" t="s">
        <v>128</v>
      </c>
      <c r="AV37" s="854" t="s">
        <v>151</v>
      </c>
      <c r="AW37" s="855"/>
      <c r="AX37" s="854" t="s">
        <v>345</v>
      </c>
      <c r="AY37" s="855"/>
      <c r="AZ37" s="854" t="s">
        <v>346</v>
      </c>
      <c r="BA37" s="858"/>
      <c r="BB37" s="858"/>
      <c r="BC37" s="858"/>
      <c r="BD37" s="858"/>
      <c r="BE37" s="855"/>
      <c r="BF37" s="854" t="s">
        <v>347</v>
      </c>
      <c r="BG37" s="858"/>
      <c r="BH37" s="858"/>
      <c r="BI37" s="858"/>
      <c r="BJ37" s="858"/>
      <c r="BK37" s="855"/>
    </row>
    <row r="38" spans="1:63" ht="36" customHeight="1" x14ac:dyDescent="0.25">
      <c r="A38" s="853"/>
      <c r="B38" s="92" t="s">
        <v>348</v>
      </c>
      <c r="C38" s="92" t="s">
        <v>348</v>
      </c>
      <c r="D38" s="92" t="s">
        <v>348</v>
      </c>
      <c r="E38" s="92" t="s">
        <v>349</v>
      </c>
      <c r="F38" s="92" t="s">
        <v>348</v>
      </c>
      <c r="G38" s="92" t="s">
        <v>348</v>
      </c>
      <c r="H38" s="92" t="s">
        <v>348</v>
      </c>
      <c r="I38" s="92" t="s">
        <v>349</v>
      </c>
      <c r="J38" s="92" t="s">
        <v>348</v>
      </c>
      <c r="K38" s="92" t="s">
        <v>348</v>
      </c>
      <c r="L38" s="92" t="s">
        <v>348</v>
      </c>
      <c r="M38" s="92" t="s">
        <v>349</v>
      </c>
      <c r="N38" s="92" t="s">
        <v>348</v>
      </c>
      <c r="O38" s="92" t="s">
        <v>348</v>
      </c>
      <c r="P38" s="92" t="s">
        <v>348</v>
      </c>
      <c r="Q38" s="92" t="s">
        <v>349</v>
      </c>
      <c r="R38" s="92" t="s">
        <v>348</v>
      </c>
      <c r="S38" s="92" t="s">
        <v>349</v>
      </c>
      <c r="T38" s="99" t="s">
        <v>350</v>
      </c>
      <c r="U38" s="99" t="s">
        <v>351</v>
      </c>
      <c r="V38" s="99" t="s">
        <v>352</v>
      </c>
      <c r="W38" s="99" t="s">
        <v>353</v>
      </c>
      <c r="X38" s="100" t="s">
        <v>354</v>
      </c>
      <c r="Y38" s="99" t="s">
        <v>355</v>
      </c>
      <c r="Z38" s="92" t="s">
        <v>356</v>
      </c>
      <c r="AA38" s="101" t="s">
        <v>357</v>
      </c>
      <c r="AB38" s="92" t="s">
        <v>358</v>
      </c>
      <c r="AC38" s="92" t="s">
        <v>359</v>
      </c>
      <c r="AD38" s="92" t="s">
        <v>360</v>
      </c>
      <c r="AE38" s="92" t="s">
        <v>361</v>
      </c>
      <c r="AG38" s="853"/>
      <c r="AH38" s="92" t="s">
        <v>348</v>
      </c>
      <c r="AI38" s="92" t="s">
        <v>348</v>
      </c>
      <c r="AJ38" s="92" t="s">
        <v>348</v>
      </c>
      <c r="AK38" s="92" t="s">
        <v>349</v>
      </c>
      <c r="AL38" s="92" t="s">
        <v>348</v>
      </c>
      <c r="AM38" s="92" t="s">
        <v>348</v>
      </c>
      <c r="AN38" s="92" t="s">
        <v>348</v>
      </c>
      <c r="AO38" s="92" t="s">
        <v>349</v>
      </c>
      <c r="AP38" s="92" t="s">
        <v>348</v>
      </c>
      <c r="AQ38" s="92" t="s">
        <v>348</v>
      </c>
      <c r="AR38" s="92" t="s">
        <v>348</v>
      </c>
      <c r="AS38" s="92" t="s">
        <v>349</v>
      </c>
      <c r="AT38" s="92" t="s">
        <v>348</v>
      </c>
      <c r="AU38" s="92" t="s">
        <v>348</v>
      </c>
      <c r="AV38" s="92" t="s">
        <v>348</v>
      </c>
      <c r="AW38" s="92" t="s">
        <v>349</v>
      </c>
      <c r="AX38" s="92" t="s">
        <v>348</v>
      </c>
      <c r="AY38" s="92" t="s">
        <v>349</v>
      </c>
      <c r="AZ38" s="99" t="s">
        <v>350</v>
      </c>
      <c r="BA38" s="99" t="s">
        <v>351</v>
      </c>
      <c r="BB38" s="99" t="s">
        <v>352</v>
      </c>
      <c r="BC38" s="99" t="s">
        <v>353</v>
      </c>
      <c r="BD38" s="100" t="s">
        <v>354</v>
      </c>
      <c r="BE38" s="99" t="s">
        <v>355</v>
      </c>
      <c r="BF38" s="102" t="s">
        <v>356</v>
      </c>
      <c r="BG38" s="103" t="s">
        <v>357</v>
      </c>
      <c r="BH38" s="102" t="s">
        <v>358</v>
      </c>
      <c r="BI38" s="102" t="s">
        <v>359</v>
      </c>
      <c r="BJ38" s="102" t="s">
        <v>360</v>
      </c>
      <c r="BK38" s="102" t="s">
        <v>361</v>
      </c>
    </row>
    <row r="39" spans="1:63" ht="15" x14ac:dyDescent="0.25">
      <c r="A39" s="104" t="s">
        <v>362</v>
      </c>
      <c r="B39" s="104"/>
      <c r="C39" s="104"/>
      <c r="D39" s="104"/>
      <c r="E39" s="105"/>
      <c r="F39" s="104"/>
      <c r="G39" s="104"/>
      <c r="H39" s="104"/>
      <c r="I39" s="105"/>
      <c r="J39" s="380">
        <f>+Meta.4!J35</f>
        <v>0</v>
      </c>
      <c r="K39" s="380">
        <f>+Meta.4!K35</f>
        <v>0.20833333333333334</v>
      </c>
      <c r="L39" s="380">
        <f>+Meta.4!L35</f>
        <v>0.2416666666666667</v>
      </c>
      <c r="M39" s="105">
        <f>+K90+L90</f>
        <v>9813325.333333334</v>
      </c>
      <c r="N39" s="380">
        <f>+Meta.4!M35</f>
        <v>0.35000000000000003</v>
      </c>
      <c r="O39" s="380">
        <f>+Meta.4!N35</f>
        <v>0.1</v>
      </c>
      <c r="P39" s="380">
        <f>+Meta.4!O35</f>
        <v>0.1</v>
      </c>
      <c r="Q39" s="105">
        <f>+M90+N90+O90</f>
        <v>22080000</v>
      </c>
      <c r="R39" s="106">
        <f>B39+C39+D39+F39+G39+H39+J39+K39+L39+N39+O39+P39</f>
        <v>1</v>
      </c>
      <c r="S39" s="107">
        <f>+E39+I39+M39+Q39</f>
        <v>31893325.333333336</v>
      </c>
      <c r="T39" s="108"/>
      <c r="U39" s="108"/>
      <c r="V39" s="108"/>
      <c r="W39" s="108"/>
      <c r="X39" s="108"/>
      <c r="Y39" s="109"/>
      <c r="Z39" s="109"/>
      <c r="AA39" s="109"/>
      <c r="AB39" s="109"/>
      <c r="AC39" s="109"/>
      <c r="AD39" s="109"/>
      <c r="AE39" s="110"/>
      <c r="AG39" s="104" t="s">
        <v>362</v>
      </c>
      <c r="AH39" s="104"/>
      <c r="AI39" s="104"/>
      <c r="AJ39" s="104"/>
      <c r="AK39" s="105"/>
      <c r="AL39" s="104"/>
      <c r="AM39" s="104"/>
      <c r="AN39" s="104"/>
      <c r="AO39" s="105"/>
      <c r="AP39" s="380">
        <f>+Meta.4!J36</f>
        <v>0</v>
      </c>
      <c r="AQ39" s="380">
        <f>+Meta.4!K36</f>
        <v>0.20833333333333334</v>
      </c>
      <c r="AR39" s="380">
        <f>+Meta.4!L36</f>
        <v>0.2416666666666667</v>
      </c>
      <c r="AS39" s="105" t="e">
        <f>+#REF!+#REF!+#REF!+#REF!+#REF!+#REF!+#REF!+#REF!</f>
        <v>#REF!</v>
      </c>
      <c r="AT39" s="380">
        <f>+Meta.4!M36</f>
        <v>0.35000000000000003</v>
      </c>
      <c r="AU39" s="380">
        <f>+Meta.4!N36</f>
        <v>0.1</v>
      </c>
      <c r="AV39" s="380">
        <f>+Meta.4!O36</f>
        <v>0</v>
      </c>
      <c r="AW39" s="105"/>
      <c r="AX39" s="384">
        <f>AH39+AI39+AJ39+AL39+AM39+AN39+AP39+AQ39+AR39+AT39+AU39+AV39</f>
        <v>0.9</v>
      </c>
      <c r="AY39" s="107" t="e">
        <f>+AK39+AO39+AS39+AW39</f>
        <v>#REF!</v>
      </c>
      <c r="AZ39" s="109"/>
      <c r="BA39" s="109"/>
      <c r="BB39" s="109"/>
      <c r="BC39" s="109"/>
      <c r="BD39" s="109"/>
      <c r="BE39" s="109"/>
      <c r="BF39" s="109"/>
      <c r="BG39" s="109"/>
      <c r="BH39" s="109"/>
      <c r="BI39" s="109"/>
      <c r="BJ39" s="109"/>
      <c r="BK39" s="110"/>
    </row>
    <row r="40" spans="1:63" ht="15" x14ac:dyDescent="0.25">
      <c r="A40" s="104" t="s">
        <v>363</v>
      </c>
      <c r="B40" s="104"/>
      <c r="C40" s="104"/>
      <c r="D40" s="104"/>
      <c r="E40" s="105"/>
      <c r="F40" s="104"/>
      <c r="G40" s="104"/>
      <c r="H40" s="104"/>
      <c r="I40" s="105"/>
      <c r="J40" s="104"/>
      <c r="K40" s="104">
        <v>0</v>
      </c>
      <c r="L40" s="104"/>
      <c r="M40" s="105"/>
      <c r="N40" s="104"/>
      <c r="O40" s="104"/>
      <c r="P40" s="104"/>
      <c r="Q40" s="105"/>
      <c r="R40" s="106">
        <f>B40+C40+D40+F40+G40+H40+J40+K40+L40+N40+O40+P40</f>
        <v>0</v>
      </c>
      <c r="S40" s="107">
        <f>+E40+I40+M40+Q40</f>
        <v>0</v>
      </c>
      <c r="T40" s="108"/>
      <c r="U40" s="108"/>
      <c r="V40" s="108"/>
      <c r="W40" s="108"/>
      <c r="X40" s="108"/>
      <c r="Y40" s="109"/>
      <c r="Z40" s="109"/>
      <c r="AA40" s="109"/>
      <c r="AB40" s="109"/>
      <c r="AC40" s="109"/>
      <c r="AD40" s="109"/>
      <c r="AE40" s="109"/>
      <c r="AG40" s="104" t="s">
        <v>363</v>
      </c>
      <c r="AH40" s="104"/>
      <c r="AI40" s="104"/>
      <c r="AJ40" s="104"/>
      <c r="AK40" s="105"/>
      <c r="AL40" s="104"/>
      <c r="AM40" s="104"/>
      <c r="AN40" s="104"/>
      <c r="AO40" s="105"/>
      <c r="AP40" s="104"/>
      <c r="AQ40" s="104"/>
      <c r="AR40" s="104"/>
      <c r="AS40" s="105"/>
      <c r="AT40" s="104"/>
      <c r="AU40" s="104"/>
      <c r="AV40" s="104"/>
      <c r="AW40" s="105"/>
      <c r="AX40" s="106">
        <f t="shared" ref="AX40:AX59" si="7">AH40+AI40+AJ40+AL40+AM40+AN40+AP40+AQ40+AR40+AT40+AU40+AV40</f>
        <v>0</v>
      </c>
      <c r="AY40" s="107">
        <f t="shared" ref="AY40:AY59" si="8">+AK40+AO40+AS40+AW40</f>
        <v>0</v>
      </c>
      <c r="AZ40" s="109"/>
      <c r="BA40" s="109"/>
      <c r="BB40" s="109"/>
      <c r="BC40" s="109"/>
      <c r="BD40" s="109"/>
      <c r="BE40" s="109"/>
      <c r="BF40" s="109"/>
      <c r="BG40" s="109"/>
      <c r="BH40" s="109"/>
      <c r="BI40" s="109"/>
      <c r="BJ40" s="109"/>
      <c r="BK40" s="109"/>
    </row>
    <row r="41" spans="1:63" ht="15" x14ac:dyDescent="0.25">
      <c r="A41" s="104" t="s">
        <v>364</v>
      </c>
      <c r="B41" s="104"/>
      <c r="C41" s="104"/>
      <c r="D41" s="104"/>
      <c r="E41" s="105"/>
      <c r="F41" s="104"/>
      <c r="G41" s="104"/>
      <c r="H41" s="104"/>
      <c r="I41" s="105"/>
      <c r="J41" s="104"/>
      <c r="K41" s="104">
        <v>0</v>
      </c>
      <c r="L41" s="104"/>
      <c r="M41" s="105"/>
      <c r="N41" s="104"/>
      <c r="O41" s="104"/>
      <c r="P41" s="104"/>
      <c r="Q41" s="105"/>
      <c r="R41" s="106">
        <f t="shared" ref="R41:R59" si="9">B41+C41+D41+F41+G41+H41+J41+K41+L41+N41+O41+P41</f>
        <v>0</v>
      </c>
      <c r="S41" s="107">
        <f t="shared" ref="S41:S59" si="10">+E41+I41+M41+Q41</f>
        <v>0</v>
      </c>
      <c r="T41" s="108"/>
      <c r="U41" s="108"/>
      <c r="V41" s="108"/>
      <c r="W41" s="108"/>
      <c r="X41" s="108"/>
      <c r="Y41" s="109"/>
      <c r="Z41" s="109"/>
      <c r="AA41" s="109"/>
      <c r="AB41" s="109"/>
      <c r="AC41" s="109"/>
      <c r="AD41" s="109"/>
      <c r="AE41" s="109"/>
      <c r="AG41" s="104" t="s">
        <v>364</v>
      </c>
      <c r="AH41" s="104"/>
      <c r="AI41" s="104"/>
      <c r="AJ41" s="104"/>
      <c r="AK41" s="105"/>
      <c r="AL41" s="104"/>
      <c r="AM41" s="104"/>
      <c r="AN41" s="104"/>
      <c r="AO41" s="105"/>
      <c r="AP41" s="104"/>
      <c r="AQ41" s="104"/>
      <c r="AR41" s="104"/>
      <c r="AS41" s="105"/>
      <c r="AT41" s="104"/>
      <c r="AU41" s="104"/>
      <c r="AV41" s="104"/>
      <c r="AW41" s="105"/>
      <c r="AX41" s="106">
        <f t="shared" si="7"/>
        <v>0</v>
      </c>
      <c r="AY41" s="107">
        <f t="shared" si="8"/>
        <v>0</v>
      </c>
      <c r="AZ41" s="109"/>
      <c r="BA41" s="109"/>
      <c r="BB41" s="109"/>
      <c r="BC41" s="109"/>
      <c r="BD41" s="109"/>
      <c r="BE41" s="109"/>
      <c r="BF41" s="109"/>
      <c r="BG41" s="109"/>
      <c r="BH41" s="109"/>
      <c r="BI41" s="109"/>
      <c r="BJ41" s="109"/>
      <c r="BK41" s="109"/>
    </row>
    <row r="42" spans="1:63" ht="15" x14ac:dyDescent="0.25">
      <c r="A42" s="104" t="s">
        <v>365</v>
      </c>
      <c r="B42" s="104"/>
      <c r="C42" s="104"/>
      <c r="D42" s="104"/>
      <c r="E42" s="105"/>
      <c r="F42" s="104"/>
      <c r="G42" s="104"/>
      <c r="H42" s="104"/>
      <c r="I42" s="105"/>
      <c r="J42" s="104"/>
      <c r="K42" s="104">
        <v>0</v>
      </c>
      <c r="L42" s="104"/>
      <c r="M42" s="105"/>
      <c r="N42" s="104"/>
      <c r="O42" s="104"/>
      <c r="P42" s="104"/>
      <c r="Q42" s="105"/>
      <c r="R42" s="106">
        <f t="shared" si="9"/>
        <v>0</v>
      </c>
      <c r="S42" s="107">
        <f t="shared" si="10"/>
        <v>0</v>
      </c>
      <c r="T42" s="108"/>
      <c r="U42" s="108"/>
      <c r="V42" s="108"/>
      <c r="W42" s="108"/>
      <c r="X42" s="108"/>
      <c r="Y42" s="109"/>
      <c r="Z42" s="109"/>
      <c r="AA42" s="109"/>
      <c r="AB42" s="109"/>
      <c r="AC42" s="109"/>
      <c r="AD42" s="109"/>
      <c r="AE42" s="109"/>
      <c r="AG42" s="104" t="s">
        <v>365</v>
      </c>
      <c r="AH42" s="104"/>
      <c r="AI42" s="104"/>
      <c r="AJ42" s="104"/>
      <c r="AK42" s="105"/>
      <c r="AL42" s="104"/>
      <c r="AM42" s="104"/>
      <c r="AN42" s="104"/>
      <c r="AO42" s="105"/>
      <c r="AP42" s="104"/>
      <c r="AQ42" s="104"/>
      <c r="AR42" s="104"/>
      <c r="AS42" s="105"/>
      <c r="AT42" s="104"/>
      <c r="AU42" s="104"/>
      <c r="AV42" s="104"/>
      <c r="AW42" s="105"/>
      <c r="AX42" s="106">
        <f t="shared" si="7"/>
        <v>0</v>
      </c>
      <c r="AY42" s="107">
        <f t="shared" si="8"/>
        <v>0</v>
      </c>
      <c r="AZ42" s="109"/>
      <c r="BA42" s="109"/>
      <c r="BB42" s="109"/>
      <c r="BC42" s="109"/>
      <c r="BD42" s="109"/>
      <c r="BE42" s="109"/>
      <c r="BF42" s="109"/>
      <c r="BG42" s="109"/>
      <c r="BH42" s="109"/>
      <c r="BI42" s="109"/>
      <c r="BJ42" s="109"/>
      <c r="BK42" s="109"/>
    </row>
    <row r="43" spans="1:63" ht="15" x14ac:dyDescent="0.25">
      <c r="A43" s="104" t="s">
        <v>366</v>
      </c>
      <c r="B43" s="104"/>
      <c r="C43" s="104"/>
      <c r="D43" s="104"/>
      <c r="E43" s="105"/>
      <c r="F43" s="104"/>
      <c r="G43" s="104"/>
      <c r="H43" s="104"/>
      <c r="I43" s="105"/>
      <c r="J43" s="104"/>
      <c r="K43" s="104">
        <v>0</v>
      </c>
      <c r="L43" s="104"/>
      <c r="M43" s="105"/>
      <c r="N43" s="104"/>
      <c r="O43" s="104"/>
      <c r="P43" s="104"/>
      <c r="Q43" s="105"/>
      <c r="R43" s="106">
        <f t="shared" si="9"/>
        <v>0</v>
      </c>
      <c r="S43" s="107">
        <f t="shared" si="10"/>
        <v>0</v>
      </c>
      <c r="T43" s="108"/>
      <c r="U43" s="108"/>
      <c r="V43" s="108"/>
      <c r="W43" s="108"/>
      <c r="X43" s="108"/>
      <c r="Y43" s="109"/>
      <c r="Z43" s="109"/>
      <c r="AA43" s="109"/>
      <c r="AB43" s="109"/>
      <c r="AC43" s="109"/>
      <c r="AD43" s="109"/>
      <c r="AE43" s="109"/>
      <c r="AG43" s="104" t="s">
        <v>366</v>
      </c>
      <c r="AH43" s="104"/>
      <c r="AI43" s="104"/>
      <c r="AJ43" s="104"/>
      <c r="AK43" s="105"/>
      <c r="AL43" s="104"/>
      <c r="AM43" s="104"/>
      <c r="AN43" s="104"/>
      <c r="AO43" s="105"/>
      <c r="AP43" s="104"/>
      <c r="AQ43" s="104"/>
      <c r="AR43" s="104"/>
      <c r="AS43" s="105"/>
      <c r="AT43" s="104"/>
      <c r="AU43" s="104"/>
      <c r="AV43" s="104"/>
      <c r="AW43" s="105"/>
      <c r="AX43" s="106">
        <f t="shared" si="7"/>
        <v>0</v>
      </c>
      <c r="AY43" s="107">
        <f t="shared" si="8"/>
        <v>0</v>
      </c>
      <c r="AZ43" s="109"/>
      <c r="BA43" s="109"/>
      <c r="BB43" s="109"/>
      <c r="BC43" s="109"/>
      <c r="BD43" s="109"/>
      <c r="BE43" s="109"/>
      <c r="BF43" s="109"/>
      <c r="BG43" s="109"/>
      <c r="BH43" s="109"/>
      <c r="BI43" s="109"/>
      <c r="BJ43" s="109"/>
      <c r="BK43" s="109"/>
    </row>
    <row r="44" spans="1:63" ht="15" x14ac:dyDescent="0.25">
      <c r="A44" s="104" t="s">
        <v>367</v>
      </c>
      <c r="B44" s="104"/>
      <c r="C44" s="104"/>
      <c r="D44" s="104"/>
      <c r="E44" s="105"/>
      <c r="F44" s="104"/>
      <c r="G44" s="104"/>
      <c r="H44" s="104"/>
      <c r="I44" s="105"/>
      <c r="J44" s="104"/>
      <c r="K44" s="104">
        <v>0</v>
      </c>
      <c r="L44" s="104"/>
      <c r="M44" s="105"/>
      <c r="N44" s="104"/>
      <c r="O44" s="104"/>
      <c r="P44" s="104"/>
      <c r="Q44" s="105"/>
      <c r="R44" s="106">
        <f t="shared" si="9"/>
        <v>0</v>
      </c>
      <c r="S44" s="107">
        <f t="shared" si="10"/>
        <v>0</v>
      </c>
      <c r="T44" s="108"/>
      <c r="U44" s="108"/>
      <c r="V44" s="108"/>
      <c r="W44" s="108"/>
      <c r="X44" s="108"/>
      <c r="Y44" s="109"/>
      <c r="Z44" s="109"/>
      <c r="AA44" s="109"/>
      <c r="AB44" s="109"/>
      <c r="AC44" s="109"/>
      <c r="AD44" s="109"/>
      <c r="AE44" s="109"/>
      <c r="AG44" s="104" t="s">
        <v>367</v>
      </c>
      <c r="AH44" s="104"/>
      <c r="AI44" s="104"/>
      <c r="AJ44" s="104"/>
      <c r="AK44" s="105"/>
      <c r="AL44" s="104"/>
      <c r="AM44" s="104"/>
      <c r="AN44" s="104"/>
      <c r="AO44" s="105"/>
      <c r="AP44" s="104"/>
      <c r="AQ44" s="104"/>
      <c r="AR44" s="104"/>
      <c r="AS44" s="105"/>
      <c r="AT44" s="104"/>
      <c r="AU44" s="104"/>
      <c r="AV44" s="104"/>
      <c r="AW44" s="105"/>
      <c r="AX44" s="106">
        <f t="shared" si="7"/>
        <v>0</v>
      </c>
      <c r="AY44" s="107">
        <f t="shared" si="8"/>
        <v>0</v>
      </c>
      <c r="AZ44" s="109"/>
      <c r="BA44" s="109"/>
      <c r="BB44" s="109"/>
      <c r="BC44" s="109"/>
      <c r="BD44" s="109"/>
      <c r="BE44" s="109"/>
      <c r="BF44" s="109"/>
      <c r="BG44" s="109"/>
      <c r="BH44" s="109"/>
      <c r="BI44" s="109"/>
      <c r="BJ44" s="109"/>
      <c r="BK44" s="109"/>
    </row>
    <row r="45" spans="1:63" ht="15" x14ac:dyDescent="0.25">
      <c r="A45" s="104" t="s">
        <v>368</v>
      </c>
      <c r="B45" s="104"/>
      <c r="C45" s="104"/>
      <c r="D45" s="104"/>
      <c r="E45" s="105"/>
      <c r="F45" s="104"/>
      <c r="G45" s="104"/>
      <c r="H45" s="104"/>
      <c r="I45" s="105"/>
      <c r="J45" s="104"/>
      <c r="K45" s="104">
        <v>0</v>
      </c>
      <c r="L45" s="104"/>
      <c r="M45" s="105"/>
      <c r="N45" s="104"/>
      <c r="O45" s="104"/>
      <c r="P45" s="104"/>
      <c r="Q45" s="105"/>
      <c r="R45" s="106">
        <f t="shared" si="9"/>
        <v>0</v>
      </c>
      <c r="S45" s="107">
        <f t="shared" si="10"/>
        <v>0</v>
      </c>
      <c r="T45" s="108"/>
      <c r="U45" s="108"/>
      <c r="V45" s="108"/>
      <c r="W45" s="108"/>
      <c r="X45" s="108"/>
      <c r="Y45" s="109"/>
      <c r="Z45" s="109"/>
      <c r="AA45" s="109"/>
      <c r="AB45" s="109"/>
      <c r="AC45" s="109"/>
      <c r="AD45" s="109"/>
      <c r="AE45" s="109"/>
      <c r="AG45" s="104" t="s">
        <v>368</v>
      </c>
      <c r="AH45" s="104"/>
      <c r="AI45" s="104"/>
      <c r="AJ45" s="104"/>
      <c r="AK45" s="105"/>
      <c r="AL45" s="104"/>
      <c r="AM45" s="104"/>
      <c r="AN45" s="104"/>
      <c r="AO45" s="105"/>
      <c r="AP45" s="104"/>
      <c r="AQ45" s="104"/>
      <c r="AR45" s="104"/>
      <c r="AS45" s="105"/>
      <c r="AT45" s="104"/>
      <c r="AU45" s="104"/>
      <c r="AV45" s="104"/>
      <c r="AW45" s="105"/>
      <c r="AX45" s="106">
        <f t="shared" si="7"/>
        <v>0</v>
      </c>
      <c r="AY45" s="107">
        <f t="shared" si="8"/>
        <v>0</v>
      </c>
      <c r="AZ45" s="109"/>
      <c r="BA45" s="109"/>
      <c r="BB45" s="109"/>
      <c r="BC45" s="109"/>
      <c r="BD45" s="109"/>
      <c r="BE45" s="109"/>
      <c r="BF45" s="109"/>
      <c r="BG45" s="109"/>
      <c r="BH45" s="109"/>
      <c r="BI45" s="109"/>
      <c r="BJ45" s="109"/>
      <c r="BK45" s="109"/>
    </row>
    <row r="46" spans="1:63" ht="15" x14ac:dyDescent="0.25">
      <c r="A46" s="104" t="s">
        <v>369</v>
      </c>
      <c r="B46" s="104"/>
      <c r="C46" s="104"/>
      <c r="D46" s="104"/>
      <c r="E46" s="105"/>
      <c r="F46" s="104"/>
      <c r="G46" s="104"/>
      <c r="H46" s="104"/>
      <c r="I46" s="105"/>
      <c r="J46" s="104"/>
      <c r="K46" s="104">
        <v>0</v>
      </c>
      <c r="L46" s="104"/>
      <c r="M46" s="105"/>
      <c r="N46" s="104"/>
      <c r="O46" s="104"/>
      <c r="P46" s="104"/>
      <c r="Q46" s="105"/>
      <c r="R46" s="106">
        <f t="shared" si="9"/>
        <v>0</v>
      </c>
      <c r="S46" s="107">
        <f t="shared" si="10"/>
        <v>0</v>
      </c>
      <c r="T46" s="108"/>
      <c r="U46" s="108"/>
      <c r="V46" s="108"/>
      <c r="W46" s="108"/>
      <c r="X46" s="108"/>
      <c r="Y46" s="109"/>
      <c r="Z46" s="109"/>
      <c r="AA46" s="109"/>
      <c r="AB46" s="109"/>
      <c r="AC46" s="109"/>
      <c r="AD46" s="109"/>
      <c r="AE46" s="109"/>
      <c r="AG46" s="104" t="s">
        <v>369</v>
      </c>
      <c r="AH46" s="104"/>
      <c r="AI46" s="104"/>
      <c r="AJ46" s="104"/>
      <c r="AK46" s="105"/>
      <c r="AL46" s="104"/>
      <c r="AM46" s="104"/>
      <c r="AN46" s="104"/>
      <c r="AO46" s="105"/>
      <c r="AP46" s="104"/>
      <c r="AQ46" s="104"/>
      <c r="AR46" s="104"/>
      <c r="AS46" s="105"/>
      <c r="AT46" s="104"/>
      <c r="AU46" s="104"/>
      <c r="AV46" s="104"/>
      <c r="AW46" s="105"/>
      <c r="AX46" s="106">
        <f t="shared" si="7"/>
        <v>0</v>
      </c>
      <c r="AY46" s="107">
        <f t="shared" si="8"/>
        <v>0</v>
      </c>
      <c r="AZ46" s="109"/>
      <c r="BA46" s="109"/>
      <c r="BB46" s="109"/>
      <c r="BC46" s="109"/>
      <c r="BD46" s="109"/>
      <c r="BE46" s="109"/>
      <c r="BF46" s="109"/>
      <c r="BG46" s="109"/>
      <c r="BH46" s="109"/>
      <c r="BI46" s="109"/>
      <c r="BJ46" s="109"/>
      <c r="BK46" s="109"/>
    </row>
    <row r="47" spans="1:63" ht="15" x14ac:dyDescent="0.25">
      <c r="A47" s="104" t="s">
        <v>370</v>
      </c>
      <c r="B47" s="104"/>
      <c r="C47" s="104"/>
      <c r="D47" s="104"/>
      <c r="E47" s="105"/>
      <c r="F47" s="104"/>
      <c r="G47" s="104"/>
      <c r="H47" s="104"/>
      <c r="I47" s="105"/>
      <c r="J47" s="104"/>
      <c r="K47" s="104">
        <v>0</v>
      </c>
      <c r="L47" s="104"/>
      <c r="M47" s="105"/>
      <c r="N47" s="104"/>
      <c r="O47" s="104"/>
      <c r="P47" s="104"/>
      <c r="Q47" s="105"/>
      <c r="R47" s="106">
        <f t="shared" si="9"/>
        <v>0</v>
      </c>
      <c r="S47" s="107">
        <f t="shared" si="10"/>
        <v>0</v>
      </c>
      <c r="T47" s="108"/>
      <c r="U47" s="108"/>
      <c r="V47" s="108"/>
      <c r="W47" s="108"/>
      <c r="X47" s="108"/>
      <c r="Y47" s="109"/>
      <c r="Z47" s="109"/>
      <c r="AA47" s="109"/>
      <c r="AB47" s="109"/>
      <c r="AC47" s="109"/>
      <c r="AD47" s="109"/>
      <c r="AE47" s="109"/>
      <c r="AG47" s="104" t="s">
        <v>370</v>
      </c>
      <c r="AH47" s="104"/>
      <c r="AI47" s="104"/>
      <c r="AJ47" s="104"/>
      <c r="AK47" s="105"/>
      <c r="AL47" s="104"/>
      <c r="AM47" s="104"/>
      <c r="AN47" s="104"/>
      <c r="AO47" s="105"/>
      <c r="AP47" s="104"/>
      <c r="AQ47" s="104"/>
      <c r="AR47" s="104"/>
      <c r="AS47" s="105"/>
      <c r="AT47" s="104"/>
      <c r="AU47" s="104"/>
      <c r="AV47" s="104"/>
      <c r="AW47" s="105"/>
      <c r="AX47" s="106">
        <f t="shared" si="7"/>
        <v>0</v>
      </c>
      <c r="AY47" s="107">
        <f t="shared" si="8"/>
        <v>0</v>
      </c>
      <c r="AZ47" s="109"/>
      <c r="BA47" s="109"/>
      <c r="BB47" s="109"/>
      <c r="BC47" s="109"/>
      <c r="BD47" s="109"/>
      <c r="BE47" s="109"/>
      <c r="BF47" s="109"/>
      <c r="BG47" s="109"/>
      <c r="BH47" s="109"/>
      <c r="BI47" s="104"/>
      <c r="BJ47" s="104"/>
      <c r="BK47" s="104"/>
    </row>
    <row r="48" spans="1:63" ht="15" x14ac:dyDescent="0.25">
      <c r="A48" s="104" t="s">
        <v>371</v>
      </c>
      <c r="B48" s="104"/>
      <c r="C48" s="104"/>
      <c r="D48" s="104"/>
      <c r="E48" s="105"/>
      <c r="F48" s="104"/>
      <c r="G48" s="104"/>
      <c r="H48" s="104"/>
      <c r="I48" s="105"/>
      <c r="J48" s="104"/>
      <c r="K48" s="104">
        <v>0</v>
      </c>
      <c r="L48" s="104"/>
      <c r="M48" s="105"/>
      <c r="N48" s="104"/>
      <c r="O48" s="104"/>
      <c r="P48" s="104"/>
      <c r="Q48" s="105"/>
      <c r="R48" s="106">
        <f t="shared" si="9"/>
        <v>0</v>
      </c>
      <c r="S48" s="107">
        <f t="shared" si="10"/>
        <v>0</v>
      </c>
      <c r="T48" s="108"/>
      <c r="U48" s="108"/>
      <c r="V48" s="108"/>
      <c r="W48" s="108"/>
      <c r="X48" s="108"/>
      <c r="Y48" s="109"/>
      <c r="Z48" s="109"/>
      <c r="AA48" s="109"/>
      <c r="AB48" s="109"/>
      <c r="AC48" s="109"/>
      <c r="AD48" s="109"/>
      <c r="AE48" s="109"/>
      <c r="AG48" s="104" t="s">
        <v>371</v>
      </c>
      <c r="AH48" s="104"/>
      <c r="AI48" s="104"/>
      <c r="AJ48" s="104"/>
      <c r="AK48" s="105"/>
      <c r="AL48" s="104"/>
      <c r="AM48" s="104"/>
      <c r="AN48" s="104"/>
      <c r="AO48" s="105"/>
      <c r="AP48" s="104"/>
      <c r="AQ48" s="104"/>
      <c r="AR48" s="104"/>
      <c r="AS48" s="105"/>
      <c r="AT48" s="104"/>
      <c r="AU48" s="104"/>
      <c r="AV48" s="104"/>
      <c r="AW48" s="105"/>
      <c r="AX48" s="106">
        <f t="shared" si="7"/>
        <v>0</v>
      </c>
      <c r="AY48" s="107">
        <f t="shared" si="8"/>
        <v>0</v>
      </c>
      <c r="AZ48" s="109"/>
      <c r="BA48" s="109"/>
      <c r="BB48" s="109"/>
      <c r="BC48" s="109"/>
      <c r="BD48" s="109"/>
      <c r="BE48" s="109"/>
      <c r="BF48" s="109"/>
      <c r="BG48" s="109"/>
      <c r="BH48" s="109"/>
      <c r="BI48" s="104"/>
      <c r="BJ48" s="104"/>
      <c r="BK48" s="104"/>
    </row>
    <row r="49" spans="1:63" ht="15" x14ac:dyDescent="0.25">
      <c r="A49" s="104" t="s">
        <v>372</v>
      </c>
      <c r="B49" s="104"/>
      <c r="C49" s="104"/>
      <c r="D49" s="104"/>
      <c r="E49" s="105"/>
      <c r="F49" s="104"/>
      <c r="G49" s="104"/>
      <c r="H49" s="104"/>
      <c r="I49" s="105"/>
      <c r="J49" s="104"/>
      <c r="K49" s="104">
        <v>0</v>
      </c>
      <c r="L49" s="104"/>
      <c r="M49" s="105"/>
      <c r="N49" s="104"/>
      <c r="O49" s="104"/>
      <c r="P49" s="104"/>
      <c r="Q49" s="105"/>
      <c r="R49" s="106">
        <f t="shared" si="9"/>
        <v>0</v>
      </c>
      <c r="S49" s="107">
        <f t="shared" si="10"/>
        <v>0</v>
      </c>
      <c r="T49" s="108"/>
      <c r="U49" s="108"/>
      <c r="V49" s="108"/>
      <c r="W49" s="108"/>
      <c r="X49" s="108"/>
      <c r="Y49" s="109"/>
      <c r="Z49" s="109"/>
      <c r="AA49" s="109"/>
      <c r="AB49" s="109"/>
      <c r="AC49" s="109"/>
      <c r="AD49" s="109"/>
      <c r="AE49" s="109"/>
      <c r="AG49" s="104" t="s">
        <v>372</v>
      </c>
      <c r="AH49" s="104"/>
      <c r="AI49" s="104"/>
      <c r="AJ49" s="104"/>
      <c r="AK49" s="105"/>
      <c r="AL49" s="104"/>
      <c r="AM49" s="104"/>
      <c r="AN49" s="104"/>
      <c r="AO49" s="105"/>
      <c r="AP49" s="104"/>
      <c r="AQ49" s="104"/>
      <c r="AR49" s="104"/>
      <c r="AS49" s="105"/>
      <c r="AT49" s="104"/>
      <c r="AU49" s="104"/>
      <c r="AV49" s="104"/>
      <c r="AW49" s="105"/>
      <c r="AX49" s="106">
        <f t="shared" si="7"/>
        <v>0</v>
      </c>
      <c r="AY49" s="107">
        <f t="shared" si="8"/>
        <v>0</v>
      </c>
      <c r="AZ49" s="109"/>
      <c r="BA49" s="109"/>
      <c r="BB49" s="109"/>
      <c r="BC49" s="109"/>
      <c r="BD49" s="109"/>
      <c r="BE49" s="109"/>
      <c r="BF49" s="109"/>
      <c r="BG49" s="109"/>
      <c r="BH49" s="109"/>
      <c r="BI49" s="104"/>
      <c r="BJ49" s="104"/>
      <c r="BK49" s="104"/>
    </row>
    <row r="50" spans="1:63" ht="15" x14ac:dyDescent="0.25">
      <c r="A50" s="104" t="s">
        <v>373</v>
      </c>
      <c r="B50" s="104"/>
      <c r="C50" s="104"/>
      <c r="D50" s="104"/>
      <c r="E50" s="105"/>
      <c r="F50" s="104"/>
      <c r="G50" s="104"/>
      <c r="H50" s="104"/>
      <c r="I50" s="105"/>
      <c r="J50" s="104"/>
      <c r="K50" s="104">
        <v>0</v>
      </c>
      <c r="L50" s="104"/>
      <c r="M50" s="105"/>
      <c r="N50" s="104"/>
      <c r="O50" s="104"/>
      <c r="P50" s="104"/>
      <c r="Q50" s="105"/>
      <c r="R50" s="106">
        <f t="shared" si="9"/>
        <v>0</v>
      </c>
      <c r="S50" s="107">
        <f t="shared" si="10"/>
        <v>0</v>
      </c>
      <c r="T50" s="108"/>
      <c r="U50" s="108"/>
      <c r="V50" s="108"/>
      <c r="W50" s="108"/>
      <c r="X50" s="108"/>
      <c r="Y50" s="109"/>
      <c r="Z50" s="109"/>
      <c r="AA50" s="109"/>
      <c r="AB50" s="109"/>
      <c r="AC50" s="109"/>
      <c r="AD50" s="109"/>
      <c r="AE50" s="109"/>
      <c r="AG50" s="104" t="s">
        <v>373</v>
      </c>
      <c r="AH50" s="104"/>
      <c r="AI50" s="104"/>
      <c r="AJ50" s="104"/>
      <c r="AK50" s="105"/>
      <c r="AL50" s="104"/>
      <c r="AM50" s="104"/>
      <c r="AN50" s="104"/>
      <c r="AO50" s="105"/>
      <c r="AP50" s="104"/>
      <c r="AQ50" s="104"/>
      <c r="AR50" s="104"/>
      <c r="AS50" s="105"/>
      <c r="AT50" s="104"/>
      <c r="AU50" s="104"/>
      <c r="AV50" s="104"/>
      <c r="AW50" s="105"/>
      <c r="AX50" s="106">
        <f t="shared" si="7"/>
        <v>0</v>
      </c>
      <c r="AY50" s="107">
        <f t="shared" si="8"/>
        <v>0</v>
      </c>
      <c r="AZ50" s="109"/>
      <c r="BA50" s="109"/>
      <c r="BB50" s="109"/>
      <c r="BC50" s="109"/>
      <c r="BD50" s="109"/>
      <c r="BE50" s="109"/>
      <c r="BF50" s="109"/>
      <c r="BG50" s="109"/>
      <c r="BH50" s="109"/>
      <c r="BI50" s="109"/>
      <c r="BJ50" s="109"/>
      <c r="BK50" s="109"/>
    </row>
    <row r="51" spans="1:63" ht="15" x14ac:dyDescent="0.25">
      <c r="A51" s="104" t="s">
        <v>374</v>
      </c>
      <c r="B51" s="104"/>
      <c r="C51" s="104"/>
      <c r="D51" s="104"/>
      <c r="E51" s="105"/>
      <c r="F51" s="104"/>
      <c r="G51" s="104"/>
      <c r="H51" s="104"/>
      <c r="I51" s="105"/>
      <c r="J51" s="104"/>
      <c r="K51" s="104">
        <v>0</v>
      </c>
      <c r="L51" s="104"/>
      <c r="M51" s="105"/>
      <c r="N51" s="104"/>
      <c r="O51" s="104"/>
      <c r="P51" s="104"/>
      <c r="Q51" s="105"/>
      <c r="R51" s="106">
        <f t="shared" si="9"/>
        <v>0</v>
      </c>
      <c r="S51" s="107">
        <f t="shared" si="10"/>
        <v>0</v>
      </c>
      <c r="T51" s="108"/>
      <c r="U51" s="108"/>
      <c r="V51" s="108"/>
      <c r="W51" s="108"/>
      <c r="X51" s="108"/>
      <c r="Y51" s="109"/>
      <c r="Z51" s="109"/>
      <c r="AA51" s="109"/>
      <c r="AB51" s="109"/>
      <c r="AC51" s="109"/>
      <c r="AD51" s="109"/>
      <c r="AE51" s="109"/>
      <c r="AG51" s="104" t="s">
        <v>374</v>
      </c>
      <c r="AH51" s="104"/>
      <c r="AI51" s="104"/>
      <c r="AJ51" s="104"/>
      <c r="AK51" s="105"/>
      <c r="AL51" s="104"/>
      <c r="AM51" s="104"/>
      <c r="AN51" s="104"/>
      <c r="AO51" s="105"/>
      <c r="AP51" s="104"/>
      <c r="AQ51" s="104"/>
      <c r="AR51" s="104"/>
      <c r="AS51" s="105"/>
      <c r="AT51" s="104"/>
      <c r="AU51" s="104"/>
      <c r="AV51" s="104"/>
      <c r="AW51" s="105"/>
      <c r="AX51" s="106">
        <f t="shared" si="7"/>
        <v>0</v>
      </c>
      <c r="AY51" s="107">
        <f t="shared" si="8"/>
        <v>0</v>
      </c>
      <c r="AZ51" s="109"/>
      <c r="BA51" s="109"/>
      <c r="BB51" s="109"/>
      <c r="BC51" s="109"/>
      <c r="BD51" s="109"/>
      <c r="BE51" s="109"/>
      <c r="BF51" s="109"/>
      <c r="BG51" s="109"/>
      <c r="BH51" s="109"/>
      <c r="BI51" s="109"/>
      <c r="BJ51" s="109"/>
      <c r="BK51" s="109"/>
    </row>
    <row r="52" spans="1:63" ht="15" x14ac:dyDescent="0.25">
      <c r="A52" s="104" t="s">
        <v>375</v>
      </c>
      <c r="B52" s="104"/>
      <c r="C52" s="104"/>
      <c r="D52" s="104"/>
      <c r="E52" s="105"/>
      <c r="F52" s="104"/>
      <c r="G52" s="104"/>
      <c r="H52" s="104"/>
      <c r="I52" s="105"/>
      <c r="J52" s="104"/>
      <c r="K52" s="104">
        <v>0</v>
      </c>
      <c r="L52" s="104"/>
      <c r="M52" s="105"/>
      <c r="N52" s="104"/>
      <c r="O52" s="104"/>
      <c r="P52" s="104"/>
      <c r="Q52" s="105"/>
      <c r="R52" s="106">
        <f t="shared" si="9"/>
        <v>0</v>
      </c>
      <c r="S52" s="107">
        <f t="shared" si="10"/>
        <v>0</v>
      </c>
      <c r="T52" s="108"/>
      <c r="U52" s="108"/>
      <c r="V52" s="108"/>
      <c r="W52" s="108"/>
      <c r="X52" s="108"/>
      <c r="Y52" s="109"/>
      <c r="Z52" s="109"/>
      <c r="AA52" s="109"/>
      <c r="AB52" s="109"/>
      <c r="AC52" s="109"/>
      <c r="AD52" s="109"/>
      <c r="AE52" s="109"/>
      <c r="AG52" s="104" t="s">
        <v>375</v>
      </c>
      <c r="AH52" s="104"/>
      <c r="AI52" s="104"/>
      <c r="AJ52" s="104"/>
      <c r="AK52" s="105"/>
      <c r="AL52" s="104"/>
      <c r="AM52" s="104"/>
      <c r="AN52" s="104"/>
      <c r="AO52" s="105"/>
      <c r="AP52" s="104"/>
      <c r="AQ52" s="104"/>
      <c r="AR52" s="104"/>
      <c r="AS52" s="105"/>
      <c r="AT52" s="104"/>
      <c r="AU52" s="104"/>
      <c r="AV52" s="104"/>
      <c r="AW52" s="105"/>
      <c r="AX52" s="106">
        <f t="shared" si="7"/>
        <v>0</v>
      </c>
      <c r="AY52" s="107">
        <f t="shared" si="8"/>
        <v>0</v>
      </c>
      <c r="AZ52" s="109"/>
      <c r="BA52" s="109"/>
      <c r="BB52" s="109"/>
      <c r="BC52" s="109"/>
      <c r="BD52" s="109"/>
      <c r="BE52" s="109"/>
      <c r="BF52" s="109"/>
      <c r="BG52" s="109"/>
      <c r="BH52" s="109"/>
      <c r="BI52" s="109"/>
      <c r="BJ52" s="109"/>
      <c r="BK52" s="109"/>
    </row>
    <row r="53" spans="1:63" ht="15" x14ac:dyDescent="0.25">
      <c r="A53" s="104" t="s">
        <v>376</v>
      </c>
      <c r="B53" s="104"/>
      <c r="C53" s="104"/>
      <c r="D53" s="104"/>
      <c r="E53" s="105"/>
      <c r="F53" s="104"/>
      <c r="G53" s="104"/>
      <c r="H53" s="104"/>
      <c r="I53" s="105"/>
      <c r="J53" s="104"/>
      <c r="K53" s="104">
        <v>0</v>
      </c>
      <c r="L53" s="104"/>
      <c r="M53" s="105"/>
      <c r="N53" s="104"/>
      <c r="O53" s="104"/>
      <c r="P53" s="104"/>
      <c r="Q53" s="105"/>
      <c r="R53" s="106">
        <f t="shared" si="9"/>
        <v>0</v>
      </c>
      <c r="S53" s="107">
        <f t="shared" si="10"/>
        <v>0</v>
      </c>
      <c r="T53" s="108"/>
      <c r="U53" s="108"/>
      <c r="V53" s="108"/>
      <c r="W53" s="108"/>
      <c r="X53" s="108"/>
      <c r="Y53" s="109"/>
      <c r="Z53" s="109"/>
      <c r="AA53" s="109"/>
      <c r="AB53" s="109"/>
      <c r="AC53" s="109"/>
      <c r="AD53" s="109"/>
      <c r="AE53" s="109"/>
      <c r="AG53" s="104" t="s">
        <v>376</v>
      </c>
      <c r="AH53" s="104"/>
      <c r="AI53" s="104"/>
      <c r="AJ53" s="104"/>
      <c r="AK53" s="105"/>
      <c r="AL53" s="104"/>
      <c r="AM53" s="104"/>
      <c r="AN53" s="104"/>
      <c r="AO53" s="105"/>
      <c r="AP53" s="104"/>
      <c r="AQ53" s="104"/>
      <c r="AR53" s="104"/>
      <c r="AS53" s="105"/>
      <c r="AT53" s="104"/>
      <c r="AU53" s="104"/>
      <c r="AV53" s="104"/>
      <c r="AW53" s="105"/>
      <c r="AX53" s="106">
        <f t="shared" si="7"/>
        <v>0</v>
      </c>
      <c r="AY53" s="107">
        <f t="shared" si="8"/>
        <v>0</v>
      </c>
      <c r="AZ53" s="109"/>
      <c r="BA53" s="109"/>
      <c r="BB53" s="109"/>
      <c r="BC53" s="109"/>
      <c r="BD53" s="109"/>
      <c r="BE53" s="109"/>
      <c r="BF53" s="109"/>
      <c r="BG53" s="109"/>
      <c r="BH53" s="109"/>
      <c r="BI53" s="109"/>
      <c r="BJ53" s="109"/>
      <c r="BK53" s="109"/>
    </row>
    <row r="54" spans="1:63" ht="15" x14ac:dyDescent="0.25">
      <c r="A54" s="104" t="s">
        <v>377</v>
      </c>
      <c r="B54" s="104"/>
      <c r="C54" s="104"/>
      <c r="D54" s="104"/>
      <c r="E54" s="105"/>
      <c r="F54" s="104"/>
      <c r="G54" s="104"/>
      <c r="H54" s="104"/>
      <c r="I54" s="105"/>
      <c r="J54" s="104"/>
      <c r="K54" s="104">
        <v>0</v>
      </c>
      <c r="L54" s="104"/>
      <c r="M54" s="105"/>
      <c r="N54" s="104"/>
      <c r="O54" s="104"/>
      <c r="P54" s="104"/>
      <c r="Q54" s="105"/>
      <c r="R54" s="106">
        <f t="shared" si="9"/>
        <v>0</v>
      </c>
      <c r="S54" s="107">
        <f t="shared" si="10"/>
        <v>0</v>
      </c>
      <c r="T54" s="108"/>
      <c r="U54" s="108"/>
      <c r="V54" s="108"/>
      <c r="W54" s="108"/>
      <c r="X54" s="108"/>
      <c r="Y54" s="109"/>
      <c r="Z54" s="109"/>
      <c r="AA54" s="109"/>
      <c r="AB54" s="109"/>
      <c r="AC54" s="109"/>
      <c r="AD54" s="109"/>
      <c r="AE54" s="109"/>
      <c r="AG54" s="104" t="s">
        <v>377</v>
      </c>
      <c r="AH54" s="104"/>
      <c r="AI54" s="104"/>
      <c r="AJ54" s="104"/>
      <c r="AK54" s="105"/>
      <c r="AL54" s="104"/>
      <c r="AM54" s="104"/>
      <c r="AN54" s="104"/>
      <c r="AO54" s="105"/>
      <c r="AP54" s="104"/>
      <c r="AQ54" s="104"/>
      <c r="AR54" s="104"/>
      <c r="AS54" s="105"/>
      <c r="AT54" s="104"/>
      <c r="AU54" s="104"/>
      <c r="AV54" s="104"/>
      <c r="AW54" s="105"/>
      <c r="AX54" s="106">
        <f t="shared" si="7"/>
        <v>0</v>
      </c>
      <c r="AY54" s="107">
        <f t="shared" si="8"/>
        <v>0</v>
      </c>
      <c r="AZ54" s="109"/>
      <c r="BA54" s="109"/>
      <c r="BB54" s="109"/>
      <c r="BC54" s="109"/>
      <c r="BD54" s="109"/>
      <c r="BE54" s="109"/>
      <c r="BF54" s="109"/>
      <c r="BG54" s="109"/>
      <c r="BH54" s="109"/>
      <c r="BI54" s="109"/>
      <c r="BJ54" s="109"/>
      <c r="BK54" s="109"/>
    </row>
    <row r="55" spans="1:63" ht="15" x14ac:dyDescent="0.25">
      <c r="A55" s="104" t="s">
        <v>378</v>
      </c>
      <c r="B55" s="104"/>
      <c r="C55" s="104"/>
      <c r="D55" s="104"/>
      <c r="E55" s="105"/>
      <c r="F55" s="104"/>
      <c r="G55" s="104"/>
      <c r="H55" s="104"/>
      <c r="I55" s="105"/>
      <c r="J55" s="104"/>
      <c r="K55" s="104">
        <v>0</v>
      </c>
      <c r="L55" s="104"/>
      <c r="M55" s="105"/>
      <c r="N55" s="104"/>
      <c r="O55" s="104"/>
      <c r="P55" s="104"/>
      <c r="Q55" s="105"/>
      <c r="R55" s="106">
        <f t="shared" si="9"/>
        <v>0</v>
      </c>
      <c r="S55" s="107">
        <f t="shared" si="10"/>
        <v>0</v>
      </c>
      <c r="T55" s="108"/>
      <c r="U55" s="108"/>
      <c r="V55" s="108"/>
      <c r="W55" s="108"/>
      <c r="X55" s="108"/>
      <c r="Y55" s="109"/>
      <c r="Z55" s="109"/>
      <c r="AA55" s="109"/>
      <c r="AB55" s="109"/>
      <c r="AC55" s="109"/>
      <c r="AD55" s="109"/>
      <c r="AE55" s="109"/>
      <c r="AG55" s="104" t="s">
        <v>378</v>
      </c>
      <c r="AH55" s="104"/>
      <c r="AI55" s="104"/>
      <c r="AJ55" s="104"/>
      <c r="AK55" s="105"/>
      <c r="AL55" s="104"/>
      <c r="AM55" s="104"/>
      <c r="AN55" s="104"/>
      <c r="AO55" s="105"/>
      <c r="AP55" s="104"/>
      <c r="AQ55" s="104"/>
      <c r="AR55" s="104"/>
      <c r="AS55" s="105"/>
      <c r="AT55" s="104"/>
      <c r="AU55" s="104"/>
      <c r="AV55" s="104"/>
      <c r="AW55" s="105"/>
      <c r="AX55" s="106">
        <f t="shared" si="7"/>
        <v>0</v>
      </c>
      <c r="AY55" s="107">
        <f t="shared" si="8"/>
        <v>0</v>
      </c>
      <c r="AZ55" s="109"/>
      <c r="BA55" s="109"/>
      <c r="BB55" s="109"/>
      <c r="BC55" s="109"/>
      <c r="BD55" s="109"/>
      <c r="BE55" s="109"/>
      <c r="BF55" s="109"/>
      <c r="BG55" s="109"/>
      <c r="BH55" s="109"/>
      <c r="BI55" s="109"/>
      <c r="BJ55" s="109"/>
      <c r="BK55" s="109"/>
    </row>
    <row r="56" spans="1:63" ht="15" x14ac:dyDescent="0.25">
      <c r="A56" s="104" t="s">
        <v>379</v>
      </c>
      <c r="B56" s="104"/>
      <c r="C56" s="104"/>
      <c r="D56" s="104"/>
      <c r="E56" s="105"/>
      <c r="F56" s="104"/>
      <c r="G56" s="104"/>
      <c r="H56" s="104"/>
      <c r="I56" s="105"/>
      <c r="J56" s="104"/>
      <c r="K56" s="104">
        <v>0</v>
      </c>
      <c r="L56" s="104"/>
      <c r="M56" s="105"/>
      <c r="N56" s="104"/>
      <c r="O56" s="104"/>
      <c r="P56" s="104"/>
      <c r="Q56" s="105"/>
      <c r="R56" s="106">
        <f t="shared" si="9"/>
        <v>0</v>
      </c>
      <c r="S56" s="107">
        <f t="shared" si="10"/>
        <v>0</v>
      </c>
      <c r="T56" s="108"/>
      <c r="U56" s="108"/>
      <c r="V56" s="108"/>
      <c r="W56" s="108"/>
      <c r="X56" s="108"/>
      <c r="Y56" s="109"/>
      <c r="Z56" s="109"/>
      <c r="AA56" s="109"/>
      <c r="AB56" s="109"/>
      <c r="AC56" s="109"/>
      <c r="AD56" s="109"/>
      <c r="AE56" s="109"/>
      <c r="AG56" s="104" t="s">
        <v>379</v>
      </c>
      <c r="AH56" s="104"/>
      <c r="AI56" s="104"/>
      <c r="AJ56" s="104"/>
      <c r="AK56" s="105"/>
      <c r="AL56" s="104"/>
      <c r="AM56" s="104"/>
      <c r="AN56" s="104"/>
      <c r="AO56" s="105"/>
      <c r="AP56" s="104"/>
      <c r="AQ56" s="104"/>
      <c r="AR56" s="104"/>
      <c r="AS56" s="105"/>
      <c r="AT56" s="104"/>
      <c r="AU56" s="104"/>
      <c r="AV56" s="104"/>
      <c r="AW56" s="105"/>
      <c r="AX56" s="106">
        <f t="shared" si="7"/>
        <v>0</v>
      </c>
      <c r="AY56" s="107">
        <f t="shared" si="8"/>
        <v>0</v>
      </c>
      <c r="AZ56" s="109"/>
      <c r="BA56" s="109"/>
      <c r="BB56" s="109"/>
      <c r="BC56" s="109"/>
      <c r="BD56" s="109"/>
      <c r="BE56" s="109"/>
      <c r="BF56" s="109"/>
      <c r="BG56" s="109"/>
      <c r="BH56" s="109"/>
      <c r="BI56" s="109"/>
      <c r="BJ56" s="109"/>
      <c r="BK56" s="109"/>
    </row>
    <row r="57" spans="1:63" ht="15" x14ac:dyDescent="0.25">
      <c r="A57" s="104" t="s">
        <v>380</v>
      </c>
      <c r="B57" s="104"/>
      <c r="C57" s="104"/>
      <c r="D57" s="104"/>
      <c r="E57" s="105"/>
      <c r="F57" s="104"/>
      <c r="G57" s="104"/>
      <c r="H57" s="104"/>
      <c r="I57" s="105"/>
      <c r="J57" s="104"/>
      <c r="K57" s="104">
        <v>0</v>
      </c>
      <c r="L57" s="104"/>
      <c r="M57" s="105"/>
      <c r="N57" s="104"/>
      <c r="O57" s="104"/>
      <c r="P57" s="104"/>
      <c r="Q57" s="105"/>
      <c r="R57" s="106">
        <f t="shared" si="9"/>
        <v>0</v>
      </c>
      <c r="S57" s="107">
        <f t="shared" si="10"/>
        <v>0</v>
      </c>
      <c r="T57" s="108"/>
      <c r="U57" s="108"/>
      <c r="V57" s="108"/>
      <c r="W57" s="108"/>
      <c r="X57" s="108"/>
      <c r="Y57" s="109"/>
      <c r="Z57" s="109"/>
      <c r="AA57" s="109"/>
      <c r="AB57" s="109"/>
      <c r="AC57" s="109"/>
      <c r="AD57" s="109"/>
      <c r="AE57" s="109"/>
      <c r="AG57" s="104" t="s">
        <v>380</v>
      </c>
      <c r="AH57" s="104"/>
      <c r="AI57" s="104"/>
      <c r="AJ57" s="104"/>
      <c r="AK57" s="105"/>
      <c r="AL57" s="104"/>
      <c r="AM57" s="104"/>
      <c r="AN57" s="104"/>
      <c r="AO57" s="105"/>
      <c r="AP57" s="104"/>
      <c r="AQ57" s="104"/>
      <c r="AR57" s="104"/>
      <c r="AS57" s="105"/>
      <c r="AT57" s="104"/>
      <c r="AU57" s="104"/>
      <c r="AV57" s="104"/>
      <c r="AW57" s="105"/>
      <c r="AX57" s="106">
        <f t="shared" si="7"/>
        <v>0</v>
      </c>
      <c r="AY57" s="107">
        <f t="shared" si="8"/>
        <v>0</v>
      </c>
      <c r="AZ57" s="109"/>
      <c r="BA57" s="109"/>
      <c r="BB57" s="109"/>
      <c r="BC57" s="109"/>
      <c r="BD57" s="109"/>
      <c r="BE57" s="109"/>
      <c r="BF57" s="109"/>
      <c r="BG57" s="109"/>
      <c r="BH57" s="109"/>
      <c r="BI57" s="109"/>
      <c r="BJ57" s="109"/>
      <c r="BK57" s="109"/>
    </row>
    <row r="58" spans="1:63" ht="15" x14ac:dyDescent="0.25">
      <c r="A58" s="104" t="s">
        <v>381</v>
      </c>
      <c r="B58" s="104"/>
      <c r="C58" s="104"/>
      <c r="D58" s="104"/>
      <c r="E58" s="105"/>
      <c r="F58" s="104"/>
      <c r="G58" s="104"/>
      <c r="H58" s="104"/>
      <c r="I58" s="105"/>
      <c r="J58" s="104"/>
      <c r="K58" s="104">
        <v>0</v>
      </c>
      <c r="L58" s="104"/>
      <c r="M58" s="105"/>
      <c r="N58" s="104"/>
      <c r="O58" s="104"/>
      <c r="P58" s="104"/>
      <c r="Q58" s="105"/>
      <c r="R58" s="106">
        <f t="shared" si="9"/>
        <v>0</v>
      </c>
      <c r="S58" s="107">
        <f t="shared" si="10"/>
        <v>0</v>
      </c>
      <c r="T58" s="108"/>
      <c r="U58" s="108"/>
      <c r="V58" s="108"/>
      <c r="W58" s="108"/>
      <c r="X58" s="108"/>
      <c r="Y58" s="109"/>
      <c r="Z58" s="109"/>
      <c r="AA58" s="109"/>
      <c r="AB58" s="109"/>
      <c r="AC58" s="109"/>
      <c r="AD58" s="109"/>
      <c r="AE58" s="109"/>
      <c r="AG58" s="104" t="s">
        <v>381</v>
      </c>
      <c r="AH58" s="104"/>
      <c r="AI58" s="104"/>
      <c r="AJ58" s="104"/>
      <c r="AK58" s="105"/>
      <c r="AL58" s="104"/>
      <c r="AM58" s="104"/>
      <c r="AN58" s="104"/>
      <c r="AO58" s="105"/>
      <c r="AP58" s="104"/>
      <c r="AQ58" s="104"/>
      <c r="AR58" s="104"/>
      <c r="AS58" s="105"/>
      <c r="AT58" s="104"/>
      <c r="AU58" s="104"/>
      <c r="AV58" s="104"/>
      <c r="AW58" s="105"/>
      <c r="AX58" s="106">
        <f t="shared" si="7"/>
        <v>0</v>
      </c>
      <c r="AY58" s="107">
        <f t="shared" si="8"/>
        <v>0</v>
      </c>
      <c r="AZ58" s="109"/>
      <c r="BA58" s="109"/>
      <c r="BB58" s="109"/>
      <c r="BC58" s="109"/>
      <c r="BD58" s="109"/>
      <c r="BE58" s="109"/>
      <c r="BF58" s="109"/>
      <c r="BG58" s="109"/>
      <c r="BH58" s="109"/>
      <c r="BI58" s="109"/>
      <c r="BJ58" s="109"/>
      <c r="BK58" s="109"/>
    </row>
    <row r="59" spans="1:63" ht="15" x14ac:dyDescent="0.25">
      <c r="A59" s="104" t="s">
        <v>382</v>
      </c>
      <c r="B59" s="104"/>
      <c r="C59" s="104"/>
      <c r="D59" s="104"/>
      <c r="E59" s="105"/>
      <c r="F59" s="104"/>
      <c r="G59" s="104"/>
      <c r="H59" s="104"/>
      <c r="I59" s="105"/>
      <c r="J59" s="104"/>
      <c r="K59" s="104">
        <v>0</v>
      </c>
      <c r="L59" s="104"/>
      <c r="M59" s="105"/>
      <c r="N59" s="104"/>
      <c r="O59" s="104"/>
      <c r="P59" s="104"/>
      <c r="Q59" s="105"/>
      <c r="R59" s="106">
        <f t="shared" si="9"/>
        <v>0</v>
      </c>
      <c r="S59" s="107">
        <f t="shared" si="10"/>
        <v>0</v>
      </c>
      <c r="T59" s="108"/>
      <c r="U59" s="108"/>
      <c r="V59" s="108"/>
      <c r="W59" s="108"/>
      <c r="X59" s="108"/>
      <c r="Y59" s="109"/>
      <c r="Z59" s="109"/>
      <c r="AA59" s="109"/>
      <c r="AB59" s="109"/>
      <c r="AC59" s="109"/>
      <c r="AD59" s="109"/>
      <c r="AE59" s="109"/>
      <c r="AG59" s="104" t="s">
        <v>382</v>
      </c>
      <c r="AH59" s="104"/>
      <c r="AI59" s="104"/>
      <c r="AJ59" s="104"/>
      <c r="AK59" s="105"/>
      <c r="AL59" s="104"/>
      <c r="AM59" s="104"/>
      <c r="AN59" s="104"/>
      <c r="AO59" s="105"/>
      <c r="AP59" s="104"/>
      <c r="AQ59" s="104"/>
      <c r="AR59" s="104"/>
      <c r="AS59" s="105"/>
      <c r="AT59" s="104"/>
      <c r="AU59" s="104"/>
      <c r="AV59" s="104"/>
      <c r="AW59" s="105"/>
      <c r="AX59" s="106">
        <f t="shared" si="7"/>
        <v>0</v>
      </c>
      <c r="AY59" s="107">
        <f t="shared" si="8"/>
        <v>0</v>
      </c>
      <c r="AZ59" s="109"/>
      <c r="BA59" s="109"/>
      <c r="BB59" s="109"/>
      <c r="BC59" s="109"/>
      <c r="BD59" s="109"/>
      <c r="BE59" s="109"/>
      <c r="BF59" s="109"/>
      <c r="BG59" s="109"/>
      <c r="BH59" s="109"/>
      <c r="BI59" s="109"/>
      <c r="BJ59" s="109"/>
      <c r="BK59" s="109"/>
    </row>
    <row r="60" spans="1:63" ht="15" x14ac:dyDescent="0.25">
      <c r="A60" s="111" t="s">
        <v>383</v>
      </c>
      <c r="B60" s="112">
        <f t="shared" ref="B60:L60" si="11">SUM(B39:B59)</f>
        <v>0</v>
      </c>
      <c r="C60" s="112">
        <f t="shared" si="11"/>
        <v>0</v>
      </c>
      <c r="D60" s="112">
        <f t="shared" si="11"/>
        <v>0</v>
      </c>
      <c r="E60" s="113">
        <f t="shared" si="11"/>
        <v>0</v>
      </c>
      <c r="F60" s="112">
        <f t="shared" si="11"/>
        <v>0</v>
      </c>
      <c r="G60" s="112">
        <f t="shared" si="11"/>
        <v>0</v>
      </c>
      <c r="H60" s="112">
        <f t="shared" si="11"/>
        <v>0</v>
      </c>
      <c r="I60" s="113">
        <f t="shared" si="11"/>
        <v>0</v>
      </c>
      <c r="J60" s="112">
        <f t="shared" si="11"/>
        <v>0</v>
      </c>
      <c r="K60" s="112">
        <f t="shared" si="11"/>
        <v>0.20833333333333334</v>
      </c>
      <c r="L60" s="112">
        <f t="shared" si="11"/>
        <v>0.2416666666666667</v>
      </c>
      <c r="M60" s="113">
        <f>SUM(M39:M59)</f>
        <v>9813325.333333334</v>
      </c>
      <c r="N60" s="112">
        <f>SUM(N39:N59)</f>
        <v>0.35000000000000003</v>
      </c>
      <c r="O60" s="112">
        <f>SUM(O39:O59)</f>
        <v>0.1</v>
      </c>
      <c r="P60" s="112">
        <f>SUM(P39:P59)</f>
        <v>0.1</v>
      </c>
      <c r="Q60" s="113">
        <f>SUM(Q39:Q59)</f>
        <v>22080000</v>
      </c>
      <c r="R60" s="112">
        <f t="shared" ref="R60:AE60" si="12">SUM(R39:R59)</f>
        <v>1</v>
      </c>
      <c r="S60" s="107">
        <f t="shared" si="12"/>
        <v>31893325.333333336</v>
      </c>
      <c r="T60" s="112">
        <f t="shared" si="12"/>
        <v>0</v>
      </c>
      <c r="U60" s="112">
        <f t="shared" si="12"/>
        <v>0</v>
      </c>
      <c r="V60" s="112">
        <f t="shared" si="12"/>
        <v>0</v>
      </c>
      <c r="W60" s="112">
        <f t="shared" si="12"/>
        <v>0</v>
      </c>
      <c r="X60" s="112">
        <f t="shared" si="12"/>
        <v>0</v>
      </c>
      <c r="Y60" s="112">
        <f t="shared" si="12"/>
        <v>0</v>
      </c>
      <c r="Z60" s="112">
        <f t="shared" si="12"/>
        <v>0</v>
      </c>
      <c r="AA60" s="112">
        <f t="shared" si="12"/>
        <v>0</v>
      </c>
      <c r="AB60" s="112">
        <f t="shared" si="12"/>
        <v>0</v>
      </c>
      <c r="AC60" s="112">
        <f t="shared" si="12"/>
        <v>0</v>
      </c>
      <c r="AD60" s="112">
        <f t="shared" si="12"/>
        <v>0</v>
      </c>
      <c r="AE60" s="112">
        <f t="shared" si="12"/>
        <v>0</v>
      </c>
      <c r="AG60" s="111" t="s">
        <v>383</v>
      </c>
      <c r="AH60" s="112">
        <f t="shared" ref="AH60:AW60" si="13">SUM(AH39:AH59)</f>
        <v>0</v>
      </c>
      <c r="AI60" s="112">
        <f t="shared" si="13"/>
        <v>0</v>
      </c>
      <c r="AJ60" s="112">
        <f t="shared" si="13"/>
        <v>0</v>
      </c>
      <c r="AK60" s="113">
        <f t="shared" si="13"/>
        <v>0</v>
      </c>
      <c r="AL60" s="112">
        <f t="shared" si="13"/>
        <v>0</v>
      </c>
      <c r="AM60" s="112">
        <f t="shared" si="13"/>
        <v>0</v>
      </c>
      <c r="AN60" s="112">
        <f t="shared" si="13"/>
        <v>0</v>
      </c>
      <c r="AO60" s="113">
        <f t="shared" si="13"/>
        <v>0</v>
      </c>
      <c r="AP60" s="112">
        <f t="shared" si="13"/>
        <v>0</v>
      </c>
      <c r="AQ60" s="112">
        <f t="shared" si="13"/>
        <v>0.20833333333333334</v>
      </c>
      <c r="AR60" s="112">
        <f t="shared" si="13"/>
        <v>0.2416666666666667</v>
      </c>
      <c r="AS60" s="113" t="e">
        <f t="shared" si="13"/>
        <v>#REF!</v>
      </c>
      <c r="AT60" s="112">
        <f t="shared" si="13"/>
        <v>0.35000000000000003</v>
      </c>
      <c r="AU60" s="112">
        <f t="shared" si="13"/>
        <v>0.1</v>
      </c>
      <c r="AV60" s="112">
        <f t="shared" si="13"/>
        <v>0</v>
      </c>
      <c r="AW60" s="113">
        <f t="shared" si="13"/>
        <v>0</v>
      </c>
      <c r="AX60" s="114">
        <f t="shared" ref="AX60:BK60" si="14">SUM(AX39:AX59)</f>
        <v>0.9</v>
      </c>
      <c r="AY60" s="115" t="e">
        <f t="shared" si="14"/>
        <v>#REF!</v>
      </c>
      <c r="AZ60" s="112">
        <f t="shared" si="14"/>
        <v>0</v>
      </c>
      <c r="BA60" s="112">
        <f t="shared" si="14"/>
        <v>0</v>
      </c>
      <c r="BB60" s="112">
        <f t="shared" si="14"/>
        <v>0</v>
      </c>
      <c r="BC60" s="112">
        <f t="shared" si="14"/>
        <v>0</v>
      </c>
      <c r="BD60" s="112">
        <f t="shared" si="14"/>
        <v>0</v>
      </c>
      <c r="BE60" s="112">
        <f t="shared" si="14"/>
        <v>0</v>
      </c>
      <c r="BF60" s="112">
        <f t="shared" si="14"/>
        <v>0</v>
      </c>
      <c r="BG60" s="112">
        <f t="shared" si="14"/>
        <v>0</v>
      </c>
      <c r="BH60" s="112">
        <f t="shared" si="14"/>
        <v>0</v>
      </c>
      <c r="BI60" s="112">
        <f t="shared" si="14"/>
        <v>0</v>
      </c>
      <c r="BJ60" s="112">
        <f t="shared" si="14"/>
        <v>0</v>
      </c>
      <c r="BK60" s="112">
        <f t="shared" si="14"/>
        <v>0</v>
      </c>
    </row>
    <row r="62" spans="1:63" ht="15" thickBot="1" x14ac:dyDescent="0.3"/>
    <row r="63" spans="1:63" ht="31.9" customHeight="1" thickBot="1" x14ac:dyDescent="0.3">
      <c r="A63" s="866" t="s">
        <v>385</v>
      </c>
      <c r="B63" s="867"/>
      <c r="C63" s="867"/>
      <c r="D63" s="867"/>
      <c r="E63" s="867"/>
      <c r="F63" s="867"/>
      <c r="G63" s="867"/>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7"/>
      <c r="AY63" s="867"/>
      <c r="AZ63" s="867"/>
      <c r="BA63" s="867"/>
      <c r="BB63" s="867"/>
      <c r="BC63" s="867"/>
      <c r="BD63" s="867"/>
      <c r="BE63" s="867"/>
      <c r="BF63" s="867"/>
      <c r="BG63" s="867"/>
      <c r="BH63" s="867"/>
      <c r="BI63" s="867"/>
      <c r="BJ63" s="867"/>
      <c r="BK63" s="868"/>
    </row>
    <row r="64" spans="1:63" ht="30" customHeight="1" x14ac:dyDescent="0.25">
      <c r="A64" s="871" t="s">
        <v>344</v>
      </c>
      <c r="B64" s="386" t="s">
        <v>141</v>
      </c>
      <c r="C64" s="386" t="s">
        <v>142</v>
      </c>
      <c r="D64" s="862" t="s">
        <v>143</v>
      </c>
      <c r="E64" s="863"/>
      <c r="F64" s="386" t="s">
        <v>144</v>
      </c>
      <c r="G64" s="386" t="s">
        <v>145</v>
      </c>
      <c r="H64" s="862" t="s">
        <v>146</v>
      </c>
      <c r="I64" s="863"/>
      <c r="J64" s="386" t="s">
        <v>147</v>
      </c>
      <c r="K64" s="386" t="s">
        <v>148</v>
      </c>
      <c r="L64" s="862" t="s">
        <v>149</v>
      </c>
      <c r="M64" s="863"/>
      <c r="N64" s="386" t="s">
        <v>150</v>
      </c>
      <c r="O64" s="386" t="s">
        <v>128</v>
      </c>
      <c r="P64" s="862" t="s">
        <v>151</v>
      </c>
      <c r="Q64" s="863"/>
      <c r="R64" s="862" t="s">
        <v>345</v>
      </c>
      <c r="S64" s="863"/>
      <c r="T64" s="862" t="s">
        <v>346</v>
      </c>
      <c r="U64" s="864"/>
      <c r="V64" s="864"/>
      <c r="W64" s="864"/>
      <c r="X64" s="864"/>
      <c r="Y64" s="863"/>
      <c r="Z64" s="862" t="s">
        <v>347</v>
      </c>
      <c r="AA64" s="864"/>
      <c r="AB64" s="864"/>
      <c r="AC64" s="864"/>
      <c r="AD64" s="864"/>
      <c r="AE64" s="863"/>
      <c r="AF64" s="394"/>
      <c r="AG64" s="869" t="s">
        <v>344</v>
      </c>
      <c r="AH64" s="386" t="s">
        <v>141</v>
      </c>
      <c r="AI64" s="386" t="s">
        <v>142</v>
      </c>
      <c r="AJ64" s="862" t="s">
        <v>143</v>
      </c>
      <c r="AK64" s="863"/>
      <c r="AL64" s="386" t="s">
        <v>144</v>
      </c>
      <c r="AM64" s="386" t="s">
        <v>145</v>
      </c>
      <c r="AN64" s="862" t="s">
        <v>146</v>
      </c>
      <c r="AO64" s="863"/>
      <c r="AP64" s="386" t="s">
        <v>147</v>
      </c>
      <c r="AQ64" s="386" t="s">
        <v>148</v>
      </c>
      <c r="AR64" s="862" t="s">
        <v>149</v>
      </c>
      <c r="AS64" s="863"/>
      <c r="AT64" s="386" t="s">
        <v>150</v>
      </c>
      <c r="AU64" s="386" t="s">
        <v>128</v>
      </c>
      <c r="AV64" s="862" t="s">
        <v>151</v>
      </c>
      <c r="AW64" s="863"/>
      <c r="AX64" s="862" t="s">
        <v>345</v>
      </c>
      <c r="AY64" s="863"/>
      <c r="AZ64" s="862" t="s">
        <v>346</v>
      </c>
      <c r="BA64" s="864"/>
      <c r="BB64" s="864"/>
      <c r="BC64" s="864"/>
      <c r="BD64" s="864"/>
      <c r="BE64" s="863"/>
      <c r="BF64" s="862" t="s">
        <v>347</v>
      </c>
      <c r="BG64" s="864"/>
      <c r="BH64" s="864"/>
      <c r="BI64" s="864"/>
      <c r="BJ64" s="864"/>
      <c r="BK64" s="865"/>
    </row>
    <row r="65" spans="1:63" ht="36" customHeight="1" thickBot="1" x14ac:dyDescent="0.3">
      <c r="A65" s="872"/>
      <c r="B65" s="395" t="s">
        <v>348</v>
      </c>
      <c r="C65" s="395" t="s">
        <v>348</v>
      </c>
      <c r="D65" s="395" t="s">
        <v>348</v>
      </c>
      <c r="E65" s="395" t="s">
        <v>349</v>
      </c>
      <c r="F65" s="395" t="s">
        <v>348</v>
      </c>
      <c r="G65" s="395" t="s">
        <v>348</v>
      </c>
      <c r="H65" s="395" t="s">
        <v>348</v>
      </c>
      <c r="I65" s="395" t="s">
        <v>349</v>
      </c>
      <c r="J65" s="395" t="s">
        <v>348</v>
      </c>
      <c r="K65" s="395" t="s">
        <v>348</v>
      </c>
      <c r="L65" s="395" t="s">
        <v>348</v>
      </c>
      <c r="M65" s="395" t="s">
        <v>349</v>
      </c>
      <c r="N65" s="395" t="s">
        <v>348</v>
      </c>
      <c r="O65" s="395" t="s">
        <v>348</v>
      </c>
      <c r="P65" s="395" t="s">
        <v>348</v>
      </c>
      <c r="Q65" s="395" t="s">
        <v>349</v>
      </c>
      <c r="R65" s="395" t="s">
        <v>348</v>
      </c>
      <c r="S65" s="395" t="s">
        <v>349</v>
      </c>
      <c r="T65" s="396" t="s">
        <v>350</v>
      </c>
      <c r="U65" s="396" t="s">
        <v>351</v>
      </c>
      <c r="V65" s="396" t="s">
        <v>352</v>
      </c>
      <c r="W65" s="396" t="s">
        <v>353</v>
      </c>
      <c r="X65" s="396" t="s">
        <v>354</v>
      </c>
      <c r="Y65" s="396" t="s">
        <v>355</v>
      </c>
      <c r="Z65" s="395" t="s">
        <v>356</v>
      </c>
      <c r="AA65" s="397" t="s">
        <v>357</v>
      </c>
      <c r="AB65" s="395" t="s">
        <v>358</v>
      </c>
      <c r="AC65" s="395" t="s">
        <v>359</v>
      </c>
      <c r="AD65" s="395" t="s">
        <v>360</v>
      </c>
      <c r="AE65" s="395" t="s">
        <v>361</v>
      </c>
      <c r="AF65" s="398"/>
      <c r="AG65" s="870"/>
      <c r="AH65" s="395" t="s">
        <v>348</v>
      </c>
      <c r="AI65" s="395" t="s">
        <v>348</v>
      </c>
      <c r="AJ65" s="395" t="s">
        <v>348</v>
      </c>
      <c r="AK65" s="395" t="s">
        <v>349</v>
      </c>
      <c r="AL65" s="395" t="s">
        <v>348</v>
      </c>
      <c r="AM65" s="395" t="s">
        <v>348</v>
      </c>
      <c r="AN65" s="395" t="s">
        <v>348</v>
      </c>
      <c r="AO65" s="395" t="s">
        <v>349</v>
      </c>
      <c r="AP65" s="395" t="s">
        <v>348</v>
      </c>
      <c r="AQ65" s="395" t="s">
        <v>348</v>
      </c>
      <c r="AR65" s="395" t="s">
        <v>348</v>
      </c>
      <c r="AS65" s="395" t="s">
        <v>349</v>
      </c>
      <c r="AT65" s="395" t="s">
        <v>348</v>
      </c>
      <c r="AU65" s="395" t="s">
        <v>348</v>
      </c>
      <c r="AV65" s="395" t="s">
        <v>348</v>
      </c>
      <c r="AW65" s="395" t="s">
        <v>349</v>
      </c>
      <c r="AX65" s="395" t="s">
        <v>348</v>
      </c>
      <c r="AY65" s="395" t="s">
        <v>349</v>
      </c>
      <c r="AZ65" s="396" t="s">
        <v>350</v>
      </c>
      <c r="BA65" s="396" t="s">
        <v>351</v>
      </c>
      <c r="BB65" s="396" t="s">
        <v>352</v>
      </c>
      <c r="BC65" s="396" t="s">
        <v>353</v>
      </c>
      <c r="BD65" s="396" t="s">
        <v>354</v>
      </c>
      <c r="BE65" s="396" t="s">
        <v>355</v>
      </c>
      <c r="BF65" s="399" t="s">
        <v>356</v>
      </c>
      <c r="BG65" s="400" t="s">
        <v>357</v>
      </c>
      <c r="BH65" s="399" t="s">
        <v>358</v>
      </c>
      <c r="BI65" s="399" t="s">
        <v>359</v>
      </c>
      <c r="BJ65" s="399" t="s">
        <v>360</v>
      </c>
      <c r="BK65" s="401" t="s">
        <v>361</v>
      </c>
    </row>
    <row r="66" spans="1:63" ht="15" x14ac:dyDescent="0.25">
      <c r="A66" s="387" t="s">
        <v>363</v>
      </c>
      <c r="B66" s="387"/>
      <c r="C66" s="387"/>
      <c r="D66" s="387"/>
      <c r="E66" s="388"/>
      <c r="F66" s="387"/>
      <c r="G66" s="387"/>
      <c r="H66" s="387"/>
      <c r="I66" s="388"/>
      <c r="J66" s="387"/>
      <c r="K66" s="387"/>
      <c r="L66" s="389"/>
      <c r="M66" s="388"/>
      <c r="N66" s="387"/>
      <c r="O66" s="387"/>
      <c r="P66" s="387"/>
      <c r="Q66" s="388"/>
      <c r="R66" s="390">
        <f>B66+C66+D66+F66+G66+H66+J66+K66+L66+N66+O66+P66</f>
        <v>0</v>
      </c>
      <c r="S66" s="391">
        <f>+E66+I66+M66+Q66</f>
        <v>0</v>
      </c>
      <c r="T66" s="392"/>
      <c r="U66" s="392"/>
      <c r="V66" s="392"/>
      <c r="W66" s="392"/>
      <c r="X66" s="392"/>
      <c r="Y66" s="393"/>
      <c r="Z66" s="393"/>
      <c r="AA66" s="393"/>
      <c r="AB66" s="393"/>
      <c r="AC66" s="393"/>
      <c r="AD66" s="393"/>
      <c r="AE66" s="393"/>
      <c r="AG66" s="387" t="s">
        <v>363</v>
      </c>
      <c r="AH66" s="387"/>
      <c r="AI66" s="387"/>
      <c r="AJ66" s="387"/>
      <c r="AK66" s="388"/>
      <c r="AL66" s="387"/>
      <c r="AM66" s="387"/>
      <c r="AN66" s="387"/>
      <c r="AO66" s="388"/>
      <c r="AP66" s="387"/>
      <c r="AQ66" s="387"/>
      <c r="AR66" s="389">
        <v>26</v>
      </c>
      <c r="AS66" s="388"/>
      <c r="AT66" s="387"/>
      <c r="AU66" s="387"/>
      <c r="AV66" s="387"/>
      <c r="AW66" s="388"/>
      <c r="AX66" s="390">
        <f t="shared" ref="AX66:AX85" si="15">AH66+AI66+AJ66+AL66+AM66+AN66+AP66+AQ66+AR66+AT66+AU66+AV66</f>
        <v>26</v>
      </c>
      <c r="AY66" s="391">
        <f t="shared" ref="AY66:AY85" si="16">+AK66+AO66+AS66+AW66</f>
        <v>0</v>
      </c>
      <c r="AZ66" s="393"/>
      <c r="BA66" s="393"/>
      <c r="BB66" s="393"/>
      <c r="BC66" s="393"/>
      <c r="BD66" s="393"/>
      <c r="BE66" s="393"/>
      <c r="BF66" s="393"/>
      <c r="BG66" s="393"/>
      <c r="BH66" s="393"/>
      <c r="BI66" s="393"/>
      <c r="BJ66" s="393"/>
      <c r="BK66" s="393"/>
    </row>
    <row r="67" spans="1:63" ht="15" x14ac:dyDescent="0.25">
      <c r="A67" s="104" t="s">
        <v>364</v>
      </c>
      <c r="B67" s="104"/>
      <c r="C67" s="104"/>
      <c r="D67" s="104"/>
      <c r="E67" s="105"/>
      <c r="F67" s="104"/>
      <c r="G67" s="104"/>
      <c r="H67" s="104"/>
      <c r="I67" s="105"/>
      <c r="J67" s="104"/>
      <c r="K67" s="104"/>
      <c r="L67" s="385"/>
      <c r="M67" s="105"/>
      <c r="N67" s="104"/>
      <c r="O67" s="104"/>
      <c r="P67" s="104"/>
      <c r="Q67" s="105"/>
      <c r="R67" s="106">
        <f t="shared" ref="R67:R85" si="17">B67+C67+D67+F67+G67+H67+J67+K67+L67+N67+O67+P67</f>
        <v>0</v>
      </c>
      <c r="S67" s="107">
        <f t="shared" ref="S67:S85" si="18">+E67+I67+M67+Q67</f>
        <v>0</v>
      </c>
      <c r="T67" s="108"/>
      <c r="U67" s="108"/>
      <c r="V67" s="108"/>
      <c r="W67" s="108"/>
      <c r="X67" s="108"/>
      <c r="Y67" s="109"/>
      <c r="Z67" s="109"/>
      <c r="AA67" s="109"/>
      <c r="AB67" s="109"/>
      <c r="AC67" s="109"/>
      <c r="AD67" s="109"/>
      <c r="AE67" s="109"/>
      <c r="AG67" s="104" t="s">
        <v>364</v>
      </c>
      <c r="AH67" s="104"/>
      <c r="AI67" s="104"/>
      <c r="AJ67" s="104"/>
      <c r="AK67" s="105"/>
      <c r="AL67" s="104"/>
      <c r="AM67" s="104"/>
      <c r="AN67" s="104"/>
      <c r="AO67" s="105"/>
      <c r="AP67" s="104"/>
      <c r="AQ67" s="104"/>
      <c r="AR67" s="385">
        <v>0</v>
      </c>
      <c r="AS67" s="105"/>
      <c r="AT67" s="104"/>
      <c r="AU67" s="104"/>
      <c r="AV67" s="104"/>
      <c r="AW67" s="105"/>
      <c r="AX67" s="106">
        <f t="shared" si="15"/>
        <v>0</v>
      </c>
      <c r="AY67" s="107">
        <f t="shared" si="16"/>
        <v>0</v>
      </c>
      <c r="AZ67" s="109"/>
      <c r="BA67" s="109"/>
      <c r="BB67" s="109"/>
      <c r="BC67" s="109"/>
      <c r="BD67" s="109"/>
      <c r="BE67" s="109"/>
      <c r="BF67" s="109"/>
      <c r="BG67" s="109"/>
      <c r="BH67" s="109"/>
      <c r="BI67" s="109"/>
      <c r="BJ67" s="109"/>
      <c r="BK67" s="109"/>
    </row>
    <row r="68" spans="1:63" ht="15" x14ac:dyDescent="0.25">
      <c r="A68" s="104" t="s">
        <v>365</v>
      </c>
      <c r="B68" s="104"/>
      <c r="C68" s="104"/>
      <c r="D68" s="104"/>
      <c r="E68" s="105"/>
      <c r="F68" s="104"/>
      <c r="G68" s="104"/>
      <c r="H68" s="104"/>
      <c r="I68" s="105"/>
      <c r="J68" s="104"/>
      <c r="K68" s="104"/>
      <c r="L68" s="385"/>
      <c r="M68" s="105"/>
      <c r="N68" s="104"/>
      <c r="O68" s="104"/>
      <c r="P68" s="104"/>
      <c r="Q68" s="105"/>
      <c r="R68" s="106">
        <f t="shared" si="17"/>
        <v>0</v>
      </c>
      <c r="S68" s="107">
        <f t="shared" si="18"/>
        <v>0</v>
      </c>
      <c r="T68" s="108"/>
      <c r="U68" s="108"/>
      <c r="V68" s="108"/>
      <c r="W68" s="108"/>
      <c r="X68" s="108"/>
      <c r="Y68" s="109"/>
      <c r="Z68" s="109"/>
      <c r="AA68" s="109"/>
      <c r="AB68" s="109"/>
      <c r="AC68" s="109"/>
      <c r="AD68" s="109"/>
      <c r="AE68" s="109"/>
      <c r="AG68" s="104" t="s">
        <v>365</v>
      </c>
      <c r="AH68" s="104"/>
      <c r="AI68" s="104"/>
      <c r="AJ68" s="104"/>
      <c r="AK68" s="105"/>
      <c r="AL68" s="104"/>
      <c r="AM68" s="104"/>
      <c r="AN68" s="104"/>
      <c r="AO68" s="105"/>
      <c r="AP68" s="104"/>
      <c r="AQ68" s="104"/>
      <c r="AR68" s="385">
        <v>7</v>
      </c>
      <c r="AS68" s="105"/>
      <c r="AT68" s="104"/>
      <c r="AU68" s="104"/>
      <c r="AV68" s="104"/>
      <c r="AW68" s="105"/>
      <c r="AX68" s="106">
        <f t="shared" si="15"/>
        <v>7</v>
      </c>
      <c r="AY68" s="107">
        <f t="shared" si="16"/>
        <v>0</v>
      </c>
      <c r="AZ68" s="109"/>
      <c r="BA68" s="109"/>
      <c r="BB68" s="109"/>
      <c r="BC68" s="109"/>
      <c r="BD68" s="109"/>
      <c r="BE68" s="109"/>
      <c r="BF68" s="109"/>
      <c r="BG68" s="109"/>
      <c r="BH68" s="109"/>
      <c r="BI68" s="109"/>
      <c r="BJ68" s="109"/>
      <c r="BK68" s="109"/>
    </row>
    <row r="69" spans="1:63" ht="15" x14ac:dyDescent="0.25">
      <c r="A69" s="104" t="s">
        <v>366</v>
      </c>
      <c r="B69" s="104"/>
      <c r="C69" s="104"/>
      <c r="D69" s="104"/>
      <c r="E69" s="105"/>
      <c r="F69" s="104"/>
      <c r="G69" s="104"/>
      <c r="H69" s="104"/>
      <c r="I69" s="105"/>
      <c r="J69" s="104"/>
      <c r="K69" s="104"/>
      <c r="L69" s="385"/>
      <c r="M69" s="105"/>
      <c r="N69" s="104"/>
      <c r="O69" s="104"/>
      <c r="P69" s="104"/>
      <c r="Q69" s="105"/>
      <c r="R69" s="106">
        <f t="shared" si="17"/>
        <v>0</v>
      </c>
      <c r="S69" s="107">
        <f t="shared" si="18"/>
        <v>0</v>
      </c>
      <c r="T69" s="108"/>
      <c r="U69" s="108"/>
      <c r="V69" s="108"/>
      <c r="W69" s="108"/>
      <c r="X69" s="108"/>
      <c r="Y69" s="109"/>
      <c r="Z69" s="109"/>
      <c r="AA69" s="109"/>
      <c r="AB69" s="109"/>
      <c r="AC69" s="109"/>
      <c r="AD69" s="109"/>
      <c r="AE69" s="109"/>
      <c r="AG69" s="104" t="s">
        <v>366</v>
      </c>
      <c r="AH69" s="104"/>
      <c r="AI69" s="104"/>
      <c r="AJ69" s="104"/>
      <c r="AK69" s="105"/>
      <c r="AL69" s="104"/>
      <c r="AM69" s="104"/>
      <c r="AN69" s="104"/>
      <c r="AO69" s="105"/>
      <c r="AP69" s="104"/>
      <c r="AQ69" s="104"/>
      <c r="AR69" s="385">
        <v>10</v>
      </c>
      <c r="AS69" s="105"/>
      <c r="AT69" s="104"/>
      <c r="AU69" s="104"/>
      <c r="AV69" s="104"/>
      <c r="AW69" s="105"/>
      <c r="AX69" s="106">
        <f t="shared" si="15"/>
        <v>10</v>
      </c>
      <c r="AY69" s="107">
        <f t="shared" si="16"/>
        <v>0</v>
      </c>
      <c r="AZ69" s="109"/>
      <c r="BA69" s="109"/>
      <c r="BB69" s="109"/>
      <c r="BC69" s="109"/>
      <c r="BD69" s="109"/>
      <c r="BE69" s="109"/>
      <c r="BF69" s="109"/>
      <c r="BG69" s="109"/>
      <c r="BH69" s="109"/>
      <c r="BI69" s="109"/>
      <c r="BJ69" s="109"/>
      <c r="BK69" s="109"/>
    </row>
    <row r="70" spans="1:63" ht="15" x14ac:dyDescent="0.25">
      <c r="A70" s="104" t="s">
        <v>367</v>
      </c>
      <c r="B70" s="104"/>
      <c r="C70" s="104"/>
      <c r="D70" s="104"/>
      <c r="E70" s="105"/>
      <c r="F70" s="104"/>
      <c r="G70" s="104"/>
      <c r="H70" s="104"/>
      <c r="I70" s="105"/>
      <c r="J70" s="104"/>
      <c r="K70" s="104"/>
      <c r="L70" s="385"/>
      <c r="M70" s="105"/>
      <c r="N70" s="104"/>
      <c r="O70" s="104"/>
      <c r="P70" s="104"/>
      <c r="Q70" s="105"/>
      <c r="R70" s="106">
        <f t="shared" si="17"/>
        <v>0</v>
      </c>
      <c r="S70" s="107">
        <f t="shared" si="18"/>
        <v>0</v>
      </c>
      <c r="T70" s="108"/>
      <c r="U70" s="108"/>
      <c r="V70" s="108"/>
      <c r="W70" s="108"/>
      <c r="X70" s="108"/>
      <c r="Y70" s="109"/>
      <c r="Z70" s="109"/>
      <c r="AA70" s="109"/>
      <c r="AB70" s="109"/>
      <c r="AC70" s="109"/>
      <c r="AD70" s="109"/>
      <c r="AE70" s="109"/>
      <c r="AG70" s="104" t="s">
        <v>367</v>
      </c>
      <c r="AH70" s="104"/>
      <c r="AI70" s="104"/>
      <c r="AJ70" s="104"/>
      <c r="AK70" s="105"/>
      <c r="AL70" s="104"/>
      <c r="AM70" s="104"/>
      <c r="AN70" s="104"/>
      <c r="AO70" s="105"/>
      <c r="AP70" s="104"/>
      <c r="AQ70" s="104"/>
      <c r="AR70" s="385">
        <v>0</v>
      </c>
      <c r="AS70" s="105"/>
      <c r="AT70" s="104"/>
      <c r="AU70" s="104"/>
      <c r="AV70" s="104"/>
      <c r="AW70" s="105"/>
      <c r="AX70" s="106">
        <f t="shared" si="15"/>
        <v>0</v>
      </c>
      <c r="AY70" s="107">
        <f t="shared" si="16"/>
        <v>0</v>
      </c>
      <c r="AZ70" s="109"/>
      <c r="BA70" s="109"/>
      <c r="BB70" s="109"/>
      <c r="BC70" s="109"/>
      <c r="BD70" s="109"/>
      <c r="BE70" s="109"/>
      <c r="BF70" s="109"/>
      <c r="BG70" s="109"/>
      <c r="BH70" s="109"/>
      <c r="BI70" s="109"/>
      <c r="BJ70" s="109"/>
      <c r="BK70" s="109"/>
    </row>
    <row r="71" spans="1:63" ht="15" x14ac:dyDescent="0.25">
      <c r="A71" s="104" t="s">
        <v>368</v>
      </c>
      <c r="B71" s="104"/>
      <c r="C71" s="104"/>
      <c r="D71" s="104"/>
      <c r="E71" s="105"/>
      <c r="F71" s="104"/>
      <c r="G71" s="104"/>
      <c r="H71" s="104"/>
      <c r="I71" s="105"/>
      <c r="J71" s="104"/>
      <c r="K71" s="104"/>
      <c r="L71" s="385"/>
      <c r="M71" s="105"/>
      <c r="N71" s="104"/>
      <c r="O71" s="104"/>
      <c r="P71" s="104"/>
      <c r="Q71" s="105"/>
      <c r="R71" s="106">
        <f t="shared" si="17"/>
        <v>0</v>
      </c>
      <c r="S71" s="107">
        <f t="shared" si="18"/>
        <v>0</v>
      </c>
      <c r="T71" s="108"/>
      <c r="U71" s="108"/>
      <c r="V71" s="108"/>
      <c r="W71" s="108"/>
      <c r="X71" s="108"/>
      <c r="Y71" s="109"/>
      <c r="Z71" s="109"/>
      <c r="AA71" s="109"/>
      <c r="AB71" s="109"/>
      <c r="AC71" s="109"/>
      <c r="AD71" s="109"/>
      <c r="AE71" s="109"/>
      <c r="AG71" s="104" t="s">
        <v>368</v>
      </c>
      <c r="AH71" s="104"/>
      <c r="AI71" s="104"/>
      <c r="AJ71" s="104"/>
      <c r="AK71" s="105"/>
      <c r="AL71" s="104"/>
      <c r="AM71" s="104"/>
      <c r="AN71" s="104"/>
      <c r="AO71" s="105"/>
      <c r="AP71" s="104"/>
      <c r="AQ71" s="104"/>
      <c r="AR71" s="385">
        <v>27</v>
      </c>
      <c r="AS71" s="105"/>
      <c r="AT71" s="104"/>
      <c r="AU71" s="104"/>
      <c r="AV71" s="104"/>
      <c r="AW71" s="105"/>
      <c r="AX71" s="106">
        <f t="shared" si="15"/>
        <v>27</v>
      </c>
      <c r="AY71" s="107">
        <f t="shared" si="16"/>
        <v>0</v>
      </c>
      <c r="AZ71" s="109"/>
      <c r="BA71" s="109"/>
      <c r="BB71" s="109"/>
      <c r="BC71" s="109"/>
      <c r="BD71" s="109"/>
      <c r="BE71" s="109"/>
      <c r="BF71" s="109"/>
      <c r="BG71" s="109"/>
      <c r="BH71" s="109"/>
      <c r="BI71" s="109"/>
      <c r="BJ71" s="109"/>
      <c r="BK71" s="109"/>
    </row>
    <row r="72" spans="1:63" ht="15" x14ac:dyDescent="0.25">
      <c r="A72" s="104" t="s">
        <v>369</v>
      </c>
      <c r="B72" s="104"/>
      <c r="C72" s="104"/>
      <c r="D72" s="104"/>
      <c r="E72" s="105"/>
      <c r="F72" s="104"/>
      <c r="G72" s="104"/>
      <c r="H72" s="104"/>
      <c r="I72" s="105"/>
      <c r="J72" s="104"/>
      <c r="K72" s="104"/>
      <c r="L72" s="385"/>
      <c r="M72" s="105"/>
      <c r="N72" s="104"/>
      <c r="O72" s="104"/>
      <c r="P72" s="104"/>
      <c r="Q72" s="105"/>
      <c r="R72" s="106">
        <f t="shared" si="17"/>
        <v>0</v>
      </c>
      <c r="S72" s="107">
        <f t="shared" si="18"/>
        <v>0</v>
      </c>
      <c r="T72" s="108"/>
      <c r="U72" s="108"/>
      <c r="V72" s="108"/>
      <c r="W72" s="108"/>
      <c r="X72" s="108"/>
      <c r="Y72" s="109"/>
      <c r="Z72" s="109"/>
      <c r="AA72" s="109"/>
      <c r="AB72" s="109"/>
      <c r="AC72" s="109"/>
      <c r="AD72" s="109"/>
      <c r="AE72" s="109"/>
      <c r="AG72" s="104" t="s">
        <v>369</v>
      </c>
      <c r="AH72" s="104"/>
      <c r="AI72" s="104"/>
      <c r="AJ72" s="104"/>
      <c r="AK72" s="105"/>
      <c r="AL72" s="104"/>
      <c r="AM72" s="104"/>
      <c r="AN72" s="104"/>
      <c r="AO72" s="105"/>
      <c r="AP72" s="104"/>
      <c r="AQ72" s="104"/>
      <c r="AR72" s="385">
        <v>6</v>
      </c>
      <c r="AS72" s="105"/>
      <c r="AT72" s="104"/>
      <c r="AU72" s="104"/>
      <c r="AV72" s="104"/>
      <c r="AW72" s="105"/>
      <c r="AX72" s="106">
        <f t="shared" si="15"/>
        <v>6</v>
      </c>
      <c r="AY72" s="107">
        <f t="shared" si="16"/>
        <v>0</v>
      </c>
      <c r="AZ72" s="109"/>
      <c r="BA72" s="109"/>
      <c r="BB72" s="109"/>
      <c r="BC72" s="109"/>
      <c r="BD72" s="109"/>
      <c r="BE72" s="109"/>
      <c r="BF72" s="109"/>
      <c r="BG72" s="109"/>
      <c r="BH72" s="109"/>
      <c r="BI72" s="109"/>
      <c r="BJ72" s="109"/>
      <c r="BK72" s="109"/>
    </row>
    <row r="73" spans="1:63" ht="15" x14ac:dyDescent="0.25">
      <c r="A73" s="104" t="s">
        <v>370</v>
      </c>
      <c r="B73" s="104"/>
      <c r="C73" s="104"/>
      <c r="D73" s="104"/>
      <c r="E73" s="105"/>
      <c r="F73" s="104"/>
      <c r="G73" s="104"/>
      <c r="H73" s="104"/>
      <c r="I73" s="105"/>
      <c r="J73" s="104"/>
      <c r="K73" s="104"/>
      <c r="L73" s="385"/>
      <c r="M73" s="105"/>
      <c r="N73" s="104"/>
      <c r="O73" s="104"/>
      <c r="P73" s="104"/>
      <c r="Q73" s="105"/>
      <c r="R73" s="106">
        <f t="shared" si="17"/>
        <v>0</v>
      </c>
      <c r="S73" s="107">
        <f t="shared" si="18"/>
        <v>0</v>
      </c>
      <c r="T73" s="108"/>
      <c r="U73" s="108"/>
      <c r="V73" s="108"/>
      <c r="W73" s="108"/>
      <c r="X73" s="108"/>
      <c r="Y73" s="109"/>
      <c r="Z73" s="109"/>
      <c r="AA73" s="109"/>
      <c r="AB73" s="109"/>
      <c r="AC73" s="109"/>
      <c r="AD73" s="109"/>
      <c r="AE73" s="109"/>
      <c r="AG73" s="104" t="s">
        <v>370</v>
      </c>
      <c r="AH73" s="104"/>
      <c r="AI73" s="104"/>
      <c r="AJ73" s="104"/>
      <c r="AK73" s="105"/>
      <c r="AL73" s="104"/>
      <c r="AM73" s="104"/>
      <c r="AN73" s="104"/>
      <c r="AO73" s="105"/>
      <c r="AP73" s="104"/>
      <c r="AQ73" s="104"/>
      <c r="AR73" s="385">
        <v>12</v>
      </c>
      <c r="AS73" s="105"/>
      <c r="AT73" s="104"/>
      <c r="AU73" s="104"/>
      <c r="AV73" s="104"/>
      <c r="AW73" s="105"/>
      <c r="AX73" s="106">
        <f t="shared" si="15"/>
        <v>12</v>
      </c>
      <c r="AY73" s="107">
        <f t="shared" si="16"/>
        <v>0</v>
      </c>
      <c r="AZ73" s="109"/>
      <c r="BA73" s="109"/>
      <c r="BB73" s="109"/>
      <c r="BC73" s="109"/>
      <c r="BD73" s="109"/>
      <c r="BE73" s="109"/>
      <c r="BF73" s="109"/>
      <c r="BG73" s="109"/>
      <c r="BH73" s="109"/>
      <c r="BI73" s="104"/>
      <c r="BJ73" s="104"/>
      <c r="BK73" s="104"/>
    </row>
    <row r="74" spans="1:63" ht="15" x14ac:dyDescent="0.25">
      <c r="A74" s="104" t="s">
        <v>371</v>
      </c>
      <c r="B74" s="104"/>
      <c r="C74" s="104"/>
      <c r="D74" s="104"/>
      <c r="E74" s="105"/>
      <c r="F74" s="104"/>
      <c r="G74" s="104"/>
      <c r="H74" s="104"/>
      <c r="I74" s="105"/>
      <c r="J74" s="104"/>
      <c r="K74" s="104"/>
      <c r="L74" s="385"/>
      <c r="M74" s="105"/>
      <c r="N74" s="104"/>
      <c r="O74" s="104"/>
      <c r="P74" s="104"/>
      <c r="Q74" s="105"/>
      <c r="R74" s="106">
        <f t="shared" si="17"/>
        <v>0</v>
      </c>
      <c r="S74" s="107">
        <f t="shared" si="18"/>
        <v>0</v>
      </c>
      <c r="T74" s="108"/>
      <c r="U74" s="108"/>
      <c r="V74" s="108"/>
      <c r="W74" s="108"/>
      <c r="X74" s="108"/>
      <c r="Y74" s="109"/>
      <c r="Z74" s="109"/>
      <c r="AA74" s="109"/>
      <c r="AB74" s="109"/>
      <c r="AC74" s="109"/>
      <c r="AD74" s="109"/>
      <c r="AE74" s="109"/>
      <c r="AG74" s="104" t="s">
        <v>371</v>
      </c>
      <c r="AH74" s="104"/>
      <c r="AI74" s="104"/>
      <c r="AJ74" s="104"/>
      <c r="AK74" s="105"/>
      <c r="AL74" s="104"/>
      <c r="AM74" s="104"/>
      <c r="AN74" s="104"/>
      <c r="AO74" s="105"/>
      <c r="AP74" s="104"/>
      <c r="AQ74" s="104"/>
      <c r="AR74" s="385">
        <v>0</v>
      </c>
      <c r="AS74" s="105"/>
      <c r="AT74" s="104"/>
      <c r="AU74" s="104"/>
      <c r="AV74" s="104"/>
      <c r="AW74" s="105"/>
      <c r="AX74" s="106">
        <f t="shared" si="15"/>
        <v>0</v>
      </c>
      <c r="AY74" s="107">
        <f t="shared" si="16"/>
        <v>0</v>
      </c>
      <c r="AZ74" s="109"/>
      <c r="BA74" s="109"/>
      <c r="BB74" s="109"/>
      <c r="BC74" s="109"/>
      <c r="BD74" s="109"/>
      <c r="BE74" s="109"/>
      <c r="BF74" s="109"/>
      <c r="BG74" s="109"/>
      <c r="BH74" s="109"/>
      <c r="BI74" s="104"/>
      <c r="BJ74" s="104"/>
      <c r="BK74" s="104"/>
    </row>
    <row r="75" spans="1:63" ht="15" x14ac:dyDescent="0.25">
      <c r="A75" s="104" t="s">
        <v>372</v>
      </c>
      <c r="B75" s="104"/>
      <c r="C75" s="104"/>
      <c r="D75" s="104"/>
      <c r="E75" s="105"/>
      <c r="F75" s="104"/>
      <c r="G75" s="104"/>
      <c r="H75" s="104"/>
      <c r="I75" s="105"/>
      <c r="J75" s="104"/>
      <c r="K75" s="104"/>
      <c r="L75" s="385"/>
      <c r="M75" s="105"/>
      <c r="N75" s="104"/>
      <c r="O75" s="104"/>
      <c r="P75" s="104"/>
      <c r="Q75" s="105"/>
      <c r="R75" s="106">
        <f t="shared" si="17"/>
        <v>0</v>
      </c>
      <c r="S75" s="107">
        <f t="shared" si="18"/>
        <v>0</v>
      </c>
      <c r="T75" s="108"/>
      <c r="U75" s="108"/>
      <c r="V75" s="108"/>
      <c r="W75" s="108"/>
      <c r="X75" s="108"/>
      <c r="Y75" s="109"/>
      <c r="Z75" s="109"/>
      <c r="AA75" s="109"/>
      <c r="AB75" s="109"/>
      <c r="AC75" s="109"/>
      <c r="AD75" s="109"/>
      <c r="AE75" s="109"/>
      <c r="AG75" s="104" t="s">
        <v>372</v>
      </c>
      <c r="AH75" s="104"/>
      <c r="AI75" s="104"/>
      <c r="AJ75" s="104"/>
      <c r="AK75" s="105"/>
      <c r="AL75" s="104"/>
      <c r="AM75" s="104"/>
      <c r="AN75" s="104"/>
      <c r="AO75" s="105"/>
      <c r="AP75" s="104"/>
      <c r="AQ75" s="104"/>
      <c r="AR75" s="385">
        <v>0</v>
      </c>
      <c r="AS75" s="105"/>
      <c r="AT75" s="104"/>
      <c r="AU75" s="104"/>
      <c r="AV75" s="104"/>
      <c r="AW75" s="105"/>
      <c r="AX75" s="106">
        <f t="shared" si="15"/>
        <v>0</v>
      </c>
      <c r="AY75" s="107">
        <f t="shared" si="16"/>
        <v>0</v>
      </c>
      <c r="AZ75" s="109"/>
      <c r="BA75" s="109"/>
      <c r="BB75" s="109"/>
      <c r="BC75" s="109"/>
      <c r="BD75" s="109"/>
      <c r="BE75" s="109"/>
      <c r="BF75" s="109"/>
      <c r="BG75" s="109"/>
      <c r="BH75" s="109"/>
      <c r="BI75" s="104"/>
      <c r="BJ75" s="104"/>
      <c r="BK75" s="104"/>
    </row>
    <row r="76" spans="1:63" ht="15" x14ac:dyDescent="0.25">
      <c r="A76" s="104" t="s">
        <v>373</v>
      </c>
      <c r="B76" s="104"/>
      <c r="C76" s="104"/>
      <c r="D76" s="104"/>
      <c r="E76" s="105"/>
      <c r="F76" s="104"/>
      <c r="G76" s="104"/>
      <c r="H76" s="104"/>
      <c r="I76" s="105"/>
      <c r="J76" s="104"/>
      <c r="K76" s="104"/>
      <c r="L76" s="385"/>
      <c r="M76" s="105"/>
      <c r="N76" s="104"/>
      <c r="O76" s="104"/>
      <c r="P76" s="104"/>
      <c r="Q76" s="105"/>
      <c r="R76" s="106">
        <f t="shared" si="17"/>
        <v>0</v>
      </c>
      <c r="S76" s="107">
        <f t="shared" si="18"/>
        <v>0</v>
      </c>
      <c r="T76" s="108"/>
      <c r="U76" s="108"/>
      <c r="V76" s="108"/>
      <c r="W76" s="108"/>
      <c r="X76" s="108"/>
      <c r="Y76" s="109"/>
      <c r="Z76" s="109"/>
      <c r="AA76" s="109"/>
      <c r="AB76" s="109"/>
      <c r="AC76" s="109"/>
      <c r="AD76" s="109"/>
      <c r="AE76" s="109"/>
      <c r="AG76" s="104" t="s">
        <v>373</v>
      </c>
      <c r="AH76" s="104"/>
      <c r="AI76" s="104"/>
      <c r="AJ76" s="104"/>
      <c r="AK76" s="105"/>
      <c r="AL76" s="104"/>
      <c r="AM76" s="104"/>
      <c r="AN76" s="104"/>
      <c r="AO76" s="105"/>
      <c r="AP76" s="104"/>
      <c r="AQ76" s="104"/>
      <c r="AR76" s="385">
        <v>46</v>
      </c>
      <c r="AS76" s="105"/>
      <c r="AT76" s="104"/>
      <c r="AU76" s="104"/>
      <c r="AV76" s="104"/>
      <c r="AW76" s="105"/>
      <c r="AX76" s="106">
        <f t="shared" si="15"/>
        <v>46</v>
      </c>
      <c r="AY76" s="107">
        <f t="shared" si="16"/>
        <v>0</v>
      </c>
      <c r="AZ76" s="109"/>
      <c r="BA76" s="109"/>
      <c r="BB76" s="109"/>
      <c r="BC76" s="109"/>
      <c r="BD76" s="109"/>
      <c r="BE76" s="109"/>
      <c r="BF76" s="109"/>
      <c r="BG76" s="109"/>
      <c r="BH76" s="109"/>
      <c r="BI76" s="109"/>
      <c r="BJ76" s="109"/>
      <c r="BK76" s="109"/>
    </row>
    <row r="77" spans="1:63" ht="15" x14ac:dyDescent="0.25">
      <c r="A77" s="104" t="s">
        <v>374</v>
      </c>
      <c r="B77" s="104"/>
      <c r="C77" s="104"/>
      <c r="D77" s="104"/>
      <c r="E77" s="105"/>
      <c r="F77" s="104"/>
      <c r="G77" s="104"/>
      <c r="H77" s="104"/>
      <c r="I77" s="105"/>
      <c r="J77" s="104"/>
      <c r="K77" s="104"/>
      <c r="L77" s="385"/>
      <c r="M77" s="105"/>
      <c r="N77" s="104"/>
      <c r="O77" s="104"/>
      <c r="P77" s="104"/>
      <c r="Q77" s="105"/>
      <c r="R77" s="106">
        <f t="shared" si="17"/>
        <v>0</v>
      </c>
      <c r="S77" s="107">
        <f t="shared" si="18"/>
        <v>0</v>
      </c>
      <c r="T77" s="108"/>
      <c r="U77" s="108"/>
      <c r="V77" s="108"/>
      <c r="W77" s="108"/>
      <c r="X77" s="108"/>
      <c r="Y77" s="109"/>
      <c r="Z77" s="109"/>
      <c r="AA77" s="109"/>
      <c r="AB77" s="109"/>
      <c r="AC77" s="109"/>
      <c r="AD77" s="109"/>
      <c r="AE77" s="109"/>
      <c r="AG77" s="104" t="s">
        <v>374</v>
      </c>
      <c r="AH77" s="104"/>
      <c r="AI77" s="104"/>
      <c r="AJ77" s="104"/>
      <c r="AK77" s="105"/>
      <c r="AL77" s="104"/>
      <c r="AM77" s="104"/>
      <c r="AN77" s="104"/>
      <c r="AO77" s="105"/>
      <c r="AP77" s="104"/>
      <c r="AQ77" s="104"/>
      <c r="AR77" s="385">
        <v>0</v>
      </c>
      <c r="AS77" s="105"/>
      <c r="AT77" s="104"/>
      <c r="AU77" s="104"/>
      <c r="AV77" s="104"/>
      <c r="AW77" s="105"/>
      <c r="AX77" s="106">
        <f t="shared" si="15"/>
        <v>0</v>
      </c>
      <c r="AY77" s="107">
        <f t="shared" si="16"/>
        <v>0</v>
      </c>
      <c r="AZ77" s="109"/>
      <c r="BA77" s="109"/>
      <c r="BB77" s="109"/>
      <c r="BC77" s="109"/>
      <c r="BD77" s="109"/>
      <c r="BE77" s="109"/>
      <c r="BF77" s="109"/>
      <c r="BG77" s="109"/>
      <c r="BH77" s="109"/>
      <c r="BI77" s="109"/>
      <c r="BJ77" s="109"/>
      <c r="BK77" s="109"/>
    </row>
    <row r="78" spans="1:63" ht="15" x14ac:dyDescent="0.25">
      <c r="A78" s="104" t="s">
        <v>375</v>
      </c>
      <c r="B78" s="104"/>
      <c r="C78" s="104"/>
      <c r="D78" s="104"/>
      <c r="E78" s="105"/>
      <c r="F78" s="104"/>
      <c r="G78" s="104"/>
      <c r="H78" s="104"/>
      <c r="I78" s="105"/>
      <c r="J78" s="104"/>
      <c r="K78" s="104"/>
      <c r="L78" s="385"/>
      <c r="M78" s="105"/>
      <c r="N78" s="104"/>
      <c r="O78" s="104"/>
      <c r="P78" s="104"/>
      <c r="Q78" s="105"/>
      <c r="R78" s="106">
        <f t="shared" si="17"/>
        <v>0</v>
      </c>
      <c r="S78" s="107">
        <f t="shared" si="18"/>
        <v>0</v>
      </c>
      <c r="T78" s="108"/>
      <c r="U78" s="108"/>
      <c r="V78" s="108"/>
      <c r="W78" s="108"/>
      <c r="X78" s="108"/>
      <c r="Y78" s="109"/>
      <c r="Z78" s="109"/>
      <c r="AA78" s="109"/>
      <c r="AB78" s="109"/>
      <c r="AC78" s="109"/>
      <c r="AD78" s="109"/>
      <c r="AE78" s="109"/>
      <c r="AG78" s="104" t="s">
        <v>375</v>
      </c>
      <c r="AH78" s="104"/>
      <c r="AI78" s="104"/>
      <c r="AJ78" s="104"/>
      <c r="AK78" s="105"/>
      <c r="AL78" s="104"/>
      <c r="AM78" s="104"/>
      <c r="AN78" s="104"/>
      <c r="AO78" s="105"/>
      <c r="AP78" s="104"/>
      <c r="AQ78" s="104"/>
      <c r="AR78" s="385">
        <v>0</v>
      </c>
      <c r="AS78" s="105"/>
      <c r="AT78" s="104"/>
      <c r="AU78" s="104"/>
      <c r="AV78" s="104"/>
      <c r="AW78" s="105"/>
      <c r="AX78" s="106">
        <f t="shared" si="15"/>
        <v>0</v>
      </c>
      <c r="AY78" s="107">
        <f t="shared" si="16"/>
        <v>0</v>
      </c>
      <c r="AZ78" s="109"/>
      <c r="BA78" s="109"/>
      <c r="BB78" s="109"/>
      <c r="BC78" s="109"/>
      <c r="BD78" s="109"/>
      <c r="BE78" s="109"/>
      <c r="BF78" s="109"/>
      <c r="BG78" s="109"/>
      <c r="BH78" s="109"/>
      <c r="BI78" s="109"/>
      <c r="BJ78" s="109"/>
      <c r="BK78" s="109"/>
    </row>
    <row r="79" spans="1:63" ht="15" x14ac:dyDescent="0.25">
      <c r="A79" s="104" t="s">
        <v>376</v>
      </c>
      <c r="B79" s="104"/>
      <c r="C79" s="104"/>
      <c r="D79" s="104"/>
      <c r="E79" s="105"/>
      <c r="F79" s="104"/>
      <c r="G79" s="104"/>
      <c r="H79" s="104"/>
      <c r="I79" s="105"/>
      <c r="J79" s="104"/>
      <c r="K79" s="104"/>
      <c r="L79" s="385"/>
      <c r="M79" s="105"/>
      <c r="N79" s="104"/>
      <c r="O79" s="104"/>
      <c r="P79" s="104"/>
      <c r="Q79" s="105"/>
      <c r="R79" s="106">
        <f t="shared" si="17"/>
        <v>0</v>
      </c>
      <c r="S79" s="107">
        <f t="shared" si="18"/>
        <v>0</v>
      </c>
      <c r="T79" s="108"/>
      <c r="U79" s="108"/>
      <c r="V79" s="108"/>
      <c r="W79" s="108"/>
      <c r="X79" s="108"/>
      <c r="Y79" s="109"/>
      <c r="Z79" s="109"/>
      <c r="AA79" s="109"/>
      <c r="AB79" s="109"/>
      <c r="AC79" s="109"/>
      <c r="AD79" s="109"/>
      <c r="AE79" s="109"/>
      <c r="AG79" s="104" t="s">
        <v>376</v>
      </c>
      <c r="AH79" s="104"/>
      <c r="AI79" s="104"/>
      <c r="AJ79" s="104"/>
      <c r="AK79" s="105"/>
      <c r="AL79" s="104"/>
      <c r="AM79" s="104"/>
      <c r="AN79" s="104"/>
      <c r="AO79" s="105"/>
      <c r="AP79" s="104"/>
      <c r="AQ79" s="104"/>
      <c r="AR79" s="385">
        <v>21</v>
      </c>
      <c r="AS79" s="105"/>
      <c r="AT79" s="104"/>
      <c r="AU79" s="104"/>
      <c r="AV79" s="104"/>
      <c r="AW79" s="105"/>
      <c r="AX79" s="106">
        <f t="shared" si="15"/>
        <v>21</v>
      </c>
      <c r="AY79" s="107">
        <f t="shared" si="16"/>
        <v>0</v>
      </c>
      <c r="AZ79" s="109"/>
      <c r="BA79" s="109"/>
      <c r="BB79" s="109"/>
      <c r="BC79" s="109"/>
      <c r="BD79" s="109"/>
      <c r="BE79" s="109"/>
      <c r="BF79" s="109"/>
      <c r="BG79" s="109"/>
      <c r="BH79" s="109"/>
      <c r="BI79" s="109"/>
      <c r="BJ79" s="109"/>
      <c r="BK79" s="109"/>
    </row>
    <row r="80" spans="1:63" ht="15" x14ac:dyDescent="0.25">
      <c r="A80" s="104" t="s">
        <v>377</v>
      </c>
      <c r="B80" s="104"/>
      <c r="C80" s="104"/>
      <c r="D80" s="104"/>
      <c r="E80" s="105"/>
      <c r="F80" s="104"/>
      <c r="G80" s="104"/>
      <c r="H80" s="104"/>
      <c r="I80" s="105"/>
      <c r="J80" s="104"/>
      <c r="K80" s="104"/>
      <c r="L80" s="385"/>
      <c r="M80" s="105"/>
      <c r="N80" s="104"/>
      <c r="O80" s="104"/>
      <c r="P80" s="104"/>
      <c r="Q80" s="105"/>
      <c r="R80" s="106">
        <f t="shared" si="17"/>
        <v>0</v>
      </c>
      <c r="S80" s="107">
        <f t="shared" si="18"/>
        <v>0</v>
      </c>
      <c r="T80" s="108"/>
      <c r="U80" s="108"/>
      <c r="V80" s="108"/>
      <c r="W80" s="108"/>
      <c r="X80" s="108"/>
      <c r="Y80" s="109"/>
      <c r="Z80" s="109"/>
      <c r="AA80" s="109"/>
      <c r="AB80" s="109"/>
      <c r="AC80" s="109"/>
      <c r="AD80" s="109"/>
      <c r="AE80" s="109"/>
      <c r="AG80" s="104" t="s">
        <v>377</v>
      </c>
      <c r="AH80" s="104"/>
      <c r="AI80" s="104"/>
      <c r="AJ80" s="104"/>
      <c r="AK80" s="105"/>
      <c r="AL80" s="104"/>
      <c r="AM80" s="104"/>
      <c r="AN80" s="104"/>
      <c r="AO80" s="105"/>
      <c r="AP80" s="104"/>
      <c r="AQ80" s="104"/>
      <c r="AR80" s="385">
        <v>0</v>
      </c>
      <c r="AS80" s="105"/>
      <c r="AT80" s="104"/>
      <c r="AU80" s="104"/>
      <c r="AV80" s="104"/>
      <c r="AW80" s="105"/>
      <c r="AX80" s="106">
        <f t="shared" si="15"/>
        <v>0</v>
      </c>
      <c r="AY80" s="107">
        <f t="shared" si="16"/>
        <v>0</v>
      </c>
      <c r="AZ80" s="109"/>
      <c r="BA80" s="109"/>
      <c r="BB80" s="109"/>
      <c r="BC80" s="109"/>
      <c r="BD80" s="109"/>
      <c r="BE80" s="109"/>
      <c r="BF80" s="109"/>
      <c r="BG80" s="109"/>
      <c r="BH80" s="109"/>
      <c r="BI80" s="109"/>
      <c r="BJ80" s="109"/>
      <c r="BK80" s="109"/>
    </row>
    <row r="81" spans="1:63" ht="15" x14ac:dyDescent="0.25">
      <c r="A81" s="104" t="s">
        <v>378</v>
      </c>
      <c r="B81" s="104"/>
      <c r="C81" s="104"/>
      <c r="D81" s="104"/>
      <c r="E81" s="105"/>
      <c r="F81" s="104"/>
      <c r="G81" s="104"/>
      <c r="H81" s="104"/>
      <c r="I81" s="105"/>
      <c r="J81" s="104"/>
      <c r="K81" s="104"/>
      <c r="L81" s="385"/>
      <c r="M81" s="105"/>
      <c r="N81" s="104"/>
      <c r="O81" s="104"/>
      <c r="P81" s="104"/>
      <c r="Q81" s="105"/>
      <c r="R81" s="106">
        <f t="shared" si="17"/>
        <v>0</v>
      </c>
      <c r="S81" s="107">
        <f t="shared" si="18"/>
        <v>0</v>
      </c>
      <c r="T81" s="108"/>
      <c r="U81" s="108"/>
      <c r="V81" s="108"/>
      <c r="W81" s="108"/>
      <c r="X81" s="108"/>
      <c r="Y81" s="109"/>
      <c r="Z81" s="109"/>
      <c r="AA81" s="109"/>
      <c r="AB81" s="109"/>
      <c r="AC81" s="109"/>
      <c r="AD81" s="109"/>
      <c r="AE81" s="109"/>
      <c r="AG81" s="104" t="s">
        <v>378</v>
      </c>
      <c r="AH81" s="104"/>
      <c r="AI81" s="104"/>
      <c r="AJ81" s="104"/>
      <c r="AK81" s="105"/>
      <c r="AL81" s="104"/>
      <c r="AM81" s="104"/>
      <c r="AN81" s="104"/>
      <c r="AO81" s="105"/>
      <c r="AP81" s="104"/>
      <c r="AQ81" s="104"/>
      <c r="AR81" s="385">
        <v>29</v>
      </c>
      <c r="AS81" s="105"/>
      <c r="AT81" s="104"/>
      <c r="AU81" s="104"/>
      <c r="AV81" s="104"/>
      <c r="AW81" s="105"/>
      <c r="AX81" s="106">
        <f t="shared" si="15"/>
        <v>29</v>
      </c>
      <c r="AY81" s="107">
        <f t="shared" si="16"/>
        <v>0</v>
      </c>
      <c r="AZ81" s="109"/>
      <c r="BA81" s="109"/>
      <c r="BB81" s="109"/>
      <c r="BC81" s="109"/>
      <c r="BD81" s="109"/>
      <c r="BE81" s="109"/>
      <c r="BF81" s="109"/>
      <c r="BG81" s="109"/>
      <c r="BH81" s="109"/>
      <c r="BI81" s="109"/>
      <c r="BJ81" s="109"/>
      <c r="BK81" s="109"/>
    </row>
    <row r="82" spans="1:63" ht="15" x14ac:dyDescent="0.25">
      <c r="A82" s="104" t="s">
        <v>379</v>
      </c>
      <c r="B82" s="104"/>
      <c r="C82" s="104"/>
      <c r="D82" s="104"/>
      <c r="E82" s="105"/>
      <c r="F82" s="104"/>
      <c r="G82" s="104"/>
      <c r="H82" s="104"/>
      <c r="I82" s="105"/>
      <c r="J82" s="104"/>
      <c r="K82" s="104"/>
      <c r="L82" s="385"/>
      <c r="M82" s="105"/>
      <c r="N82" s="104"/>
      <c r="O82" s="104"/>
      <c r="P82" s="104"/>
      <c r="Q82" s="105"/>
      <c r="R82" s="106">
        <f t="shared" si="17"/>
        <v>0</v>
      </c>
      <c r="S82" s="107">
        <f t="shared" si="18"/>
        <v>0</v>
      </c>
      <c r="T82" s="108"/>
      <c r="U82" s="108"/>
      <c r="V82" s="108"/>
      <c r="W82" s="108"/>
      <c r="X82" s="108"/>
      <c r="Y82" s="109"/>
      <c r="Z82" s="109"/>
      <c r="AA82" s="109"/>
      <c r="AB82" s="109"/>
      <c r="AC82" s="109"/>
      <c r="AD82" s="109"/>
      <c r="AE82" s="109"/>
      <c r="AG82" s="104" t="s">
        <v>379</v>
      </c>
      <c r="AH82" s="104"/>
      <c r="AI82" s="104"/>
      <c r="AJ82" s="104"/>
      <c r="AK82" s="105"/>
      <c r="AL82" s="104"/>
      <c r="AM82" s="104"/>
      <c r="AN82" s="104"/>
      <c r="AO82" s="105"/>
      <c r="AP82" s="104"/>
      <c r="AQ82" s="104"/>
      <c r="AR82" s="385">
        <v>0</v>
      </c>
      <c r="AS82" s="105"/>
      <c r="AT82" s="104"/>
      <c r="AU82" s="104"/>
      <c r="AV82" s="104"/>
      <c r="AW82" s="105"/>
      <c r="AX82" s="106">
        <f t="shared" si="15"/>
        <v>0</v>
      </c>
      <c r="AY82" s="107">
        <f t="shared" si="16"/>
        <v>0</v>
      </c>
      <c r="AZ82" s="109"/>
      <c r="BA82" s="109"/>
      <c r="BB82" s="109"/>
      <c r="BC82" s="109"/>
      <c r="BD82" s="109"/>
      <c r="BE82" s="109"/>
      <c r="BF82" s="109"/>
      <c r="BG82" s="109"/>
      <c r="BH82" s="109"/>
      <c r="BI82" s="109"/>
      <c r="BJ82" s="109"/>
      <c r="BK82" s="109"/>
    </row>
    <row r="83" spans="1:63" ht="15" x14ac:dyDescent="0.25">
      <c r="A83" s="104" t="s">
        <v>380</v>
      </c>
      <c r="B83" s="104"/>
      <c r="C83" s="104"/>
      <c r="D83" s="104"/>
      <c r="E83" s="105"/>
      <c r="F83" s="104"/>
      <c r="G83" s="104"/>
      <c r="H83" s="104"/>
      <c r="I83" s="105"/>
      <c r="J83" s="104"/>
      <c r="K83" s="104"/>
      <c r="L83" s="385"/>
      <c r="M83" s="105"/>
      <c r="N83" s="104"/>
      <c r="O83" s="104"/>
      <c r="P83" s="104"/>
      <c r="Q83" s="105"/>
      <c r="R83" s="106">
        <f t="shared" si="17"/>
        <v>0</v>
      </c>
      <c r="S83" s="107">
        <f t="shared" si="18"/>
        <v>0</v>
      </c>
      <c r="T83" s="108"/>
      <c r="U83" s="108"/>
      <c r="V83" s="108"/>
      <c r="W83" s="108"/>
      <c r="X83" s="108"/>
      <c r="Y83" s="109"/>
      <c r="Z83" s="109"/>
      <c r="AA83" s="109"/>
      <c r="AB83" s="109"/>
      <c r="AC83" s="109"/>
      <c r="AD83" s="109"/>
      <c r="AE83" s="109"/>
      <c r="AG83" s="104" t="s">
        <v>380</v>
      </c>
      <c r="AH83" s="104"/>
      <c r="AI83" s="104"/>
      <c r="AJ83" s="104"/>
      <c r="AK83" s="105"/>
      <c r="AL83" s="104"/>
      <c r="AM83" s="104"/>
      <c r="AN83" s="104"/>
      <c r="AO83" s="105"/>
      <c r="AP83" s="104"/>
      <c r="AQ83" s="104"/>
      <c r="AR83" s="385">
        <v>0</v>
      </c>
      <c r="AS83" s="105"/>
      <c r="AT83" s="104"/>
      <c r="AU83" s="104"/>
      <c r="AV83" s="104"/>
      <c r="AW83" s="105"/>
      <c r="AX83" s="106">
        <f t="shared" si="15"/>
        <v>0</v>
      </c>
      <c r="AY83" s="107">
        <f t="shared" si="16"/>
        <v>0</v>
      </c>
      <c r="AZ83" s="109"/>
      <c r="BA83" s="109"/>
      <c r="BB83" s="109"/>
      <c r="BC83" s="109"/>
      <c r="BD83" s="109"/>
      <c r="BE83" s="109"/>
      <c r="BF83" s="109"/>
      <c r="BG83" s="109"/>
      <c r="BH83" s="109"/>
      <c r="BI83" s="109"/>
      <c r="BJ83" s="109"/>
      <c r="BK83" s="109"/>
    </row>
    <row r="84" spans="1:63" ht="15" x14ac:dyDescent="0.25">
      <c r="A84" s="104" t="s">
        <v>381</v>
      </c>
      <c r="B84" s="104"/>
      <c r="C84" s="104"/>
      <c r="D84" s="104"/>
      <c r="E84" s="105"/>
      <c r="F84" s="104"/>
      <c r="G84" s="104"/>
      <c r="H84" s="104"/>
      <c r="I84" s="105"/>
      <c r="J84" s="104"/>
      <c r="K84" s="104"/>
      <c r="L84" s="385"/>
      <c r="M84" s="105"/>
      <c r="N84" s="104"/>
      <c r="O84" s="104"/>
      <c r="P84" s="104"/>
      <c r="Q84" s="105"/>
      <c r="R84" s="106">
        <f t="shared" si="17"/>
        <v>0</v>
      </c>
      <c r="S84" s="107">
        <f t="shared" si="18"/>
        <v>0</v>
      </c>
      <c r="T84" s="108"/>
      <c r="U84" s="108"/>
      <c r="V84" s="108"/>
      <c r="W84" s="108"/>
      <c r="X84" s="108"/>
      <c r="Y84" s="109"/>
      <c r="Z84" s="109"/>
      <c r="AA84" s="109"/>
      <c r="AB84" s="109"/>
      <c r="AC84" s="109"/>
      <c r="AD84" s="109"/>
      <c r="AE84" s="109"/>
      <c r="AG84" s="104" t="s">
        <v>381</v>
      </c>
      <c r="AH84" s="104"/>
      <c r="AI84" s="104"/>
      <c r="AJ84" s="104"/>
      <c r="AK84" s="105"/>
      <c r="AL84" s="104"/>
      <c r="AM84" s="104"/>
      <c r="AN84" s="104"/>
      <c r="AO84" s="105"/>
      <c r="AP84" s="104"/>
      <c r="AQ84" s="104"/>
      <c r="AR84" s="385">
        <v>0</v>
      </c>
      <c r="AS84" s="105"/>
      <c r="AT84" s="104"/>
      <c r="AU84" s="104"/>
      <c r="AV84" s="104"/>
      <c r="AW84" s="105"/>
      <c r="AX84" s="106">
        <f t="shared" si="15"/>
        <v>0</v>
      </c>
      <c r="AY84" s="107">
        <f t="shared" si="16"/>
        <v>0</v>
      </c>
      <c r="AZ84" s="109"/>
      <c r="BA84" s="109"/>
      <c r="BB84" s="109"/>
      <c r="BC84" s="109"/>
      <c r="BD84" s="109"/>
      <c r="BE84" s="109"/>
      <c r="BF84" s="109"/>
      <c r="BG84" s="109"/>
      <c r="BH84" s="109"/>
      <c r="BI84" s="109"/>
      <c r="BJ84" s="109"/>
      <c r="BK84" s="109"/>
    </row>
    <row r="85" spans="1:63" ht="15" x14ac:dyDescent="0.25">
      <c r="A85" s="104" t="s">
        <v>382</v>
      </c>
      <c r="B85" s="104"/>
      <c r="C85" s="104"/>
      <c r="D85" s="104"/>
      <c r="E85" s="105"/>
      <c r="F85" s="104"/>
      <c r="G85" s="104"/>
      <c r="H85" s="104"/>
      <c r="I85" s="105"/>
      <c r="J85" s="104"/>
      <c r="K85" s="104"/>
      <c r="L85" s="385"/>
      <c r="M85" s="105"/>
      <c r="N85" s="104"/>
      <c r="O85" s="104"/>
      <c r="P85" s="104"/>
      <c r="Q85" s="105"/>
      <c r="R85" s="106">
        <f t="shared" si="17"/>
        <v>0</v>
      </c>
      <c r="S85" s="107">
        <f t="shared" si="18"/>
        <v>0</v>
      </c>
      <c r="T85" s="108"/>
      <c r="U85" s="108"/>
      <c r="V85" s="108"/>
      <c r="W85" s="108"/>
      <c r="X85" s="108"/>
      <c r="Y85" s="109"/>
      <c r="Z85" s="109"/>
      <c r="AA85" s="109"/>
      <c r="AB85" s="109"/>
      <c r="AC85" s="109"/>
      <c r="AD85" s="109"/>
      <c r="AE85" s="109"/>
      <c r="AG85" s="104" t="s">
        <v>382</v>
      </c>
      <c r="AH85" s="104"/>
      <c r="AI85" s="104"/>
      <c r="AJ85" s="104"/>
      <c r="AK85" s="105"/>
      <c r="AL85" s="104"/>
      <c r="AM85" s="104"/>
      <c r="AN85" s="104"/>
      <c r="AO85" s="105"/>
      <c r="AP85" s="104"/>
      <c r="AQ85" s="104"/>
      <c r="AR85" s="385">
        <v>0</v>
      </c>
      <c r="AS85" s="105"/>
      <c r="AT85" s="104"/>
      <c r="AU85" s="104"/>
      <c r="AV85" s="104"/>
      <c r="AW85" s="105"/>
      <c r="AX85" s="106">
        <f t="shared" si="15"/>
        <v>0</v>
      </c>
      <c r="AY85" s="107">
        <f t="shared" si="16"/>
        <v>0</v>
      </c>
      <c r="AZ85" s="109"/>
      <c r="BA85" s="109"/>
      <c r="BB85" s="109"/>
      <c r="BC85" s="109"/>
      <c r="BD85" s="109"/>
      <c r="BE85" s="109"/>
      <c r="BF85" s="109"/>
      <c r="BG85" s="109"/>
      <c r="BH85" s="109"/>
      <c r="BI85" s="109"/>
      <c r="BJ85" s="109"/>
      <c r="BK85" s="109"/>
    </row>
    <row r="86" spans="1:63" ht="15" x14ac:dyDescent="0.25">
      <c r="A86" s="111" t="s">
        <v>383</v>
      </c>
      <c r="B86" s="112">
        <f t="shared" ref="B86:AE86" si="19">SUM(B66:B85)</f>
        <v>0</v>
      </c>
      <c r="C86" s="112">
        <f t="shared" si="19"/>
        <v>0</v>
      </c>
      <c r="D86" s="112">
        <f t="shared" si="19"/>
        <v>0</v>
      </c>
      <c r="E86" s="113">
        <f t="shared" si="19"/>
        <v>0</v>
      </c>
      <c r="F86" s="112">
        <f t="shared" si="19"/>
        <v>0</v>
      </c>
      <c r="G86" s="112">
        <f t="shared" si="19"/>
        <v>0</v>
      </c>
      <c r="H86" s="112">
        <f t="shared" si="19"/>
        <v>0</v>
      </c>
      <c r="I86" s="113">
        <f t="shared" si="19"/>
        <v>0</v>
      </c>
      <c r="J86" s="112">
        <f t="shared" si="19"/>
        <v>0</v>
      </c>
      <c r="K86" s="112">
        <f t="shared" si="19"/>
        <v>0</v>
      </c>
      <c r="L86" s="112">
        <f t="shared" si="19"/>
        <v>0</v>
      </c>
      <c r="M86" s="113">
        <f t="shared" si="19"/>
        <v>0</v>
      </c>
      <c r="N86" s="112">
        <f t="shared" si="19"/>
        <v>0</v>
      </c>
      <c r="O86" s="112">
        <f t="shared" si="19"/>
        <v>0</v>
      </c>
      <c r="P86" s="112">
        <f t="shared" si="19"/>
        <v>0</v>
      </c>
      <c r="Q86" s="113">
        <f t="shared" si="19"/>
        <v>0</v>
      </c>
      <c r="R86" s="112">
        <f t="shared" si="19"/>
        <v>0</v>
      </c>
      <c r="S86" s="107">
        <f t="shared" si="19"/>
        <v>0</v>
      </c>
      <c r="T86" s="112">
        <f t="shared" si="19"/>
        <v>0</v>
      </c>
      <c r="U86" s="112">
        <f t="shared" si="19"/>
        <v>0</v>
      </c>
      <c r="V86" s="112">
        <f t="shared" si="19"/>
        <v>0</v>
      </c>
      <c r="W86" s="112">
        <f t="shared" si="19"/>
        <v>0</v>
      </c>
      <c r="X86" s="112">
        <f t="shared" si="19"/>
        <v>0</v>
      </c>
      <c r="Y86" s="112">
        <f t="shared" si="19"/>
        <v>0</v>
      </c>
      <c r="Z86" s="112">
        <f t="shared" si="19"/>
        <v>0</v>
      </c>
      <c r="AA86" s="112">
        <f t="shared" si="19"/>
        <v>0</v>
      </c>
      <c r="AB86" s="112">
        <f t="shared" si="19"/>
        <v>0</v>
      </c>
      <c r="AC86" s="112">
        <f t="shared" si="19"/>
        <v>0</v>
      </c>
      <c r="AD86" s="112">
        <f t="shared" si="19"/>
        <v>0</v>
      </c>
      <c r="AE86" s="112">
        <f t="shared" si="19"/>
        <v>0</v>
      </c>
      <c r="AG86" s="111" t="s">
        <v>383</v>
      </c>
      <c r="AH86" s="112">
        <f t="shared" ref="AH86:BK86" si="20">SUM(AH66:AH85)</f>
        <v>0</v>
      </c>
      <c r="AI86" s="112">
        <f t="shared" si="20"/>
        <v>0</v>
      </c>
      <c r="AJ86" s="112">
        <f t="shared" si="20"/>
        <v>0</v>
      </c>
      <c r="AK86" s="113">
        <f t="shared" si="20"/>
        <v>0</v>
      </c>
      <c r="AL86" s="112">
        <f t="shared" si="20"/>
        <v>0</v>
      </c>
      <c r="AM86" s="112">
        <f t="shared" si="20"/>
        <v>0</v>
      </c>
      <c r="AN86" s="112">
        <f t="shared" si="20"/>
        <v>0</v>
      </c>
      <c r="AO86" s="113">
        <f t="shared" si="20"/>
        <v>0</v>
      </c>
      <c r="AP86" s="112">
        <f t="shared" si="20"/>
        <v>0</v>
      </c>
      <c r="AQ86" s="112">
        <f t="shared" si="20"/>
        <v>0</v>
      </c>
      <c r="AR86" s="112">
        <f t="shared" si="20"/>
        <v>184</v>
      </c>
      <c r="AS86" s="113">
        <f t="shared" si="20"/>
        <v>0</v>
      </c>
      <c r="AT86" s="112">
        <f t="shared" si="20"/>
        <v>0</v>
      </c>
      <c r="AU86" s="112">
        <f t="shared" si="20"/>
        <v>0</v>
      </c>
      <c r="AV86" s="112">
        <f t="shared" si="20"/>
        <v>0</v>
      </c>
      <c r="AW86" s="113">
        <f t="shared" si="20"/>
        <v>0</v>
      </c>
      <c r="AX86" s="114">
        <f t="shared" si="20"/>
        <v>184</v>
      </c>
      <c r="AY86" s="115">
        <f t="shared" si="20"/>
        <v>0</v>
      </c>
      <c r="AZ86" s="112">
        <f t="shared" si="20"/>
        <v>0</v>
      </c>
      <c r="BA86" s="112">
        <f t="shared" si="20"/>
        <v>0</v>
      </c>
      <c r="BB86" s="112">
        <f t="shared" si="20"/>
        <v>0</v>
      </c>
      <c r="BC86" s="112">
        <f t="shared" si="20"/>
        <v>0</v>
      </c>
      <c r="BD86" s="112">
        <f t="shared" si="20"/>
        <v>0</v>
      </c>
      <c r="BE86" s="112">
        <f t="shared" si="20"/>
        <v>0</v>
      </c>
      <c r="BF86" s="112">
        <f t="shared" si="20"/>
        <v>0</v>
      </c>
      <c r="BG86" s="112">
        <f t="shared" si="20"/>
        <v>0</v>
      </c>
      <c r="BH86" s="112">
        <f t="shared" si="20"/>
        <v>0</v>
      </c>
      <c r="BI86" s="112">
        <f t="shared" si="20"/>
        <v>0</v>
      </c>
      <c r="BJ86" s="112">
        <f t="shared" si="20"/>
        <v>0</v>
      </c>
      <c r="BK86" s="112">
        <f t="shared" si="20"/>
        <v>0</v>
      </c>
    </row>
    <row r="88" spans="1:63" x14ac:dyDescent="0.25">
      <c r="J88" s="139"/>
      <c r="K88" s="142" t="s">
        <v>386</v>
      </c>
      <c r="L88" s="142" t="s">
        <v>387</v>
      </c>
      <c r="M88" s="142" t="s">
        <v>388</v>
      </c>
      <c r="N88" s="142" t="s">
        <v>389</v>
      </c>
      <c r="O88" s="142" t="s">
        <v>390</v>
      </c>
      <c r="P88" s="139"/>
      <c r="Q88" s="403"/>
      <c r="R88" s="403"/>
      <c r="S88" s="404"/>
      <c r="T88" s="403"/>
      <c r="U88" s="403"/>
    </row>
    <row r="89" spans="1:63" ht="22.5" x14ac:dyDescent="0.25">
      <c r="J89" s="140" t="s">
        <v>391</v>
      </c>
      <c r="K89" s="141">
        <v>9813333.333333334</v>
      </c>
      <c r="L89" s="141">
        <v>29440000</v>
      </c>
      <c r="M89" s="141">
        <v>29440000</v>
      </c>
      <c r="N89" s="141">
        <v>29440000</v>
      </c>
      <c r="O89" s="141">
        <v>29440000</v>
      </c>
      <c r="P89" s="141"/>
      <c r="Q89" s="403"/>
      <c r="R89" s="403"/>
      <c r="S89" s="403"/>
      <c r="T89" s="403"/>
      <c r="U89" s="403"/>
      <c r="AS89" s="383" t="e">
        <f>+AS11+AS39</f>
        <v>#REF!</v>
      </c>
    </row>
    <row r="90" spans="1:63" ht="22.5" x14ac:dyDescent="0.25">
      <c r="J90" s="140" t="s">
        <v>392</v>
      </c>
      <c r="K90" s="141">
        <v>2453325.3333333335</v>
      </c>
      <c r="L90" s="141">
        <v>7360000</v>
      </c>
      <c r="M90" s="141">
        <v>7360000</v>
      </c>
      <c r="N90" s="141">
        <v>7360000</v>
      </c>
      <c r="O90" s="141">
        <v>7360000</v>
      </c>
      <c r="P90" s="141"/>
      <c r="Q90" s="403"/>
      <c r="R90" s="403"/>
      <c r="S90" s="403"/>
      <c r="T90" s="403"/>
      <c r="U90" s="403"/>
    </row>
    <row r="91" spans="1:63" ht="33.75" x14ac:dyDescent="0.25">
      <c r="J91" s="140" t="s">
        <v>393</v>
      </c>
      <c r="K91" s="141">
        <v>12266658.666666668</v>
      </c>
      <c r="L91" s="141">
        <v>36800000</v>
      </c>
      <c r="M91" s="141">
        <v>36800000</v>
      </c>
      <c r="N91" s="141">
        <v>36800000</v>
      </c>
      <c r="O91" s="141">
        <v>36800000</v>
      </c>
      <c r="P91" s="141">
        <v>159466658.66666669</v>
      </c>
      <c r="Q91" s="403"/>
      <c r="R91" s="403"/>
      <c r="S91" s="404">
        <f>+S32+S60</f>
        <v>159466658.66666669</v>
      </c>
      <c r="T91" s="403"/>
      <c r="U91" s="403"/>
    </row>
    <row r="92" spans="1:63" x14ac:dyDescent="0.25">
      <c r="J92" s="406"/>
      <c r="K92" s="406"/>
      <c r="L92" s="406"/>
      <c r="M92" s="406"/>
      <c r="N92" s="406"/>
      <c r="O92" s="406"/>
      <c r="P92" s="406"/>
      <c r="Q92" s="403"/>
      <c r="R92" s="403"/>
      <c r="S92" s="403"/>
      <c r="T92" s="403"/>
      <c r="U92" s="403"/>
    </row>
    <row r="93" spans="1:63" x14ac:dyDescent="0.25">
      <c r="J93" s="406"/>
      <c r="K93" s="406"/>
      <c r="L93" s="406"/>
      <c r="M93" s="406"/>
      <c r="N93" s="406"/>
      <c r="O93" s="406"/>
      <c r="P93" s="406"/>
      <c r="Q93" s="403"/>
      <c r="R93" s="403"/>
      <c r="S93" s="403"/>
      <c r="T93" s="403"/>
      <c r="U93" s="403"/>
    </row>
    <row r="94" spans="1:63" x14ac:dyDescent="0.25">
      <c r="J94" s="406"/>
      <c r="K94" s="406"/>
      <c r="L94" s="406"/>
      <c r="M94" s="406"/>
      <c r="N94" s="406"/>
      <c r="O94" s="406"/>
      <c r="P94" s="406"/>
      <c r="Q94" s="403"/>
      <c r="R94" s="403"/>
      <c r="S94" s="403"/>
      <c r="T94" s="403"/>
      <c r="U94" s="403"/>
    </row>
    <row r="95" spans="1:63" s="382" customFormat="1" ht="33" customHeight="1" x14ac:dyDescent="0.25">
      <c r="J95" s="140"/>
      <c r="K95" s="381" t="s">
        <v>394</v>
      </c>
      <c r="L95" s="381" t="s">
        <v>395</v>
      </c>
      <c r="M95" s="381" t="s">
        <v>396</v>
      </c>
      <c r="N95" s="381" t="s">
        <v>397</v>
      </c>
      <c r="O95" s="381" t="s">
        <v>398</v>
      </c>
      <c r="P95" s="407"/>
      <c r="Q95" s="405"/>
      <c r="R95" s="405"/>
      <c r="S95" s="405"/>
      <c r="T95" s="405"/>
      <c r="U95" s="405"/>
    </row>
    <row r="96" spans="1:63" ht="22.5" x14ac:dyDescent="0.25">
      <c r="J96" s="140" t="s">
        <v>391</v>
      </c>
      <c r="K96" s="141" t="e">
        <f>+#REF!+#REF!+#REF!+#REF!+#REF!+#REF!+#REF!+#REF!</f>
        <v>#REF!</v>
      </c>
      <c r="L96" s="141">
        <v>0</v>
      </c>
      <c r="M96" s="141">
        <v>0</v>
      </c>
      <c r="N96" s="141">
        <v>0</v>
      </c>
      <c r="O96" s="141">
        <v>0</v>
      </c>
      <c r="P96" s="406"/>
      <c r="Q96" s="403"/>
      <c r="R96" s="403"/>
      <c r="S96" s="403"/>
      <c r="T96" s="403"/>
      <c r="U96" s="403"/>
    </row>
    <row r="97" spans="1:21" ht="22.5" x14ac:dyDescent="0.25">
      <c r="J97" s="140" t="s">
        <v>392</v>
      </c>
      <c r="K97" s="141" t="e">
        <f>+#REF!+#REF!+#REF!+#REF!+#REF!+#REF!+#REF!+#REF!</f>
        <v>#REF!</v>
      </c>
      <c r="L97" s="141">
        <v>0</v>
      </c>
      <c r="M97" s="141">
        <v>0</v>
      </c>
      <c r="N97" s="141">
        <v>0</v>
      </c>
      <c r="O97" s="141">
        <v>0</v>
      </c>
      <c r="P97" s="406"/>
      <c r="Q97" s="403"/>
      <c r="R97" s="403"/>
      <c r="S97" s="403"/>
      <c r="T97" s="403"/>
      <c r="U97" s="403"/>
    </row>
    <row r="98" spans="1:21" ht="33.75" x14ac:dyDescent="0.25">
      <c r="J98" s="381" t="s">
        <v>393</v>
      </c>
      <c r="K98" s="402" t="e">
        <f>SUM(K96:K97)</f>
        <v>#REF!</v>
      </c>
      <c r="L98" s="402">
        <v>0</v>
      </c>
      <c r="M98" s="402">
        <v>0</v>
      </c>
      <c r="N98" s="402">
        <v>0</v>
      </c>
      <c r="O98" s="402">
        <v>0</v>
      </c>
      <c r="P98" s="406"/>
      <c r="Q98" s="403"/>
      <c r="R98" s="403"/>
      <c r="S98" s="403"/>
      <c r="T98" s="403"/>
      <c r="U98" s="403"/>
    </row>
    <row r="99" spans="1:21" x14ac:dyDescent="0.25">
      <c r="J99" s="406"/>
      <c r="K99" s="406"/>
      <c r="L99" s="406"/>
      <c r="M99" s="406"/>
      <c r="N99" s="406"/>
      <c r="O99" s="406"/>
      <c r="P99" s="406"/>
      <c r="Q99" s="403"/>
      <c r="R99" s="403"/>
      <c r="S99" s="403"/>
      <c r="T99" s="403"/>
      <c r="U99" s="403"/>
    </row>
    <row r="100" spans="1:21" x14ac:dyDescent="0.25">
      <c r="J100" s="406"/>
      <c r="K100" s="406"/>
      <c r="L100" s="406"/>
      <c r="M100" s="406"/>
      <c r="N100" s="406"/>
      <c r="O100" s="406"/>
      <c r="P100" s="406"/>
      <c r="Q100" s="403"/>
      <c r="R100" s="403"/>
      <c r="S100" s="403"/>
      <c r="T100" s="403"/>
      <c r="U100" s="403"/>
    </row>
    <row r="101" spans="1:21" x14ac:dyDescent="0.25">
      <c r="J101" s="406"/>
      <c r="K101" s="406"/>
      <c r="L101" s="406"/>
      <c r="M101" s="406"/>
      <c r="N101" s="406"/>
      <c r="O101" s="406"/>
      <c r="P101" s="406"/>
      <c r="Q101" s="403"/>
      <c r="R101" s="403"/>
      <c r="S101" s="403"/>
      <c r="T101" s="403"/>
      <c r="U101" s="403"/>
    </row>
    <row r="102" spans="1:21" x14ac:dyDescent="0.25">
      <c r="J102" s="403"/>
      <c r="K102" s="403"/>
      <c r="L102" s="403"/>
      <c r="M102" s="403"/>
      <c r="N102" s="403"/>
      <c r="O102" s="403"/>
      <c r="P102" s="403"/>
      <c r="Q102" s="403"/>
      <c r="R102" s="403"/>
      <c r="S102" s="403"/>
      <c r="T102" s="403"/>
      <c r="U102" s="403"/>
    </row>
    <row r="111" spans="1:21" x14ac:dyDescent="0.25">
      <c r="A111" s="15" t="s">
        <v>363</v>
      </c>
      <c r="L111" s="15">
        <v>26</v>
      </c>
      <c r="R111" s="15">
        <v>26</v>
      </c>
    </row>
    <row r="112" spans="1:21" x14ac:dyDescent="0.25">
      <c r="A112" s="15" t="s">
        <v>364</v>
      </c>
      <c r="L112" s="15">
        <v>0</v>
      </c>
      <c r="R112" s="15">
        <v>0</v>
      </c>
    </row>
    <row r="113" spans="1:18" x14ac:dyDescent="0.25">
      <c r="A113" s="15" t="s">
        <v>365</v>
      </c>
      <c r="L113" s="15">
        <v>7</v>
      </c>
      <c r="R113" s="15">
        <v>7</v>
      </c>
    </row>
    <row r="114" spans="1:18" x14ac:dyDescent="0.25">
      <c r="A114" s="15" t="s">
        <v>366</v>
      </c>
      <c r="L114" s="15">
        <v>10</v>
      </c>
      <c r="R114" s="15">
        <v>10</v>
      </c>
    </row>
    <row r="115" spans="1:18" x14ac:dyDescent="0.25">
      <c r="A115" s="15" t="s">
        <v>367</v>
      </c>
      <c r="L115" s="15">
        <v>0</v>
      </c>
      <c r="R115" s="15">
        <v>0</v>
      </c>
    </row>
    <row r="116" spans="1:18" x14ac:dyDescent="0.25">
      <c r="A116" s="15" t="s">
        <v>368</v>
      </c>
      <c r="L116" s="15">
        <v>27</v>
      </c>
      <c r="R116" s="15">
        <v>27</v>
      </c>
    </row>
    <row r="117" spans="1:18" x14ac:dyDescent="0.25">
      <c r="A117" s="15" t="s">
        <v>369</v>
      </c>
      <c r="L117" s="15">
        <v>6</v>
      </c>
      <c r="R117" s="15">
        <v>6</v>
      </c>
    </row>
    <row r="118" spans="1:18" x14ac:dyDescent="0.25">
      <c r="A118" s="15" t="s">
        <v>370</v>
      </c>
      <c r="L118" s="15">
        <v>12</v>
      </c>
      <c r="R118" s="15">
        <v>12</v>
      </c>
    </row>
    <row r="119" spans="1:18" x14ac:dyDescent="0.25">
      <c r="A119" s="15" t="s">
        <v>371</v>
      </c>
      <c r="L119" s="15">
        <v>0</v>
      </c>
      <c r="R119" s="15">
        <v>0</v>
      </c>
    </row>
    <row r="120" spans="1:18" x14ac:dyDescent="0.25">
      <c r="A120" s="15" t="s">
        <v>372</v>
      </c>
      <c r="L120" s="15">
        <v>0</v>
      </c>
      <c r="R120" s="15">
        <v>0</v>
      </c>
    </row>
    <row r="121" spans="1:18" x14ac:dyDescent="0.25">
      <c r="A121" s="15" t="s">
        <v>373</v>
      </c>
      <c r="L121" s="15">
        <v>46</v>
      </c>
      <c r="R121" s="15">
        <v>46</v>
      </c>
    </row>
    <row r="122" spans="1:18" x14ac:dyDescent="0.25">
      <c r="A122" s="15" t="s">
        <v>374</v>
      </c>
      <c r="L122" s="15">
        <v>0</v>
      </c>
      <c r="R122" s="15">
        <v>0</v>
      </c>
    </row>
    <row r="123" spans="1:18" x14ac:dyDescent="0.25">
      <c r="A123" s="15" t="s">
        <v>375</v>
      </c>
      <c r="L123" s="15">
        <v>0</v>
      </c>
      <c r="R123" s="15">
        <v>0</v>
      </c>
    </row>
    <row r="124" spans="1:18" x14ac:dyDescent="0.25">
      <c r="A124" s="15" t="s">
        <v>376</v>
      </c>
      <c r="L124" s="15">
        <v>21</v>
      </c>
      <c r="R124" s="15">
        <v>21</v>
      </c>
    </row>
    <row r="125" spans="1:18" x14ac:dyDescent="0.25">
      <c r="A125" s="15" t="s">
        <v>377</v>
      </c>
      <c r="L125" s="15">
        <v>0</v>
      </c>
      <c r="R125" s="15">
        <v>0</v>
      </c>
    </row>
    <row r="126" spans="1:18" x14ac:dyDescent="0.25">
      <c r="A126" s="15" t="s">
        <v>378</v>
      </c>
      <c r="L126" s="15">
        <v>29</v>
      </c>
      <c r="R126" s="15">
        <v>29</v>
      </c>
    </row>
    <row r="127" spans="1:18" x14ac:dyDescent="0.25">
      <c r="A127" s="15" t="s">
        <v>379</v>
      </c>
      <c r="L127" s="15">
        <v>0</v>
      </c>
      <c r="R127" s="15">
        <v>0</v>
      </c>
    </row>
    <row r="128" spans="1:18" x14ac:dyDescent="0.25">
      <c r="A128" s="15" t="s">
        <v>380</v>
      </c>
      <c r="L128" s="15">
        <v>0</v>
      </c>
      <c r="R128" s="15">
        <v>0</v>
      </c>
    </row>
    <row r="129" spans="1:18" x14ac:dyDescent="0.25">
      <c r="A129" s="15" t="s">
        <v>381</v>
      </c>
      <c r="L129" s="15">
        <v>0</v>
      </c>
      <c r="R129" s="15">
        <v>0</v>
      </c>
    </row>
    <row r="130" spans="1:18" x14ac:dyDescent="0.25">
      <c r="A130" s="15" t="s">
        <v>382</v>
      </c>
      <c r="L130" s="15">
        <v>0</v>
      </c>
      <c r="R130" s="15">
        <v>0</v>
      </c>
    </row>
  </sheetData>
  <mergeCells count="62">
    <mergeCell ref="BF64:BK64"/>
    <mergeCell ref="A63:BK63"/>
    <mergeCell ref="AN64:AO64"/>
    <mergeCell ref="AR64:AS64"/>
    <mergeCell ref="AV64:AW64"/>
    <mergeCell ref="AX64:AY64"/>
    <mergeCell ref="AZ64:BE64"/>
    <mergeCell ref="R64:S64"/>
    <mergeCell ref="T64:Y64"/>
    <mergeCell ref="Z64:AE64"/>
    <mergeCell ref="AG64:AG65"/>
    <mergeCell ref="AJ64:AK64"/>
    <mergeCell ref="A64:A65"/>
    <mergeCell ref="D64:E64"/>
    <mergeCell ref="H64:I64"/>
    <mergeCell ref="L64:M64"/>
    <mergeCell ref="P64:Q64"/>
    <mergeCell ref="AJ37:AK37"/>
    <mergeCell ref="A37:A38"/>
    <mergeCell ref="D37:E37"/>
    <mergeCell ref="H37:I37"/>
    <mergeCell ref="L37:M37"/>
    <mergeCell ref="P37:Q37"/>
    <mergeCell ref="BF37:BK37"/>
    <mergeCell ref="AR9:AS9"/>
    <mergeCell ref="AV9:AW9"/>
    <mergeCell ref="BF9:BK9"/>
    <mergeCell ref="AZ9:BE9"/>
    <mergeCell ref="AX37:AY37"/>
    <mergeCell ref="AZ37:BE37"/>
    <mergeCell ref="AX9:AY9"/>
    <mergeCell ref="B35:BK35"/>
    <mergeCell ref="AN37:AO37"/>
    <mergeCell ref="AR37:AS37"/>
    <mergeCell ref="AV37:AW37"/>
    <mergeCell ref="R37:S37"/>
    <mergeCell ref="T37:Y37"/>
    <mergeCell ref="Z37:AE37"/>
    <mergeCell ref="AG37:AG38"/>
    <mergeCell ref="AG5:BK5"/>
    <mergeCell ref="A9:A10"/>
    <mergeCell ref="D9:E9"/>
    <mergeCell ref="H9:I9"/>
    <mergeCell ref="B6:BK6"/>
    <mergeCell ref="R9:S9"/>
    <mergeCell ref="A5:AE5"/>
    <mergeCell ref="AJ9:AK9"/>
    <mergeCell ref="AN9:AO9"/>
    <mergeCell ref="Z9:AE9"/>
    <mergeCell ref="AG9:AG10"/>
    <mergeCell ref="L9:M9"/>
    <mergeCell ref="P9:Q9"/>
    <mergeCell ref="B7:BK7"/>
    <mergeCell ref="T9:Y9"/>
    <mergeCell ref="BI4:BK4"/>
    <mergeCell ref="A4:BH4"/>
    <mergeCell ref="BI1:BK1"/>
    <mergeCell ref="BI2:BK2"/>
    <mergeCell ref="BI3:BK3"/>
    <mergeCell ref="A1:BH1"/>
    <mergeCell ref="A2:BH2"/>
    <mergeCell ref="A3:BH3"/>
  </mergeCells>
  <printOptions horizontalCentered="1"/>
  <pageMargins left="0.39370078740157483" right="0.39370078740157483" top="0.39370078740157483" bottom="0.39370078740157483" header="0" footer="0"/>
  <pageSetup scale="18"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tabColor theme="7" tint="0.39997558519241921"/>
  </sheetPr>
  <dimension ref="A1:E35"/>
  <sheetViews>
    <sheetView view="pageBreakPreview" topLeftCell="A9" zoomScale="85" zoomScaleNormal="100" zoomScaleSheetLayoutView="85" workbookViewId="0">
      <selection activeCell="C10" sqref="C10:E10"/>
    </sheetView>
  </sheetViews>
  <sheetFormatPr baseColWidth="10" defaultColWidth="11.42578125" defaultRowHeight="14.25" x14ac:dyDescent="0.2"/>
  <cols>
    <col min="1" max="1" width="17.85546875" style="47" customWidth="1"/>
    <col min="2" max="2" width="25.85546875" style="47" customWidth="1"/>
    <col min="3" max="4" width="20.5703125" style="47" customWidth="1"/>
    <col min="5" max="5" width="24.28515625" style="47" customWidth="1"/>
    <col min="6" max="16384" width="11.42578125" style="47"/>
  </cols>
  <sheetData>
    <row r="1" spans="1:5" s="15" customFormat="1" ht="16.5" customHeight="1" x14ac:dyDescent="0.25">
      <c r="A1" s="890"/>
      <c r="B1" s="893" t="s">
        <v>121</v>
      </c>
      <c r="C1" s="893"/>
      <c r="D1" s="893"/>
      <c r="E1" s="116" t="s">
        <v>122</v>
      </c>
    </row>
    <row r="2" spans="1:5" s="15" customFormat="1" ht="20.25" customHeight="1" x14ac:dyDescent="0.25">
      <c r="A2" s="891"/>
      <c r="B2" s="894" t="s">
        <v>123</v>
      </c>
      <c r="C2" s="894"/>
      <c r="D2" s="894"/>
      <c r="E2" s="117" t="s">
        <v>124</v>
      </c>
    </row>
    <row r="3" spans="1:5" s="15" customFormat="1" ht="30" customHeight="1" x14ac:dyDescent="0.25">
      <c r="A3" s="891"/>
      <c r="B3" s="895" t="s">
        <v>125</v>
      </c>
      <c r="C3" s="895"/>
      <c r="D3" s="895"/>
      <c r="E3" s="117" t="s">
        <v>126</v>
      </c>
    </row>
    <row r="4" spans="1:5" s="15" customFormat="1" ht="16.5" customHeight="1" thickBot="1" x14ac:dyDescent="0.3">
      <c r="A4" s="892"/>
      <c r="B4" s="611"/>
      <c r="C4" s="611"/>
      <c r="D4" s="611"/>
      <c r="E4" s="118" t="s">
        <v>399</v>
      </c>
    </row>
    <row r="5" spans="1:5" s="15" customFormat="1" ht="9" customHeight="1" thickBot="1" x14ac:dyDescent="0.25">
      <c r="A5" s="47"/>
      <c r="B5" s="47"/>
      <c r="C5" s="47"/>
      <c r="D5" s="47"/>
      <c r="E5" s="47"/>
    </row>
    <row r="6" spans="1:5" ht="14.25" customHeight="1" x14ac:dyDescent="0.2">
      <c r="A6" s="876" t="s">
        <v>400</v>
      </c>
      <c r="B6" s="596"/>
      <c r="C6" s="596"/>
      <c r="D6" s="596"/>
      <c r="E6" s="877"/>
    </row>
    <row r="7" spans="1:5" s="367" customFormat="1" ht="31.9" customHeight="1" thickBot="1" x14ac:dyDescent="0.25">
      <c r="A7" s="119" t="s">
        <v>401</v>
      </c>
      <c r="B7" s="120" t="s">
        <v>402</v>
      </c>
      <c r="C7" s="896" t="s">
        <v>403</v>
      </c>
      <c r="D7" s="896"/>
      <c r="E7" s="897"/>
    </row>
    <row r="8" spans="1:5" s="370" customFormat="1" ht="94.15" customHeight="1" x14ac:dyDescent="0.25">
      <c r="A8" s="369">
        <v>45572</v>
      </c>
      <c r="B8" s="376" t="s">
        <v>404</v>
      </c>
      <c r="C8" s="887" t="s">
        <v>405</v>
      </c>
      <c r="D8" s="888"/>
      <c r="E8" s="889"/>
    </row>
    <row r="9" spans="1:5" s="370" customFormat="1" ht="117" customHeight="1" x14ac:dyDescent="0.25">
      <c r="A9" s="369">
        <v>45572</v>
      </c>
      <c r="B9" s="376" t="s">
        <v>406</v>
      </c>
      <c r="C9" s="881" t="s">
        <v>407</v>
      </c>
      <c r="D9" s="882"/>
      <c r="E9" s="883"/>
    </row>
    <row r="10" spans="1:5" s="370" customFormat="1" ht="141.6" customHeight="1" x14ac:dyDescent="0.25">
      <c r="A10" s="369">
        <v>45572</v>
      </c>
      <c r="B10" s="376" t="s">
        <v>408</v>
      </c>
      <c r="C10" s="881" t="s">
        <v>409</v>
      </c>
      <c r="D10" s="882"/>
      <c r="E10" s="883"/>
    </row>
    <row r="11" spans="1:5" s="370" customFormat="1" ht="207" customHeight="1" x14ac:dyDescent="0.25">
      <c r="A11" s="417">
        <v>45594</v>
      </c>
      <c r="B11" s="161" t="s">
        <v>410</v>
      </c>
      <c r="C11" s="881" t="s">
        <v>411</v>
      </c>
      <c r="D11" s="882"/>
      <c r="E11" s="883"/>
    </row>
    <row r="12" spans="1:5" s="370" customFormat="1" ht="101.25" customHeight="1" x14ac:dyDescent="0.25">
      <c r="A12" s="552">
        <v>45639</v>
      </c>
      <c r="B12" s="161" t="s">
        <v>410</v>
      </c>
      <c r="C12" s="881" t="s">
        <v>782</v>
      </c>
      <c r="D12" s="882"/>
      <c r="E12" s="883"/>
    </row>
    <row r="13" spans="1:5" s="370" customFormat="1" x14ac:dyDescent="0.25">
      <c r="A13" s="371"/>
      <c r="B13" s="161"/>
      <c r="C13" s="881"/>
      <c r="D13" s="882"/>
      <c r="E13" s="883"/>
    </row>
    <row r="14" spans="1:5" s="370" customFormat="1" x14ac:dyDescent="0.25">
      <c r="A14" s="371"/>
      <c r="B14" s="161"/>
      <c r="C14" s="881"/>
      <c r="D14" s="882"/>
      <c r="E14" s="883"/>
    </row>
    <row r="15" spans="1:5" s="370" customFormat="1" x14ac:dyDescent="0.25">
      <c r="A15" s="371"/>
      <c r="B15" s="161"/>
      <c r="C15" s="881"/>
      <c r="D15" s="882"/>
      <c r="E15" s="883"/>
    </row>
    <row r="16" spans="1:5" s="27" customFormat="1" x14ac:dyDescent="0.25">
      <c r="A16" s="372"/>
      <c r="B16" s="83"/>
      <c r="C16" s="884"/>
      <c r="D16" s="885"/>
      <c r="E16" s="886"/>
    </row>
    <row r="17" spans="1:5" s="27" customFormat="1" x14ac:dyDescent="0.25">
      <c r="A17" s="372"/>
      <c r="B17" s="83"/>
      <c r="C17" s="884"/>
      <c r="D17" s="885"/>
      <c r="E17" s="886"/>
    </row>
    <row r="18" spans="1:5" s="375" customFormat="1" x14ac:dyDescent="0.2">
      <c r="A18" s="373"/>
      <c r="B18" s="374"/>
      <c r="C18" s="878"/>
      <c r="D18" s="879"/>
      <c r="E18" s="880"/>
    </row>
    <row r="19" spans="1:5" x14ac:dyDescent="0.2">
      <c r="A19" s="121"/>
      <c r="B19" s="122"/>
      <c r="C19" s="878"/>
      <c r="D19" s="879"/>
      <c r="E19" s="880"/>
    </row>
    <row r="20" spans="1:5" x14ac:dyDescent="0.2">
      <c r="A20" s="121"/>
      <c r="B20" s="122"/>
      <c r="C20" s="878"/>
      <c r="D20" s="879"/>
      <c r="E20" s="880"/>
    </row>
    <row r="21" spans="1:5" x14ac:dyDescent="0.2">
      <c r="A21" s="121"/>
      <c r="B21" s="122"/>
      <c r="C21" s="878"/>
      <c r="D21" s="879"/>
      <c r="E21" s="880"/>
    </row>
    <row r="22" spans="1:5" x14ac:dyDescent="0.2">
      <c r="A22" s="121"/>
      <c r="B22" s="122"/>
      <c r="C22" s="878"/>
      <c r="D22" s="879"/>
      <c r="E22" s="880"/>
    </row>
    <row r="23" spans="1:5" x14ac:dyDescent="0.2">
      <c r="A23" s="121"/>
      <c r="B23" s="122"/>
      <c r="C23" s="878"/>
      <c r="D23" s="879"/>
      <c r="E23" s="880"/>
    </row>
    <row r="24" spans="1:5" x14ac:dyDescent="0.2">
      <c r="A24" s="121"/>
      <c r="B24" s="122"/>
      <c r="C24" s="878"/>
      <c r="D24" s="879"/>
      <c r="E24" s="880"/>
    </row>
    <row r="25" spans="1:5" x14ac:dyDescent="0.2">
      <c r="A25" s="121"/>
      <c r="B25" s="122"/>
      <c r="C25" s="878"/>
      <c r="D25" s="879"/>
      <c r="E25" s="880"/>
    </row>
    <row r="26" spans="1:5" x14ac:dyDescent="0.2">
      <c r="A26" s="121"/>
      <c r="B26" s="122"/>
      <c r="C26" s="878"/>
      <c r="D26" s="879"/>
      <c r="E26" s="880"/>
    </row>
    <row r="27" spans="1:5" x14ac:dyDescent="0.2">
      <c r="A27" s="121"/>
      <c r="B27" s="122"/>
      <c r="C27" s="878"/>
      <c r="D27" s="879"/>
      <c r="E27" s="880"/>
    </row>
    <row r="28" spans="1:5" x14ac:dyDescent="0.2">
      <c r="A28" s="121"/>
      <c r="B28" s="122"/>
      <c r="C28" s="878"/>
      <c r="D28" s="879"/>
      <c r="E28" s="880"/>
    </row>
    <row r="29" spans="1:5" x14ac:dyDescent="0.2">
      <c r="A29" s="121"/>
      <c r="B29" s="122"/>
      <c r="C29" s="878"/>
      <c r="D29" s="879"/>
      <c r="E29" s="880"/>
    </row>
    <row r="30" spans="1:5" x14ac:dyDescent="0.2">
      <c r="A30" s="121"/>
      <c r="B30" s="122"/>
      <c r="C30" s="878"/>
      <c r="D30" s="879"/>
      <c r="E30" s="880"/>
    </row>
    <row r="31" spans="1:5" x14ac:dyDescent="0.2">
      <c r="A31" s="121"/>
      <c r="B31" s="122"/>
      <c r="C31" s="878"/>
      <c r="D31" s="879"/>
      <c r="E31" s="880"/>
    </row>
    <row r="32" spans="1:5" x14ac:dyDescent="0.2">
      <c r="A32" s="121"/>
      <c r="B32" s="122"/>
      <c r="C32" s="878"/>
      <c r="D32" s="879"/>
      <c r="E32" s="880"/>
    </row>
    <row r="33" spans="1:5" x14ac:dyDescent="0.2">
      <c r="A33" s="121"/>
      <c r="B33" s="122"/>
      <c r="C33" s="878"/>
      <c r="D33" s="879"/>
      <c r="E33" s="880"/>
    </row>
    <row r="34" spans="1:5" x14ac:dyDescent="0.2">
      <c r="A34" s="121"/>
      <c r="B34" s="122"/>
      <c r="C34" s="878"/>
      <c r="D34" s="879"/>
      <c r="E34" s="880"/>
    </row>
    <row r="35" spans="1:5" ht="15" thickBot="1" x14ac:dyDescent="0.25">
      <c r="A35" s="123"/>
      <c r="B35" s="124"/>
      <c r="C35" s="873"/>
      <c r="D35" s="874"/>
      <c r="E35" s="875"/>
    </row>
  </sheetData>
  <mergeCells count="34">
    <mergeCell ref="A1:A4"/>
    <mergeCell ref="B1:D1"/>
    <mergeCell ref="B2:D2"/>
    <mergeCell ref="B3:D4"/>
    <mergeCell ref="C7:E7"/>
    <mergeCell ref="C29:E29"/>
    <mergeCell ref="C30:E30"/>
    <mergeCell ref="C19:E19"/>
    <mergeCell ref="C20:E20"/>
    <mergeCell ref="C8:E8"/>
    <mergeCell ref="C21:E21"/>
    <mergeCell ref="C22:E22"/>
    <mergeCell ref="C9:E9"/>
    <mergeCell ref="C10:E10"/>
    <mergeCell ref="C11:E11"/>
    <mergeCell ref="C12:E12"/>
    <mergeCell ref="C13:E13"/>
    <mergeCell ref="C14:E14"/>
    <mergeCell ref="C35:E35"/>
    <mergeCell ref="A6:E6"/>
    <mergeCell ref="C25:E25"/>
    <mergeCell ref="C26:E26"/>
    <mergeCell ref="C27:E27"/>
    <mergeCell ref="C28:E28"/>
    <mergeCell ref="C23:E23"/>
    <mergeCell ref="C24:E24"/>
    <mergeCell ref="C31:E31"/>
    <mergeCell ref="C32:E32"/>
    <mergeCell ref="C33:E33"/>
    <mergeCell ref="C34:E34"/>
    <mergeCell ref="C15:E15"/>
    <mergeCell ref="C16:E16"/>
    <mergeCell ref="C17:E17"/>
    <mergeCell ref="C18:E18"/>
  </mergeCells>
  <pageMargins left="0.7" right="0.7" top="0.75" bottom="0.75" header="0.3" footer="0.3"/>
  <pageSetup paperSize="9" scale="80"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4214a98-8106-43c1-876b-0a623317a76f" xsi:nil="true"/>
    <lcf76f155ced4ddcb4097134ff3c332f xmlns="8a310132-39d2-45f9-a9e7-d4e20b0146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EE65B1D9F812CE45931D09A2537FF48A" ma:contentTypeVersion="11" ma:contentTypeDescription="Crear nuevo documento." ma:contentTypeScope="" ma:versionID="488107cbb98b72bba25de7363afedc08">
  <xsd:schema xmlns:xsd="http://www.w3.org/2001/XMLSchema" xmlns:xs="http://www.w3.org/2001/XMLSchema" xmlns:p="http://schemas.microsoft.com/office/2006/metadata/properties" xmlns:ns2="8a310132-39d2-45f9-a9e7-d4e20b014621" xmlns:ns3="e4214a98-8106-43c1-876b-0a623317a76f" targetNamespace="http://schemas.microsoft.com/office/2006/metadata/properties" ma:root="true" ma:fieldsID="cc55d0115634544180c12a44972026e7" ns2:_="" ns3:_="">
    <xsd:import namespace="8a310132-39d2-45f9-a9e7-d4e20b014621"/>
    <xsd:import namespace="e4214a98-8106-43c1-876b-0a623317a76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310132-39d2-45f9-a9e7-d4e20b0146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0502971d-3a7e-42d3-b9b5-ba916876657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4214a98-8106-43c1-876b-0a623317a76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6bc2be8-16b1-4121-90bf-3e2dd5a0fe15}" ma:internalName="TaxCatchAll" ma:showField="CatchAllData" ma:web="e4214a98-8106-43c1-876b-0a623317a76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725F5B-FF5C-430D-AB20-F37D6003DD67}">
  <ds:schemaRefs>
    <ds:schemaRef ds:uri="http://schemas.microsoft.com/sharepoint/v3/contenttype/forms"/>
  </ds:schemaRefs>
</ds:datastoreItem>
</file>

<file path=customXml/itemProps2.xml><?xml version="1.0" encoding="utf-8"?>
<ds:datastoreItem xmlns:ds="http://schemas.openxmlformats.org/officeDocument/2006/customXml" ds:itemID="{202E8B72-858C-4889-8960-E361352B4DBB}">
  <ds:schemaRefs>
    <ds:schemaRef ds:uri="http://schemas.microsoft.com/office/2006/metadata/properties"/>
    <ds:schemaRef ds:uri="http://schemas.microsoft.com/office/infopath/2007/PartnerControls"/>
    <ds:schemaRef ds:uri="09513e6b-6f73-4b24-b485-ecfb1dade5a0"/>
    <ds:schemaRef ds:uri="bd95ef6b-5990-4b10-bd7a-7cb80e941752"/>
    <ds:schemaRef ds:uri="http://schemas.microsoft.com/sharepoint/v3"/>
  </ds:schemaRefs>
</ds:datastoreItem>
</file>

<file path=customXml/itemProps3.xml><?xml version="1.0" encoding="utf-8"?>
<ds:datastoreItem xmlns:ds="http://schemas.openxmlformats.org/officeDocument/2006/customXml" ds:itemID="{B2850989-53EE-4412-B2A0-513B56784FE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6</vt:i4>
      </vt:variant>
    </vt:vector>
  </HeadingPairs>
  <TitlesOfParts>
    <vt:vector size="18" baseType="lpstr">
      <vt:lpstr>Instructivo</vt:lpstr>
      <vt:lpstr>Meta.1</vt:lpstr>
      <vt:lpstr>Meta.3</vt:lpstr>
      <vt:lpstr>Meta.4</vt:lpstr>
      <vt:lpstr>Meta.5</vt:lpstr>
      <vt:lpstr>Indicadores PA</vt:lpstr>
      <vt:lpstr>Hoja1</vt:lpstr>
      <vt:lpstr>Territorialización PA</vt:lpstr>
      <vt:lpstr>Control de Cambios</vt:lpstr>
      <vt:lpstr>Proyecto</vt:lpstr>
      <vt:lpstr>8198.SCPI</vt:lpstr>
      <vt:lpstr>listas</vt:lpstr>
      <vt:lpstr>'Indicadores PA'!Área_de_impresión</vt:lpstr>
      <vt:lpstr>Meta.1!Área_de_impresión</vt:lpstr>
      <vt:lpstr>Meta.3!Área_de_impresión</vt:lpstr>
      <vt:lpstr>Meta.4!Área_de_impresión</vt:lpstr>
      <vt:lpstr>Meta.5!Área_de_impresión</vt:lpstr>
      <vt:lpstr>'Territorialización PA'!Área_de_impresión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fhinestroza</dc:creator>
  <cp:keywords/>
  <dc:description/>
  <cp:lastModifiedBy>Yuly Emperatriz Sanchez Cancelado</cp:lastModifiedBy>
  <cp:revision/>
  <dcterms:created xsi:type="dcterms:W3CDTF">2011-04-26T22:16:52Z</dcterms:created>
  <dcterms:modified xsi:type="dcterms:W3CDTF">2024-12-23T19:53:53Z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0x010100EE65B1D9F812CE45931D09A2537FF48A</vt:lpwstr>
  </property>
  <property fmtid="{D5CDD505-2E9C-101B-9397-08002B2CF9AE}" pid="3" name="MediaServiceImageTags">
    <vt:lpwstr/>
  </property>
</Properties>
</file>