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3\SEGUIMIENTO PI\7718\"/>
    </mc:Choice>
  </mc:AlternateContent>
  <xr:revisionPtr revIDLastSave="0" documentId="13_ncr:1_{F0ED847D-2ED5-4C6D-BD29-C7913344FADC}" xr6:coauthVersionLast="47" xr6:coauthVersionMax="47" xr10:uidLastSave="{00000000-0000-0000-0000-000000000000}"/>
  <bookViews>
    <workbookView xWindow="-120" yWindow="-120" windowWidth="20730" windowHeight="11160" tabRatio="810" xr2:uid="{00000000-000D-0000-FFFF-FFFF00000000}"/>
  </bookViews>
  <sheets>
    <sheet name="Meta 1" sheetId="40" r:id="rId1"/>
    <sheet name="Meta 2" sheetId="41" r:id="rId2"/>
    <sheet name="Meta 3" sheetId="46" r:id="rId3"/>
    <sheet name="Meta 1..n" sheetId="1" state="hidden" r:id="rId4"/>
    <sheet name="Meta 4" sheetId="42" r:id="rId5"/>
    <sheet name="Meta 5" sheetId="43" r:id="rId6"/>
    <sheet name="Meta 6" sheetId="45" r:id="rId7"/>
    <sheet name="Meta 7" sheetId="44"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#N/A</definedName>
    <definedName name="_xlnm.Print_Area" localSheetId="0">#N/A</definedName>
    <definedName name="_xlnm.Print_Area" localSheetId="1">#N/A</definedName>
    <definedName name="_xlnm.Print_Area" localSheetId="2">#N/A</definedName>
    <definedName name="_xlnm.Print_Area" localSheetId="4">#N/A</definedName>
    <definedName name="_xlnm.Print_Area" localSheetId="5">#N/A</definedName>
    <definedName name="_xlnm.Print_Area" localSheetId="6">#N/A</definedName>
    <definedName name="_xlnm.Print_Area" localSheetId="7">#N/A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37" l="1"/>
  <c r="AU19" i="36"/>
  <c r="AQ16" i="36"/>
  <c r="N39" i="42"/>
  <c r="O15" i="37"/>
  <c r="O32" i="37"/>
  <c r="O30" i="37"/>
  <c r="N11" i="37"/>
  <c r="N43" i="46"/>
  <c r="N41" i="46"/>
  <c r="N39" i="46"/>
  <c r="N43" i="45"/>
  <c r="N41" i="45"/>
  <c r="N39" i="45"/>
  <c r="O60" i="37"/>
  <c r="N39" i="43"/>
  <c r="N43" i="42"/>
  <c r="AT19" i="36"/>
  <c r="N60" i="37"/>
  <c r="N30" i="37"/>
  <c r="AE38" i="42"/>
  <c r="AF38" i="42"/>
  <c r="AC25" i="41" l="1"/>
  <c r="P35" i="41"/>
  <c r="M41" i="42"/>
  <c r="R59" i="37"/>
  <c r="R58" i="37"/>
  <c r="R57" i="37"/>
  <c r="R55" i="37"/>
  <c r="R54" i="37"/>
  <c r="R53" i="37"/>
  <c r="R52" i="37"/>
  <c r="R51" i="37"/>
  <c r="R50" i="37"/>
  <c r="R49" i="37"/>
  <c r="R48" i="37"/>
  <c r="R47" i="37"/>
  <c r="R46" i="37"/>
  <c r="R45" i="37"/>
  <c r="R44" i="37"/>
  <c r="R43" i="37"/>
  <c r="R42" i="37"/>
  <c r="R41" i="37"/>
  <c r="R40" i="37"/>
  <c r="R39" i="37"/>
  <c r="R31" i="37"/>
  <c r="R30" i="37"/>
  <c r="R29" i="37"/>
  <c r="R28" i="37"/>
  <c r="R27" i="37"/>
  <c r="R26" i="37"/>
  <c r="R25" i="37"/>
  <c r="R24" i="37"/>
  <c r="R23" i="37"/>
  <c r="R22" i="37"/>
  <c r="R21" i="37"/>
  <c r="R20" i="37"/>
  <c r="R19" i="37"/>
  <c r="R18" i="37"/>
  <c r="R17" i="37"/>
  <c r="R16" i="37"/>
  <c r="R15" i="37"/>
  <c r="R14" i="37"/>
  <c r="R13" i="37"/>
  <c r="R12" i="37"/>
  <c r="R11" i="37"/>
  <c r="Q60" i="37"/>
  <c r="P60" i="37"/>
  <c r="M60" i="37"/>
  <c r="L60" i="37"/>
  <c r="K60" i="37"/>
  <c r="J60" i="37"/>
  <c r="I60" i="37"/>
  <c r="H60" i="37"/>
  <c r="G60" i="37"/>
  <c r="F60" i="37"/>
  <c r="E60" i="37"/>
  <c r="D60" i="37"/>
  <c r="C60" i="37"/>
  <c r="M41" i="45"/>
  <c r="M43" i="45"/>
  <c r="M39" i="45"/>
  <c r="AT18" i="36"/>
  <c r="AT17" i="36"/>
  <c r="AU17" i="36" s="1"/>
  <c r="AT16" i="36"/>
  <c r="AT15" i="36"/>
  <c r="AT14" i="36"/>
  <c r="M35" i="44"/>
  <c r="L35" i="44"/>
  <c r="K35" i="44"/>
  <c r="J35" i="44"/>
  <c r="I35" i="44"/>
  <c r="H35" i="44"/>
  <c r="G35" i="44"/>
  <c r="F35" i="44"/>
  <c r="E35" i="44"/>
  <c r="D35" i="44"/>
  <c r="M41" i="44"/>
  <c r="M39" i="44"/>
  <c r="E39" i="43"/>
  <c r="M35" i="43"/>
  <c r="N32" i="37"/>
  <c r="L32" i="37"/>
  <c r="K32" i="37"/>
  <c r="J32" i="37"/>
  <c r="H32" i="37"/>
  <c r="G32" i="37"/>
  <c r="F32" i="37"/>
  <c r="D32" i="37"/>
  <c r="M43" i="42"/>
  <c r="M39" i="42"/>
  <c r="P39" i="42" s="1"/>
  <c r="M41" i="46"/>
  <c r="M43" i="46"/>
  <c r="L43" i="46"/>
  <c r="K43" i="46"/>
  <c r="J43" i="46"/>
  <c r="I43" i="46"/>
  <c r="H43" i="46"/>
  <c r="G43" i="46"/>
  <c r="F43" i="46"/>
  <c r="E43" i="46"/>
  <c r="D43" i="46"/>
  <c r="M39" i="46"/>
  <c r="AG15" i="36"/>
  <c r="M34" i="44"/>
  <c r="L34" i="44"/>
  <c r="K34" i="44"/>
  <c r="J34" i="44"/>
  <c r="I34" i="44"/>
  <c r="H34" i="44"/>
  <c r="G34" i="44"/>
  <c r="F34" i="44"/>
  <c r="E34" i="44"/>
  <c r="D34" i="44"/>
  <c r="P35" i="44"/>
  <c r="P34" i="44"/>
  <c r="P41" i="40"/>
  <c r="O24" i="40"/>
  <c r="D24" i="40"/>
  <c r="P40" i="40"/>
  <c r="S15" i="36"/>
  <c r="R15" i="36"/>
  <c r="Z24" i="44"/>
  <c r="Z24" i="45"/>
  <c r="Z24" i="43"/>
  <c r="Z24" i="42"/>
  <c r="Z24" i="46"/>
  <c r="Z24" i="41"/>
  <c r="Z24" i="40"/>
  <c r="V24" i="44"/>
  <c r="V22" i="44"/>
  <c r="V24" i="45"/>
  <c r="V22" i="45"/>
  <c r="V24" i="43"/>
  <c r="V22" i="43"/>
  <c r="V24" i="42"/>
  <c r="V22" i="42"/>
  <c r="H24" i="42"/>
  <c r="V24" i="46"/>
  <c r="V22" i="46"/>
  <c r="H24" i="46"/>
  <c r="V24" i="41"/>
  <c r="V22" i="41"/>
  <c r="AC22" i="41"/>
  <c r="V24" i="40"/>
  <c r="V22" i="40"/>
  <c r="AU18" i="36"/>
  <c r="AD15" i="36"/>
  <c r="AA15" i="36"/>
  <c r="X15" i="36"/>
  <c r="B59" i="44"/>
  <c r="A59" i="44"/>
  <c r="B57" i="44"/>
  <c r="A57" i="44"/>
  <c r="B61" i="45"/>
  <c r="A61" i="45"/>
  <c r="B59" i="45"/>
  <c r="A59" i="45"/>
  <c r="B57" i="45"/>
  <c r="A57" i="45"/>
  <c r="L57" i="43"/>
  <c r="L68" i="43"/>
  <c r="L69" i="43"/>
  <c r="B57" i="43"/>
  <c r="A57" i="43"/>
  <c r="B61" i="42"/>
  <c r="A61" i="42"/>
  <c r="B59" i="42"/>
  <c r="A59" i="42"/>
  <c r="B57" i="42"/>
  <c r="A57" i="42"/>
  <c r="B61" i="46"/>
  <c r="A61" i="46"/>
  <c r="B59" i="46"/>
  <c r="A59" i="46"/>
  <c r="B57" i="46"/>
  <c r="A57" i="46"/>
  <c r="B59" i="40"/>
  <c r="A59" i="40"/>
  <c r="O58" i="40"/>
  <c r="N58" i="40"/>
  <c r="L58" i="40"/>
  <c r="K58" i="40"/>
  <c r="J58" i="40"/>
  <c r="I58" i="40"/>
  <c r="H58" i="40"/>
  <c r="G58" i="40"/>
  <c r="F58" i="40"/>
  <c r="E58" i="40"/>
  <c r="D58" i="40"/>
  <c r="O57" i="40"/>
  <c r="N57" i="40"/>
  <c r="M57" i="40"/>
  <c r="L57" i="40"/>
  <c r="K57" i="40"/>
  <c r="J57" i="40"/>
  <c r="I57" i="40"/>
  <c r="G57" i="40"/>
  <c r="F57" i="40"/>
  <c r="E57" i="40"/>
  <c r="D57" i="40"/>
  <c r="B57" i="40"/>
  <c r="A57" i="40"/>
  <c r="P42" i="46"/>
  <c r="C24" i="44"/>
  <c r="O24" i="44"/>
  <c r="C24" i="45"/>
  <c r="C24" i="42"/>
  <c r="C24" i="46"/>
  <c r="AB24" i="44"/>
  <c r="AA24" i="44"/>
  <c r="Y24" i="44"/>
  <c r="X24" i="44"/>
  <c r="W24" i="44"/>
  <c r="AC24" i="44"/>
  <c r="U24" i="44"/>
  <c r="T24" i="44"/>
  <c r="S24" i="44"/>
  <c r="R24" i="44"/>
  <c r="Q22" i="44"/>
  <c r="T22" i="44"/>
  <c r="AA24" i="45"/>
  <c r="Y24" i="45"/>
  <c r="W24" i="45"/>
  <c r="U24" i="45"/>
  <c r="T22" i="45"/>
  <c r="AC22" i="45"/>
  <c r="AB24" i="45"/>
  <c r="X24" i="45"/>
  <c r="T24" i="45"/>
  <c r="AC24" i="45"/>
  <c r="AA24" i="43"/>
  <c r="Y24" i="43"/>
  <c r="W24" i="43"/>
  <c r="U24" i="43"/>
  <c r="AB24" i="42"/>
  <c r="AA24" i="42"/>
  <c r="Y24" i="42"/>
  <c r="X24" i="42"/>
  <c r="W24" i="42"/>
  <c r="U24" i="42"/>
  <c r="T24" i="42"/>
  <c r="S22" i="42"/>
  <c r="T22" i="42"/>
  <c r="AC22" i="42" s="1"/>
  <c r="AB24" i="46"/>
  <c r="AA24" i="46"/>
  <c r="Y24" i="46"/>
  <c r="X24" i="46"/>
  <c r="W24" i="46"/>
  <c r="U24" i="46"/>
  <c r="T24" i="46"/>
  <c r="S22" i="46"/>
  <c r="T22" i="46"/>
  <c r="AC22" i="46"/>
  <c r="AA24" i="41"/>
  <c r="Y24" i="41"/>
  <c r="W24" i="41"/>
  <c r="U24" i="41"/>
  <c r="AC24" i="41"/>
  <c r="AA24" i="40"/>
  <c r="Y24" i="40"/>
  <c r="W24" i="40"/>
  <c r="AC22" i="40"/>
  <c r="U24" i="40"/>
  <c r="D24" i="44"/>
  <c r="D24" i="45"/>
  <c r="O24" i="45"/>
  <c r="D24" i="43"/>
  <c r="O24" i="43"/>
  <c r="D24" i="42"/>
  <c r="D24" i="46"/>
  <c r="D24" i="41"/>
  <c r="F24" i="42"/>
  <c r="F24" i="46"/>
  <c r="E24" i="42"/>
  <c r="E24" i="46"/>
  <c r="G24" i="42"/>
  <c r="G24" i="46"/>
  <c r="P42" i="41"/>
  <c r="P43" i="46"/>
  <c r="P41" i="46"/>
  <c r="P40" i="46"/>
  <c r="P39" i="46"/>
  <c r="P38" i="46"/>
  <c r="G58" i="46"/>
  <c r="P30" i="46"/>
  <c r="O25" i="46"/>
  <c r="P25" i="46" s="1"/>
  <c r="AC25" i="46"/>
  <c r="AD25" i="46" s="1"/>
  <c r="AC23" i="46"/>
  <c r="AD23" i="46" s="1"/>
  <c r="O23" i="46"/>
  <c r="P23" i="46"/>
  <c r="O22" i="46"/>
  <c r="P43" i="45"/>
  <c r="P42" i="45"/>
  <c r="P41" i="45"/>
  <c r="P40" i="45"/>
  <c r="P39" i="45"/>
  <c r="P38" i="45"/>
  <c r="L58" i="45"/>
  <c r="P30" i="45"/>
  <c r="AC25" i="45"/>
  <c r="AD25" i="45" s="1"/>
  <c r="O25" i="45"/>
  <c r="P25" i="45"/>
  <c r="AC23" i="45"/>
  <c r="AD23" i="45" s="1"/>
  <c r="O23" i="45"/>
  <c r="P23" i="45"/>
  <c r="O22" i="45"/>
  <c r="P41" i="44"/>
  <c r="P40" i="44"/>
  <c r="P39" i="44"/>
  <c r="P38" i="44"/>
  <c r="J57" i="44"/>
  <c r="P30" i="44"/>
  <c r="AC25" i="44"/>
  <c r="AD25" i="44" s="1"/>
  <c r="O25" i="44"/>
  <c r="P25" i="44"/>
  <c r="AC23" i="44"/>
  <c r="AD23" i="44" s="1"/>
  <c r="O23" i="44"/>
  <c r="P23" i="44"/>
  <c r="O22" i="44"/>
  <c r="P39" i="43"/>
  <c r="P38" i="43"/>
  <c r="M57" i="43"/>
  <c r="O58" i="43"/>
  <c r="O65" i="43"/>
  <c r="O66" i="43"/>
  <c r="P30" i="43"/>
  <c r="AC25" i="43"/>
  <c r="AD25" i="43" s="1"/>
  <c r="O25" i="43"/>
  <c r="P25" i="43"/>
  <c r="AC23" i="43"/>
  <c r="AD23" i="43" s="1"/>
  <c r="O23" i="43"/>
  <c r="P23" i="43"/>
  <c r="AC22" i="43"/>
  <c r="O22" i="43"/>
  <c r="P43" i="42"/>
  <c r="P42" i="42"/>
  <c r="P41" i="42"/>
  <c r="P40" i="42"/>
  <c r="O60" i="42"/>
  <c r="P38" i="42"/>
  <c r="O57" i="42"/>
  <c r="P30" i="42"/>
  <c r="AC25" i="42"/>
  <c r="O25" i="42"/>
  <c r="P25" i="42"/>
  <c r="AC23" i="42"/>
  <c r="AD23" i="42" s="1"/>
  <c r="O23" i="42"/>
  <c r="P23" i="42"/>
  <c r="O22" i="42"/>
  <c r="P43" i="41"/>
  <c r="P41" i="41"/>
  <c r="P40" i="41"/>
  <c r="P39" i="41"/>
  <c r="P38" i="41"/>
  <c r="P30" i="41"/>
  <c r="O25" i="41"/>
  <c r="P25" i="41"/>
  <c r="O24" i="41"/>
  <c r="AC23" i="41"/>
  <c r="O23" i="41"/>
  <c r="P23" i="41"/>
  <c r="O22" i="41"/>
  <c r="AU14" i="36"/>
  <c r="AU15" i="36"/>
  <c r="AU13" i="36"/>
  <c r="O23" i="40"/>
  <c r="P23" i="40"/>
  <c r="AC25" i="40"/>
  <c r="AC24" i="40"/>
  <c r="AC23" i="40"/>
  <c r="AD23" i="40" s="1"/>
  <c r="O25" i="40"/>
  <c r="P25" i="40"/>
  <c r="O22" i="40"/>
  <c r="H60" i="40"/>
  <c r="P39" i="40"/>
  <c r="P38" i="40"/>
  <c r="M58" i="40"/>
  <c r="P30" i="40"/>
  <c r="P28" i="1"/>
  <c r="P24" i="1"/>
  <c r="P29" i="1"/>
  <c r="P32" i="1"/>
  <c r="P34" i="1"/>
  <c r="P35" i="1"/>
  <c r="P36" i="1"/>
  <c r="P37" i="1"/>
  <c r="P38" i="1"/>
  <c r="P39" i="1"/>
  <c r="N4" i="20"/>
  <c r="N3" i="20"/>
  <c r="F8" i="20"/>
  <c r="F7" i="20"/>
  <c r="J7" i="20"/>
  <c r="J6" i="20"/>
  <c r="J5" i="20"/>
  <c r="J4" i="20"/>
  <c r="J3" i="20"/>
  <c r="F6" i="20"/>
  <c r="F5" i="20"/>
  <c r="F4" i="20"/>
  <c r="F3" i="20"/>
  <c r="P33" i="1"/>
  <c r="D58" i="43"/>
  <c r="AC24" i="43"/>
  <c r="D57" i="43"/>
  <c r="D68" i="43"/>
  <c r="D69" i="43"/>
  <c r="H58" i="43"/>
  <c r="H65" i="43"/>
  <c r="H66" i="43"/>
  <c r="H57" i="43"/>
  <c r="H68" i="43"/>
  <c r="H69" i="43"/>
  <c r="L58" i="43"/>
  <c r="L65" i="43"/>
  <c r="L66" i="43"/>
  <c r="E57" i="43"/>
  <c r="E68" i="43"/>
  <c r="E69" i="43"/>
  <c r="I57" i="43"/>
  <c r="I68" i="43"/>
  <c r="I69" i="43"/>
  <c r="M68" i="43"/>
  <c r="M69" i="43"/>
  <c r="E58" i="43"/>
  <c r="E65" i="43"/>
  <c r="E66" i="43"/>
  <c r="I58" i="43"/>
  <c r="I65" i="43"/>
  <c r="I66" i="43"/>
  <c r="M58" i="43"/>
  <c r="M65" i="43"/>
  <c r="M66" i="43"/>
  <c r="F57" i="43"/>
  <c r="F68" i="43"/>
  <c r="F69" i="43"/>
  <c r="J57" i="43"/>
  <c r="J68" i="43"/>
  <c r="J69" i="43"/>
  <c r="N57" i="43"/>
  <c r="N68" i="43"/>
  <c r="N69" i="43"/>
  <c r="F58" i="43"/>
  <c r="F65" i="43"/>
  <c r="F66" i="43"/>
  <c r="J58" i="43"/>
  <c r="J65" i="43"/>
  <c r="J66" i="43"/>
  <c r="N58" i="43"/>
  <c r="N65" i="43"/>
  <c r="N66" i="43"/>
  <c r="G57" i="43"/>
  <c r="G68" i="43"/>
  <c r="G69" i="43"/>
  <c r="K57" i="43"/>
  <c r="K68" i="43"/>
  <c r="K69" i="43"/>
  <c r="O57" i="43"/>
  <c r="O68" i="43"/>
  <c r="O69" i="43"/>
  <c r="G58" i="43"/>
  <c r="G65" i="43"/>
  <c r="G66" i="43"/>
  <c r="K58" i="43"/>
  <c r="K65" i="43"/>
  <c r="K66" i="43"/>
  <c r="J57" i="46"/>
  <c r="L57" i="46"/>
  <c r="J58" i="46"/>
  <c r="L58" i="46"/>
  <c r="E57" i="46"/>
  <c r="O57" i="46"/>
  <c r="M58" i="46"/>
  <c r="O58" i="46"/>
  <c r="F57" i="46"/>
  <c r="H57" i="46"/>
  <c r="F58" i="46"/>
  <c r="H58" i="46"/>
  <c r="K57" i="46"/>
  <c r="M57" i="46"/>
  <c r="I58" i="46"/>
  <c r="K58" i="46"/>
  <c r="D57" i="46"/>
  <c r="N57" i="46"/>
  <c r="D58" i="46"/>
  <c r="N58" i="46"/>
  <c r="G57" i="46"/>
  <c r="I57" i="46"/>
  <c r="E58" i="46"/>
  <c r="P58" i="46" s="1"/>
  <c r="Q58" i="46"/>
  <c r="R58" i="46"/>
  <c r="P57" i="40"/>
  <c r="H65" i="40"/>
  <c r="H66" i="40"/>
  <c r="H35" i="40"/>
  <c r="K60" i="44"/>
  <c r="L59" i="44"/>
  <c r="F59" i="44"/>
  <c r="I60" i="44"/>
  <c r="H59" i="44"/>
  <c r="H60" i="44"/>
  <c r="E59" i="44"/>
  <c r="G60" i="44"/>
  <c r="I59" i="44"/>
  <c r="D59" i="44"/>
  <c r="F60" i="44"/>
  <c r="M59" i="44"/>
  <c r="D60" i="40"/>
  <c r="E57" i="42"/>
  <c r="N57" i="42"/>
  <c r="L58" i="42"/>
  <c r="F59" i="42"/>
  <c r="G60" i="42"/>
  <c r="K59" i="44"/>
  <c r="L60" i="44"/>
  <c r="P57" i="46"/>
  <c r="P58" i="40"/>
  <c r="F59" i="40"/>
  <c r="F68" i="40" s="1"/>
  <c r="F69" i="40" s="1"/>
  <c r="F34" i="40" s="1"/>
  <c r="E60" i="40"/>
  <c r="E65" i="40"/>
  <c r="E66" i="40"/>
  <c r="E35" i="40"/>
  <c r="F57" i="42"/>
  <c r="H59" i="42"/>
  <c r="I60" i="42"/>
  <c r="M60" i="44"/>
  <c r="O58" i="42"/>
  <c r="M58" i="42"/>
  <c r="K58" i="42"/>
  <c r="I58" i="42"/>
  <c r="G58" i="42"/>
  <c r="E58" i="42"/>
  <c r="H57" i="42"/>
  <c r="H58" i="42"/>
  <c r="L57" i="42"/>
  <c r="G57" i="42"/>
  <c r="AC22" i="44"/>
  <c r="H59" i="40"/>
  <c r="G60" i="40"/>
  <c r="I59" i="42"/>
  <c r="N60" i="42"/>
  <c r="N59" i="44"/>
  <c r="N60" i="44"/>
  <c r="I60" i="46"/>
  <c r="N59" i="46"/>
  <c r="F59" i="46"/>
  <c r="M60" i="46"/>
  <c r="D60" i="46"/>
  <c r="H59" i="46"/>
  <c r="L60" i="46"/>
  <c r="G59" i="46"/>
  <c r="K60" i="46"/>
  <c r="O59" i="46"/>
  <c r="E59" i="46"/>
  <c r="J59" i="40"/>
  <c r="J68" i="40"/>
  <c r="J69" i="40"/>
  <c r="J34" i="40"/>
  <c r="I59" i="46"/>
  <c r="H60" i="46"/>
  <c r="D58" i="42"/>
  <c r="N58" i="42"/>
  <c r="J59" i="42"/>
  <c r="G59" i="44"/>
  <c r="O60" i="44"/>
  <c r="D65" i="43"/>
  <c r="D66" i="43"/>
  <c r="P58" i="43"/>
  <c r="J60" i="42"/>
  <c r="O59" i="42"/>
  <c r="G59" i="42"/>
  <c r="H60" i="42"/>
  <c r="M59" i="42"/>
  <c r="E59" i="42"/>
  <c r="M60" i="42"/>
  <c r="D59" i="42"/>
  <c r="L60" i="42"/>
  <c r="N59" i="42"/>
  <c r="K60" i="42"/>
  <c r="L59" i="42"/>
  <c r="P57" i="43"/>
  <c r="N60" i="40"/>
  <c r="N65" i="40"/>
  <c r="N66" i="40"/>
  <c r="F60" i="40"/>
  <c r="M59" i="40"/>
  <c r="M68" i="40"/>
  <c r="M69" i="40"/>
  <c r="M34" i="40"/>
  <c r="G59" i="40"/>
  <c r="G68" i="40"/>
  <c r="G69" i="40"/>
  <c r="G34" i="40"/>
  <c r="L60" i="40"/>
  <c r="L65" i="40"/>
  <c r="L66" i="40"/>
  <c r="L35" i="40"/>
  <c r="D59" i="40"/>
  <c r="K60" i="40"/>
  <c r="K65" i="40"/>
  <c r="K66" i="40"/>
  <c r="K35" i="40"/>
  <c r="O59" i="40"/>
  <c r="J60" i="40"/>
  <c r="N59" i="40"/>
  <c r="N68" i="40"/>
  <c r="N69" i="40"/>
  <c r="N34" i="40"/>
  <c r="I59" i="40"/>
  <c r="I68" i="40"/>
  <c r="I69" i="40"/>
  <c r="I34" i="40"/>
  <c r="O60" i="45"/>
  <c r="G60" i="45"/>
  <c r="H59" i="45"/>
  <c r="M60" i="45"/>
  <c r="E60" i="45"/>
  <c r="L59" i="45"/>
  <c r="F59" i="45"/>
  <c r="N60" i="45"/>
  <c r="L60" i="45"/>
  <c r="O59" i="45"/>
  <c r="I59" i="45"/>
  <c r="K60" i="45"/>
  <c r="N59" i="45"/>
  <c r="G59" i="45"/>
  <c r="AC24" i="46"/>
  <c r="F65" i="40"/>
  <c r="F66" i="40"/>
  <c r="F35" i="40"/>
  <c r="K59" i="40"/>
  <c r="K68" i="40"/>
  <c r="K69" i="40"/>
  <c r="K34" i="40"/>
  <c r="I60" i="40"/>
  <c r="I65" i="40"/>
  <c r="I66" i="40"/>
  <c r="I35" i="40"/>
  <c r="J59" i="46"/>
  <c r="J60" i="46"/>
  <c r="I57" i="42"/>
  <c r="F58" i="42"/>
  <c r="K59" i="42"/>
  <c r="D59" i="45"/>
  <c r="O59" i="44"/>
  <c r="AC24" i="42"/>
  <c r="G65" i="40"/>
  <c r="G66" i="40"/>
  <c r="G35" i="40"/>
  <c r="L59" i="40"/>
  <c r="L68" i="40"/>
  <c r="L69" i="40"/>
  <c r="L34" i="40"/>
  <c r="M60" i="40"/>
  <c r="M65" i="40" s="1"/>
  <c r="M66" i="40" s="1"/>
  <c r="M35" i="40" s="1"/>
  <c r="P35" i="40" s="1"/>
  <c r="K59" i="46"/>
  <c r="N60" i="46"/>
  <c r="D57" i="42"/>
  <c r="J57" i="42"/>
  <c r="J58" i="42"/>
  <c r="D60" i="42"/>
  <c r="E59" i="45"/>
  <c r="D60" i="45"/>
  <c r="J59" i="44"/>
  <c r="J68" i="44"/>
  <c r="J69" i="44"/>
  <c r="D60" i="44"/>
  <c r="K57" i="44"/>
  <c r="K68" i="44"/>
  <c r="K69" i="44"/>
  <c r="E57" i="44"/>
  <c r="O57" i="44"/>
  <c r="I57" i="44"/>
  <c r="N58" i="44"/>
  <c r="N65" i="44"/>
  <c r="N66" i="44"/>
  <c r="H58" i="44"/>
  <c r="H65" i="44"/>
  <c r="H66" i="44"/>
  <c r="M58" i="44"/>
  <c r="M65" i="44"/>
  <c r="M66" i="44"/>
  <c r="N57" i="44"/>
  <c r="N68" i="44"/>
  <c r="N69" i="44"/>
  <c r="H57" i="44"/>
  <c r="H68" i="44"/>
  <c r="H69" i="44"/>
  <c r="L58" i="44"/>
  <c r="G58" i="44"/>
  <c r="M57" i="44"/>
  <c r="M68" i="44"/>
  <c r="M69" i="44"/>
  <c r="G57" i="44"/>
  <c r="L62" i="45"/>
  <c r="L65" i="45" s="1"/>
  <c r="L66" i="45" s="1"/>
  <c r="D62" i="45"/>
  <c r="K61" i="45"/>
  <c r="J62" i="45"/>
  <c r="O61" i="45"/>
  <c r="E61" i="45"/>
  <c r="K62" i="45"/>
  <c r="G61" i="45"/>
  <c r="I62" i="45"/>
  <c r="N61" i="45"/>
  <c r="H62" i="45"/>
  <c r="M61" i="45"/>
  <c r="F61" i="45"/>
  <c r="E59" i="40"/>
  <c r="O60" i="40"/>
  <c r="O65" i="40"/>
  <c r="O66" i="40"/>
  <c r="L59" i="46"/>
  <c r="O60" i="46"/>
  <c r="K57" i="42"/>
  <c r="E60" i="42"/>
  <c r="F60" i="45"/>
  <c r="D61" i="45"/>
  <c r="E62" i="45"/>
  <c r="L57" i="44"/>
  <c r="I58" i="44"/>
  <c r="I65" i="44"/>
  <c r="I66" i="44"/>
  <c r="E60" i="44"/>
  <c r="P69" i="43"/>
  <c r="E68" i="40"/>
  <c r="E69" i="40"/>
  <c r="E34" i="40"/>
  <c r="O68" i="40"/>
  <c r="O69" i="40"/>
  <c r="O34" i="40"/>
  <c r="M59" i="46"/>
  <c r="M57" i="42"/>
  <c r="F60" i="42"/>
  <c r="H60" i="45"/>
  <c r="H61" i="45"/>
  <c r="F62" i="45"/>
  <c r="J58" i="44"/>
  <c r="J60" i="44"/>
  <c r="I62" i="42"/>
  <c r="I65" i="42" s="1"/>
  <c r="I66" i="42" s="1"/>
  <c r="I35" i="42" s="1"/>
  <c r="O62" i="42"/>
  <c r="O65" i="42" s="1"/>
  <c r="O66" i="42" s="1"/>
  <c r="G62" i="42"/>
  <c r="N61" i="42"/>
  <c r="J61" i="42"/>
  <c r="F61" i="42"/>
  <c r="L62" i="46"/>
  <c r="D62" i="46"/>
  <c r="I61" i="46"/>
  <c r="L61" i="46"/>
  <c r="H62" i="46"/>
  <c r="H65" i="46" s="1"/>
  <c r="H66" i="46" s="1"/>
  <c r="H35" i="46" s="1"/>
  <c r="D61" i="42"/>
  <c r="K62" i="42"/>
  <c r="J57" i="45"/>
  <c r="O58" i="45"/>
  <c r="J65" i="40"/>
  <c r="J66" i="40"/>
  <c r="J35" i="40"/>
  <c r="D61" i="46"/>
  <c r="M61" i="46"/>
  <c r="I62" i="46"/>
  <c r="I65" i="46" s="1"/>
  <c r="I66" i="46" s="1"/>
  <c r="I35" i="46" s="1"/>
  <c r="E61" i="42"/>
  <c r="O61" i="42"/>
  <c r="O68" i="42" s="1"/>
  <c r="O69" i="42" s="1"/>
  <c r="O34" i="42" s="1"/>
  <c r="L62" i="42"/>
  <c r="E57" i="45"/>
  <c r="K57" i="45"/>
  <c r="H58" i="45"/>
  <c r="K58" i="45"/>
  <c r="D58" i="45"/>
  <c r="G58" i="45"/>
  <c r="F57" i="45"/>
  <c r="F68" i="45"/>
  <c r="F69" i="45"/>
  <c r="E58" i="45"/>
  <c r="E65" i="45"/>
  <c r="E66" i="45"/>
  <c r="I58" i="45"/>
  <c r="M58" i="45"/>
  <c r="H57" i="40"/>
  <c r="H68" i="40"/>
  <c r="H69" i="40"/>
  <c r="H34" i="40"/>
  <c r="N68" i="42"/>
  <c r="N69" i="42"/>
  <c r="N34" i="42"/>
  <c r="P59" i="44"/>
  <c r="R59" i="44"/>
  <c r="D68" i="42"/>
  <c r="D69" i="42"/>
  <c r="P57" i="42"/>
  <c r="K65" i="45"/>
  <c r="K66" i="45"/>
  <c r="G68" i="44"/>
  <c r="G69" i="44"/>
  <c r="P60" i="40"/>
  <c r="H65" i="45"/>
  <c r="H66" i="45"/>
  <c r="L68" i="44"/>
  <c r="L69" i="44"/>
  <c r="I68" i="44"/>
  <c r="I69" i="44"/>
  <c r="P59" i="42"/>
  <c r="R59" i="42"/>
  <c r="P65" i="43"/>
  <c r="R65" i="43"/>
  <c r="Q58" i="43"/>
  <c r="R58" i="43"/>
  <c r="P58" i="42"/>
  <c r="P60" i="44"/>
  <c r="R57" i="46"/>
  <c r="R57" i="40"/>
  <c r="F68" i="42"/>
  <c r="F69" i="42"/>
  <c r="F34" i="42"/>
  <c r="D65" i="45"/>
  <c r="D66" i="45"/>
  <c r="G65" i="44"/>
  <c r="G66" i="44"/>
  <c r="O68" i="44"/>
  <c r="O69" i="44"/>
  <c r="P66" i="43"/>
  <c r="Q58" i="40"/>
  <c r="R58" i="40"/>
  <c r="J68" i="42"/>
  <c r="J69" i="42"/>
  <c r="J34" i="42"/>
  <c r="P59" i="40"/>
  <c r="P68" i="40" s="1"/>
  <c r="R59" i="40"/>
  <c r="D68" i="40"/>
  <c r="D69" i="40"/>
  <c r="K65" i="42"/>
  <c r="K66" i="42"/>
  <c r="K35" i="42"/>
  <c r="D65" i="40"/>
  <c r="D66" i="40"/>
  <c r="E68" i="45"/>
  <c r="E69" i="45"/>
  <c r="J65" i="44"/>
  <c r="J66" i="44"/>
  <c r="L65" i="44"/>
  <c r="L66" i="44"/>
  <c r="E68" i="44"/>
  <c r="E69" i="44"/>
  <c r="P60" i="42"/>
  <c r="P68" i="43"/>
  <c r="R57" i="43"/>
  <c r="G65" i="42"/>
  <c r="G66" i="42"/>
  <c r="G35" i="42"/>
  <c r="L65" i="42"/>
  <c r="L66" i="42"/>
  <c r="L35" i="42"/>
  <c r="Q60" i="40"/>
  <c r="R60" i="40"/>
  <c r="D34" i="42"/>
  <c r="Q58" i="42"/>
  <c r="R58" i="42"/>
  <c r="P65" i="40"/>
  <c r="R65" i="40"/>
  <c r="D34" i="40"/>
  <c r="P34" i="40"/>
  <c r="P69" i="40"/>
  <c r="Q60" i="44"/>
  <c r="R60" i="44"/>
  <c r="R57" i="42"/>
  <c r="D35" i="40"/>
  <c r="P66" i="40"/>
  <c r="Q60" i="42"/>
  <c r="R60" i="42"/>
  <c r="AU16" i="36" l="1"/>
  <c r="BA16" i="36"/>
  <c r="AD25" i="42"/>
  <c r="O24" i="42"/>
  <c r="AF18" i="40"/>
  <c r="AF21" i="40"/>
  <c r="AD25" i="40"/>
  <c r="AF19" i="40"/>
  <c r="AD23" i="41"/>
  <c r="AF20" i="40"/>
  <c r="AD25" i="41"/>
  <c r="R32" i="37"/>
  <c r="R56" i="37"/>
  <c r="R60" i="37" s="1"/>
  <c r="O24" i="46"/>
  <c r="O58" i="44"/>
  <c r="O65" i="44" s="1"/>
  <c r="O66" i="44" s="1"/>
  <c r="K58" i="44"/>
  <c r="K65" i="44" s="1"/>
  <c r="K66" i="44" s="1"/>
  <c r="F58" i="44"/>
  <c r="F65" i="44" s="1"/>
  <c r="F66" i="44" s="1"/>
  <c r="E58" i="44"/>
  <c r="E65" i="44" s="1"/>
  <c r="E66" i="44" s="1"/>
  <c r="D58" i="44"/>
  <c r="F57" i="44"/>
  <c r="F68" i="44" s="1"/>
  <c r="F69" i="44" s="1"/>
  <c r="D57" i="44"/>
  <c r="N58" i="45"/>
  <c r="J58" i="45"/>
  <c r="F58" i="45"/>
  <c r="O57" i="45"/>
  <c r="O68" i="45" s="1"/>
  <c r="O69" i="45" s="1"/>
  <c r="N57" i="45"/>
  <c r="N68" i="45" s="1"/>
  <c r="N69" i="45" s="1"/>
  <c r="M57" i="45"/>
  <c r="L57" i="45"/>
  <c r="I57" i="45"/>
  <c r="H57" i="45"/>
  <c r="H68" i="45" s="1"/>
  <c r="H69" i="45" s="1"/>
  <c r="G57" i="45"/>
  <c r="G68" i="45" s="1"/>
  <c r="G69" i="45" s="1"/>
  <c r="D57" i="45"/>
  <c r="J60" i="45"/>
  <c r="I60" i="45"/>
  <c r="M59" i="45"/>
  <c r="K59" i="45"/>
  <c r="K68" i="45" s="1"/>
  <c r="K69" i="45" s="1"/>
  <c r="J59" i="45"/>
  <c r="O62" i="45"/>
  <c r="O65" i="45" s="1"/>
  <c r="O66" i="45" s="1"/>
  <c r="N62" i="45"/>
  <c r="M62" i="45"/>
  <c r="M65" i="45" s="1"/>
  <c r="M66" i="45" s="1"/>
  <c r="G62" i="45"/>
  <c r="L61" i="45"/>
  <c r="J61" i="45"/>
  <c r="I61" i="45"/>
  <c r="P61" i="45" s="1"/>
  <c r="R61" i="45" s="1"/>
  <c r="E68" i="42"/>
  <c r="E69" i="42" s="1"/>
  <c r="N62" i="42"/>
  <c r="N65" i="42" s="1"/>
  <c r="N66" i="42" s="1"/>
  <c r="M62" i="42"/>
  <c r="M65" i="42" s="1"/>
  <c r="M66" i="42" s="1"/>
  <c r="M35" i="42" s="1"/>
  <c r="J62" i="42"/>
  <c r="J65" i="42" s="1"/>
  <c r="J66" i="42" s="1"/>
  <c r="J35" i="42" s="1"/>
  <c r="H62" i="42"/>
  <c r="H65" i="42" s="1"/>
  <c r="H66" i="42" s="1"/>
  <c r="H35" i="42" s="1"/>
  <c r="F62" i="42"/>
  <c r="F65" i="42" s="1"/>
  <c r="F66" i="42" s="1"/>
  <c r="F35" i="42" s="1"/>
  <c r="E62" i="42"/>
  <c r="E65" i="42" s="1"/>
  <c r="E66" i="42" s="1"/>
  <c r="E35" i="42" s="1"/>
  <c r="D62" i="42"/>
  <c r="M61" i="42"/>
  <c r="M68" i="42" s="1"/>
  <c r="M69" i="42" s="1"/>
  <c r="M34" i="42" s="1"/>
  <c r="L61" i="42"/>
  <c r="L68" i="42" s="1"/>
  <c r="L69" i="42" s="1"/>
  <c r="L34" i="42" s="1"/>
  <c r="K61" i="42"/>
  <c r="K68" i="42" s="1"/>
  <c r="K69" i="42" s="1"/>
  <c r="K34" i="42" s="1"/>
  <c r="I61" i="42"/>
  <c r="I68" i="42" s="1"/>
  <c r="I69" i="42" s="1"/>
  <c r="I34" i="42" s="1"/>
  <c r="H61" i="42"/>
  <c r="H68" i="42" s="1"/>
  <c r="H69" i="42" s="1"/>
  <c r="H34" i="42" s="1"/>
  <c r="G61" i="42"/>
  <c r="M68" i="46"/>
  <c r="M69" i="46" s="1"/>
  <c r="M34" i="46" s="1"/>
  <c r="L68" i="46"/>
  <c r="L69" i="46" s="1"/>
  <c r="L34" i="46" s="1"/>
  <c r="I68" i="46"/>
  <c r="I69" i="46" s="1"/>
  <c r="I34" i="46" s="1"/>
  <c r="L65" i="46"/>
  <c r="L66" i="46" s="1"/>
  <c r="L35" i="46" s="1"/>
  <c r="D65" i="46"/>
  <c r="D66" i="46" s="1"/>
  <c r="G60" i="46"/>
  <c r="F60" i="46"/>
  <c r="E60" i="46"/>
  <c r="D59" i="46"/>
  <c r="O62" i="46"/>
  <c r="O65" i="46" s="1"/>
  <c r="O66" i="46" s="1"/>
  <c r="N62" i="46"/>
  <c r="N65" i="46" s="1"/>
  <c r="N66" i="46" s="1"/>
  <c r="M62" i="46"/>
  <c r="M65" i="46" s="1"/>
  <c r="M66" i="46" s="1"/>
  <c r="M35" i="46" s="1"/>
  <c r="K62" i="46"/>
  <c r="K65" i="46" s="1"/>
  <c r="K66" i="46" s="1"/>
  <c r="K35" i="46" s="1"/>
  <c r="J62" i="46"/>
  <c r="J65" i="46" s="1"/>
  <c r="J66" i="46" s="1"/>
  <c r="J35" i="46" s="1"/>
  <c r="G62" i="46"/>
  <c r="F62" i="46"/>
  <c r="E62" i="46"/>
  <c r="P62" i="46" s="1"/>
  <c r="O61" i="46"/>
  <c r="O68" i="46" s="1"/>
  <c r="O69" i="46" s="1"/>
  <c r="O34" i="46" s="1"/>
  <c r="N61" i="46"/>
  <c r="N68" i="46" s="1"/>
  <c r="N69" i="46" s="1"/>
  <c r="N34" i="46" s="1"/>
  <c r="K61" i="46"/>
  <c r="K68" i="46" s="1"/>
  <c r="K69" i="46" s="1"/>
  <c r="K34" i="46" s="1"/>
  <c r="J61" i="46"/>
  <c r="J68" i="46" s="1"/>
  <c r="J69" i="46" s="1"/>
  <c r="J34" i="46" s="1"/>
  <c r="H61" i="46"/>
  <c r="H68" i="46" s="1"/>
  <c r="H69" i="46" s="1"/>
  <c r="H34" i="46" s="1"/>
  <c r="G61" i="46"/>
  <c r="G68" i="46" s="1"/>
  <c r="G69" i="46" s="1"/>
  <c r="G34" i="46" s="1"/>
  <c r="F61" i="46"/>
  <c r="F68" i="46" s="1"/>
  <c r="F69" i="46" s="1"/>
  <c r="F34" i="46" s="1"/>
  <c r="E61" i="46"/>
  <c r="D68" i="44" l="1"/>
  <c r="D69" i="44" s="1"/>
  <c r="P57" i="44"/>
  <c r="D65" i="44"/>
  <c r="D66" i="44" s="1"/>
  <c r="P58" i="44"/>
  <c r="G65" i="45"/>
  <c r="G66" i="45" s="1"/>
  <c r="P62" i="45"/>
  <c r="J68" i="45"/>
  <c r="J69" i="45" s="1"/>
  <c r="P59" i="45"/>
  <c r="R59" i="45" s="1"/>
  <c r="P60" i="45"/>
  <c r="I65" i="45"/>
  <c r="I66" i="45" s="1"/>
  <c r="D68" i="45"/>
  <c r="D69" i="45" s="1"/>
  <c r="P57" i="45"/>
  <c r="I68" i="45"/>
  <c r="I69" i="45" s="1"/>
  <c r="L68" i="45"/>
  <c r="L69" i="45" s="1"/>
  <c r="M68" i="45"/>
  <c r="M69" i="45" s="1"/>
  <c r="F65" i="45"/>
  <c r="F66" i="45" s="1"/>
  <c r="P58" i="45"/>
  <c r="J65" i="45"/>
  <c r="J66" i="45" s="1"/>
  <c r="N65" i="45"/>
  <c r="N66" i="45" s="1"/>
  <c r="G68" i="42"/>
  <c r="G69" i="42" s="1"/>
  <c r="G34" i="42" s="1"/>
  <c r="P61" i="42"/>
  <c r="P62" i="42"/>
  <c r="D65" i="42"/>
  <c r="D66" i="42" s="1"/>
  <c r="E34" i="42"/>
  <c r="P34" i="42" s="1"/>
  <c r="P69" i="42"/>
  <c r="E68" i="46"/>
  <c r="E69" i="46" s="1"/>
  <c r="E34" i="46" s="1"/>
  <c r="P61" i="46"/>
  <c r="R61" i="46" s="1"/>
  <c r="Q62" i="46"/>
  <c r="R62" i="46"/>
  <c r="P59" i="46"/>
  <c r="D68" i="46"/>
  <c r="D69" i="46" s="1"/>
  <c r="E65" i="46"/>
  <c r="E66" i="46" s="1"/>
  <c r="E35" i="46" s="1"/>
  <c r="P60" i="46"/>
  <c r="F65" i="46"/>
  <c r="F66" i="46" s="1"/>
  <c r="F35" i="46" s="1"/>
  <c r="G65" i="46"/>
  <c r="G66" i="46" s="1"/>
  <c r="G35" i="46" s="1"/>
  <c r="P66" i="46"/>
  <c r="D35" i="46"/>
  <c r="P35" i="46" s="1"/>
  <c r="P65" i="44" l="1"/>
  <c r="R65" i="44" s="1"/>
  <c r="Q58" i="44"/>
  <c r="R58" i="44"/>
  <c r="P66" i="44"/>
  <c r="R57" i="44"/>
  <c r="P68" i="44"/>
  <c r="P69" i="44"/>
  <c r="P65" i="45"/>
  <c r="R65" i="45" s="1"/>
  <c r="Q58" i="45"/>
  <c r="R58" i="45"/>
  <c r="P66" i="45"/>
  <c r="P68" i="45"/>
  <c r="R57" i="45"/>
  <c r="P69" i="45"/>
  <c r="Q60" i="45"/>
  <c r="R60" i="45"/>
  <c r="Q62" i="45"/>
  <c r="R62" i="45"/>
  <c r="D35" i="42"/>
  <c r="P35" i="42" s="1"/>
  <c r="P66" i="42"/>
  <c r="Q62" i="42"/>
  <c r="R62" i="42"/>
  <c r="P65" i="42"/>
  <c r="R65" i="42" s="1"/>
  <c r="R61" i="42"/>
  <c r="P68" i="42"/>
  <c r="Q60" i="46"/>
  <c r="R60" i="46"/>
  <c r="P65" i="46"/>
  <c r="R65" i="46" s="1"/>
  <c r="P69" i="46"/>
  <c r="D34" i="46"/>
  <c r="P34" i="46" s="1"/>
  <c r="R59" i="46"/>
  <c r="P68"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000-000001000000}">
      <text>
        <r>
          <rPr>
            <b/>
            <sz val="9"/>
            <color indexed="81"/>
            <rFont val="Tahoma"/>
            <family val="2"/>
          </rPr>
          <t>USUARIO:</t>
        </r>
        <r>
          <rPr>
            <sz val="9"/>
            <color indexed="81"/>
            <rFont val="Tahoma"/>
            <family val="2"/>
          </rPr>
          <t xml:space="preserve">
PSP</t>
        </r>
      </text>
    </comment>
    <comment ref="T22" authorId="0" shapeId="0" xr:uid="{00000000-0006-0000-0000-000002000000}">
      <text>
        <r>
          <rPr>
            <b/>
            <sz val="9"/>
            <color indexed="81"/>
            <rFont val="Tahoma"/>
            <family val="2"/>
          </rPr>
          <t>USUARIO:</t>
        </r>
        <r>
          <rPr>
            <sz val="9"/>
            <color indexed="81"/>
            <rFont val="Tahoma"/>
            <family val="2"/>
          </rPr>
          <t xml:space="preserve">
Licenciamiento</t>
        </r>
      </text>
    </comment>
    <comment ref="V22" authorId="0" shapeId="0" xr:uid="{00000000-0006-0000-0000-000003000000}">
      <text>
        <r>
          <rPr>
            <b/>
            <sz val="9"/>
            <color indexed="81"/>
            <rFont val="Tahoma"/>
            <family val="2"/>
          </rPr>
          <t>USUARIO:</t>
        </r>
        <r>
          <rPr>
            <sz val="9"/>
            <color indexed="81"/>
            <rFont val="Tahoma"/>
            <family val="2"/>
          </rPr>
          <t xml:space="preserve">
Papeleria, central de medios</t>
        </r>
      </text>
    </comment>
    <comment ref="C24" authorId="0" shapeId="0" xr:uid="{00000000-0006-0000-0000-000004000000}">
      <text>
        <r>
          <rPr>
            <b/>
            <sz val="9"/>
            <color indexed="81"/>
            <rFont val="Tahoma"/>
            <family val="2"/>
          </rPr>
          <t>USUARIO:</t>
        </r>
        <r>
          <rPr>
            <sz val="9"/>
            <color indexed="81"/>
            <rFont val="Tahoma"/>
            <family val="2"/>
          </rPr>
          <t xml:space="preserve">
Central de medios</t>
        </r>
      </text>
    </comment>
    <comment ref="D24" authorId="0" shapeId="0" xr:uid="{00000000-0006-0000-0000-000005000000}">
      <text>
        <r>
          <rPr>
            <sz val="10"/>
            <color indexed="81"/>
            <rFont val="Tahoma"/>
            <family val="2"/>
          </rPr>
          <t>Equipos tecnologicos, PSP Camilo, PSP Jonathan, adición PSP Carol Quintero, Adición PSP Ana, Adición PSP Carol Rozo, central de medios</t>
        </r>
      </text>
    </comment>
    <comment ref="R24" authorId="0" shapeId="0" xr:uid="{00000000-0006-0000-0000-000006000000}">
      <text>
        <r>
          <rPr>
            <b/>
            <sz val="9"/>
            <color indexed="81"/>
            <rFont val="Tahoma"/>
            <family val="2"/>
          </rPr>
          <t>USUARIO:</t>
        </r>
        <r>
          <rPr>
            <sz val="9"/>
            <color indexed="81"/>
            <rFont val="Tahoma"/>
            <family val="2"/>
          </rPr>
          <t xml:space="preserve">
PSP</t>
        </r>
      </text>
    </comment>
    <comment ref="S24" authorId="0" shapeId="0" xr:uid="{00000000-0006-0000-0000-000007000000}">
      <text>
        <r>
          <rPr>
            <b/>
            <sz val="9"/>
            <color indexed="81"/>
            <rFont val="Tahoma"/>
            <family val="2"/>
          </rPr>
          <t>USUARIO:</t>
        </r>
        <r>
          <rPr>
            <sz val="9"/>
            <color indexed="81"/>
            <rFont val="Tahoma"/>
            <family val="2"/>
          </rPr>
          <t xml:space="preserve">
PSP</t>
        </r>
      </text>
    </comment>
    <comment ref="T24" authorId="0" shapeId="0" xr:uid="{00000000-0006-0000-0000-000008000000}">
      <text>
        <r>
          <rPr>
            <b/>
            <sz val="9"/>
            <color indexed="81"/>
            <rFont val="Tahoma"/>
            <family val="2"/>
          </rPr>
          <t>USUARIO:</t>
        </r>
        <r>
          <rPr>
            <sz val="9"/>
            <color indexed="81"/>
            <rFont val="Tahoma"/>
            <family val="2"/>
          </rPr>
          <t xml:space="preserve">
PSP</t>
        </r>
      </text>
    </comment>
    <comment ref="U24" authorId="0" shapeId="0" xr:uid="{00000000-0006-0000-0000-000009000000}">
      <text>
        <r>
          <rPr>
            <b/>
            <sz val="9"/>
            <color indexed="81"/>
            <rFont val="Tahoma"/>
            <family val="2"/>
          </rPr>
          <t>USUARIO:</t>
        </r>
        <r>
          <rPr>
            <sz val="9"/>
            <color indexed="81"/>
            <rFont val="Tahoma"/>
            <family val="2"/>
          </rPr>
          <t xml:space="preserve">
PSP, licenciamiento</t>
        </r>
      </text>
    </comment>
    <comment ref="V24" authorId="0" shapeId="0" xr:uid="{00000000-0006-0000-0000-00000A000000}">
      <text>
        <r>
          <rPr>
            <b/>
            <sz val="9"/>
            <color indexed="81"/>
            <rFont val="Tahoma"/>
            <family val="2"/>
          </rPr>
          <t>USUARIO:</t>
        </r>
        <r>
          <rPr>
            <sz val="9"/>
            <color indexed="81"/>
            <rFont val="Tahoma"/>
            <family val="2"/>
          </rPr>
          <t xml:space="preserve">
PSP</t>
        </r>
      </text>
    </comment>
    <comment ref="W24" authorId="0" shapeId="0" xr:uid="{00000000-0006-0000-00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000-00000C000000}">
      <text>
        <r>
          <rPr>
            <b/>
            <sz val="9"/>
            <color indexed="81"/>
            <rFont val="Tahoma"/>
            <family val="2"/>
          </rPr>
          <t>USUARIO:</t>
        </r>
        <r>
          <rPr>
            <sz val="9"/>
            <color indexed="81"/>
            <rFont val="Tahoma"/>
            <family val="2"/>
          </rPr>
          <t xml:space="preserve">
PSP</t>
        </r>
      </text>
    </comment>
    <comment ref="Y24" authorId="0" shapeId="0" xr:uid="{00000000-0006-0000-0000-00000D000000}">
      <text>
        <r>
          <rPr>
            <b/>
            <sz val="9"/>
            <color indexed="81"/>
            <rFont val="Tahoma"/>
            <family val="2"/>
          </rPr>
          <t>USUARIO:</t>
        </r>
        <r>
          <rPr>
            <sz val="9"/>
            <color indexed="81"/>
            <rFont val="Tahoma"/>
            <family val="2"/>
          </rPr>
          <t xml:space="preserve">
PSP, central de medios</t>
        </r>
      </text>
    </comment>
    <comment ref="Z24" authorId="0" shapeId="0" xr:uid="{00000000-0006-0000-0000-00000E000000}">
      <text>
        <r>
          <rPr>
            <b/>
            <sz val="9"/>
            <color indexed="81"/>
            <rFont val="Tahoma"/>
            <family val="2"/>
          </rPr>
          <t>USUARIO:</t>
        </r>
        <r>
          <rPr>
            <sz val="9"/>
            <color indexed="81"/>
            <rFont val="Tahoma"/>
            <family val="2"/>
          </rPr>
          <t xml:space="preserve">
PSP</t>
        </r>
      </text>
    </comment>
    <comment ref="AA24" authorId="0" shapeId="0" xr:uid="{00000000-0006-0000-0000-00000F000000}">
      <text>
        <r>
          <rPr>
            <b/>
            <sz val="9"/>
            <color indexed="81"/>
            <rFont val="Tahoma"/>
            <family val="2"/>
          </rPr>
          <t>USUARIO:</t>
        </r>
        <r>
          <rPr>
            <sz val="9"/>
            <color indexed="81"/>
            <rFont val="Tahoma"/>
            <family val="2"/>
          </rPr>
          <t xml:space="preserve">
PSP, central de medios</t>
        </r>
      </text>
    </comment>
    <comment ref="AB24" authorId="0" shapeId="0" xr:uid="{00000000-0006-0000-0000-000010000000}">
      <text>
        <r>
          <rPr>
            <b/>
            <sz val="9"/>
            <color indexed="81"/>
            <rFont val="Tahoma"/>
            <family val="2"/>
          </rPr>
          <t>USUARIO:</t>
        </r>
        <r>
          <rPr>
            <sz val="9"/>
            <color indexed="81"/>
            <rFont val="Tahoma"/>
            <family val="2"/>
          </rPr>
          <t xml:space="preserve">
PSP</t>
        </r>
      </text>
    </comment>
    <comment ref="C32" authorId="1"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tc={9A8B20AA-4A7B-4999-BD31-90FD8A9F590A}</author>
    <author>tc={B15428C6-2F61-4D91-8A93-18939A4C9159}</author>
    <author>tc={39833A42-EB5A-4237-BD09-960B42798585}</author>
  </authors>
  <commentList>
    <comment ref="Q22" authorId="0" shapeId="0" xr:uid="{00000000-0006-0000-0100-000001000000}">
      <text>
        <r>
          <rPr>
            <b/>
            <sz val="9"/>
            <color indexed="81"/>
            <rFont val="Tahoma"/>
            <family val="2"/>
          </rPr>
          <t>USUARIO:</t>
        </r>
        <r>
          <rPr>
            <sz val="9"/>
            <color indexed="81"/>
            <rFont val="Tahoma"/>
            <family val="2"/>
          </rPr>
          <t xml:space="preserve">
PSP</t>
        </r>
      </text>
    </comment>
    <comment ref="T22" authorId="0" shapeId="0" xr:uid="{00000000-0006-0000-0100-000002000000}">
      <text>
        <r>
          <rPr>
            <b/>
            <sz val="9"/>
            <color indexed="81"/>
            <rFont val="Tahoma"/>
            <family val="2"/>
          </rPr>
          <t>USUARIO:</t>
        </r>
        <r>
          <rPr>
            <sz val="9"/>
            <color indexed="81"/>
            <rFont val="Tahoma"/>
            <family val="2"/>
          </rPr>
          <t xml:space="preserve">
Licenciamiento</t>
        </r>
      </text>
    </comment>
    <comment ref="V22" authorId="0" shapeId="0" xr:uid="{00000000-0006-0000-0100-000003000000}">
      <text>
        <r>
          <rPr>
            <b/>
            <sz val="9"/>
            <color indexed="81"/>
            <rFont val="Tahoma"/>
            <family val="2"/>
          </rPr>
          <t>USUARIO:</t>
        </r>
        <r>
          <rPr>
            <sz val="9"/>
            <color indexed="81"/>
            <rFont val="Tahoma"/>
            <family val="2"/>
          </rPr>
          <t xml:space="preserve">
Papeleria, central de medios</t>
        </r>
      </text>
    </comment>
    <comment ref="C24" authorId="0" shapeId="0" xr:uid="{00000000-0006-0000-0100-000004000000}">
      <text>
        <r>
          <rPr>
            <b/>
            <sz val="9"/>
            <color indexed="81"/>
            <rFont val="Tahoma"/>
            <family val="2"/>
          </rPr>
          <t>USUARIO:</t>
        </r>
        <r>
          <rPr>
            <sz val="9"/>
            <color indexed="81"/>
            <rFont val="Tahoma"/>
            <family val="2"/>
          </rPr>
          <t xml:space="preserve">
Central de Medios</t>
        </r>
      </text>
    </comment>
    <comment ref="D24" authorId="0"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0" shapeId="0" xr:uid="{00000000-0006-0000-0100-000006000000}">
      <text>
        <r>
          <rPr>
            <b/>
            <sz val="9"/>
            <color indexed="81"/>
            <rFont val="Tahoma"/>
            <family val="2"/>
          </rPr>
          <t>USUARIO:</t>
        </r>
        <r>
          <rPr>
            <sz val="9"/>
            <color indexed="81"/>
            <rFont val="Tahoma"/>
            <family val="2"/>
          </rPr>
          <t xml:space="preserve">
PSP</t>
        </r>
      </text>
    </comment>
    <comment ref="S24" authorId="0" shapeId="0" xr:uid="{00000000-0006-0000-0100-000007000000}">
      <text>
        <r>
          <rPr>
            <b/>
            <sz val="9"/>
            <color indexed="81"/>
            <rFont val="Tahoma"/>
            <family val="2"/>
          </rPr>
          <t>USUARIO:</t>
        </r>
        <r>
          <rPr>
            <sz val="9"/>
            <color indexed="81"/>
            <rFont val="Tahoma"/>
            <family val="2"/>
          </rPr>
          <t xml:space="preserve">
PSP</t>
        </r>
      </text>
    </comment>
    <comment ref="T24" authorId="0" shapeId="0" xr:uid="{00000000-0006-0000-0100-000008000000}">
      <text>
        <r>
          <rPr>
            <b/>
            <sz val="9"/>
            <color indexed="81"/>
            <rFont val="Tahoma"/>
            <family val="2"/>
          </rPr>
          <t>USUARIO:</t>
        </r>
        <r>
          <rPr>
            <sz val="9"/>
            <color indexed="81"/>
            <rFont val="Tahoma"/>
            <family val="2"/>
          </rPr>
          <t xml:space="preserve">
PSP</t>
        </r>
      </text>
    </comment>
    <comment ref="U24" authorId="0" shapeId="0" xr:uid="{00000000-0006-0000-0100-000009000000}">
      <text>
        <r>
          <rPr>
            <b/>
            <sz val="9"/>
            <color indexed="81"/>
            <rFont val="Tahoma"/>
            <family val="2"/>
          </rPr>
          <t>USUARIO:</t>
        </r>
        <r>
          <rPr>
            <sz val="9"/>
            <color indexed="81"/>
            <rFont val="Tahoma"/>
            <family val="2"/>
          </rPr>
          <t xml:space="preserve">
PSP, licenciamiento</t>
        </r>
      </text>
    </comment>
    <comment ref="V24" authorId="0" shapeId="0" xr:uid="{00000000-0006-0000-0100-00000A000000}">
      <text>
        <r>
          <rPr>
            <b/>
            <sz val="9"/>
            <color indexed="81"/>
            <rFont val="Tahoma"/>
            <family val="2"/>
          </rPr>
          <t>USUARIO:</t>
        </r>
        <r>
          <rPr>
            <sz val="9"/>
            <color indexed="81"/>
            <rFont val="Tahoma"/>
            <family val="2"/>
          </rPr>
          <t xml:space="preserve">
PSP</t>
        </r>
      </text>
    </comment>
    <comment ref="W24" authorId="0"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100-00000C000000}">
      <text>
        <r>
          <rPr>
            <b/>
            <sz val="9"/>
            <color indexed="81"/>
            <rFont val="Tahoma"/>
            <family val="2"/>
          </rPr>
          <t>USUARIO:</t>
        </r>
        <r>
          <rPr>
            <sz val="9"/>
            <color indexed="81"/>
            <rFont val="Tahoma"/>
            <family val="2"/>
          </rPr>
          <t xml:space="preserve">
PSP</t>
        </r>
      </text>
    </comment>
    <comment ref="Y24" authorId="0" shapeId="0" xr:uid="{00000000-0006-0000-0100-00000D000000}">
      <text>
        <r>
          <rPr>
            <b/>
            <sz val="9"/>
            <color indexed="81"/>
            <rFont val="Tahoma"/>
            <family val="2"/>
          </rPr>
          <t>USUARIO:</t>
        </r>
        <r>
          <rPr>
            <sz val="9"/>
            <color indexed="81"/>
            <rFont val="Tahoma"/>
            <family val="2"/>
          </rPr>
          <t xml:space="preserve">
PSP, central de medios</t>
        </r>
      </text>
    </comment>
    <comment ref="Z24" authorId="0" shapeId="0" xr:uid="{00000000-0006-0000-0100-00000E000000}">
      <text>
        <r>
          <rPr>
            <b/>
            <sz val="9"/>
            <color indexed="81"/>
            <rFont val="Tahoma"/>
            <family val="2"/>
          </rPr>
          <t>USUARIO:</t>
        </r>
        <r>
          <rPr>
            <sz val="9"/>
            <color indexed="81"/>
            <rFont val="Tahoma"/>
            <family val="2"/>
          </rPr>
          <t xml:space="preserve">
PSP</t>
        </r>
      </text>
    </comment>
    <comment ref="AA24" authorId="0" shapeId="0" xr:uid="{00000000-0006-0000-0100-00000F000000}">
      <text>
        <r>
          <rPr>
            <b/>
            <sz val="9"/>
            <color indexed="81"/>
            <rFont val="Tahoma"/>
            <family val="2"/>
          </rPr>
          <t>USUARIO:</t>
        </r>
        <r>
          <rPr>
            <sz val="9"/>
            <color indexed="81"/>
            <rFont val="Tahoma"/>
            <family val="2"/>
          </rPr>
          <t xml:space="preserve">
PSP, central de medios</t>
        </r>
      </text>
    </comment>
    <comment ref="AB24" authorId="0" shapeId="0" xr:uid="{00000000-0006-0000-0100-000010000000}">
      <text>
        <r>
          <rPr>
            <b/>
            <sz val="9"/>
            <color indexed="81"/>
            <rFont val="Tahoma"/>
            <family val="2"/>
          </rPr>
          <t>USUARIO:</t>
        </r>
        <r>
          <rPr>
            <sz val="9"/>
            <color indexed="81"/>
            <rFont val="Tahoma"/>
            <family val="2"/>
          </rPr>
          <t xml:space="preserve">
PSP</t>
        </r>
      </text>
    </comment>
    <comment ref="C32" authorId="1"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M39" authorId="3" shapeId="0" xr:uid="{9A8B20AA-4A7B-4999-BD31-90FD8A9F590A}">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Para efectos de los porcentajes nos queda una sesión extraordinaria y una ordinaria de la Comisión.</t>
      </text>
    </comment>
    <comment ref="M41" authorId="4" shapeId="0" xr:uid="{B15428C6-2F61-4D91-8A93-18939A4C9159}">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Para efectos de los porcentajes, las sesiones de la UTA son mensuales ahora según el Decreto 415 de 2023, por lo que debemos reportar en noviembre y diciembre, y es lineamiento inaugurar una  manzana No. 21</t>
      </text>
    </comment>
    <comment ref="M43" authorId="5" shapeId="0" xr:uid="{39833A42-EB5A-4237-BD09-960B4279858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NOTA: Para efectos de los porcentajes nos queda una sesión del Mecanismo porque ahora las sesiones no son semestrales, sino trimestrales según el Decreto 415 de 2023.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200-000001000000}">
      <text>
        <r>
          <rPr>
            <b/>
            <sz val="9"/>
            <color indexed="81"/>
            <rFont val="Tahoma"/>
            <family val="2"/>
          </rPr>
          <t>USUARIO:</t>
        </r>
        <r>
          <rPr>
            <sz val="9"/>
            <color indexed="81"/>
            <rFont val="Tahoma"/>
            <family val="2"/>
          </rPr>
          <t xml:space="preserve">
PSP</t>
        </r>
      </text>
    </comment>
    <comment ref="S22" authorId="0"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0" shapeId="0" xr:uid="{00000000-0006-0000-0200-000004000000}">
      <text>
        <r>
          <rPr>
            <b/>
            <sz val="9"/>
            <color indexed="81"/>
            <rFont val="Tahoma"/>
            <family val="2"/>
          </rPr>
          <t>USUARIO:</t>
        </r>
        <r>
          <rPr>
            <sz val="9"/>
            <color indexed="81"/>
            <rFont val="Tahoma"/>
            <family val="2"/>
          </rPr>
          <t xml:space="preserve">
papeleria, central de medios</t>
        </r>
      </text>
    </comment>
    <comment ref="W22" authorId="0" shapeId="0" xr:uid="{00000000-0006-0000-0200-000005000000}">
      <text>
        <r>
          <rPr>
            <b/>
            <sz val="9"/>
            <color indexed="81"/>
            <rFont val="Tahoma"/>
            <family val="2"/>
          </rPr>
          <t>USUARIO:</t>
        </r>
        <r>
          <rPr>
            <sz val="9"/>
            <color indexed="81"/>
            <rFont val="Tahoma"/>
            <family val="2"/>
          </rPr>
          <t xml:space="preserve">
Mobiliario</t>
        </r>
      </text>
    </comment>
    <comment ref="C24" authorId="0" shapeId="0" xr:uid="{00000000-0006-0000-0200-000006000000}">
      <text>
        <r>
          <rPr>
            <b/>
            <sz val="9"/>
            <color indexed="8"/>
            <rFont val="Tahoma"/>
            <family val="2"/>
          </rPr>
          <t>USUARIO:</t>
        </r>
        <r>
          <rPr>
            <sz val="9"/>
            <color indexed="8"/>
            <rFont val="Tahoma"/>
            <family val="2"/>
          </rPr>
          <t xml:space="preserve">
</t>
        </r>
        <r>
          <rPr>
            <sz val="9"/>
            <color indexed="8"/>
            <rFont val="Tahoma"/>
            <family val="2"/>
          </rPr>
          <t>Impresos, lineas celular, internet, aseo y cafeteria, operador logistico, Central de Medios</t>
        </r>
      </text>
    </comment>
    <comment ref="D24" authorId="0"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0"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0"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0" shapeId="0" xr:uid="{00000000-0006-0000-0200-00000A000000}">
      <text>
        <r>
          <rPr>
            <b/>
            <sz val="9"/>
            <color indexed="81"/>
            <rFont val="Tahoma"/>
            <family val="2"/>
          </rPr>
          <t>USUARIO:</t>
        </r>
        <r>
          <rPr>
            <sz val="9"/>
            <color indexed="81"/>
            <rFont val="Tahoma"/>
            <family val="2"/>
          </rPr>
          <t xml:space="preserve">
Lineas celular, internet</t>
        </r>
      </text>
    </comment>
    <comment ref="H24" authorId="0" shapeId="0" xr:uid="{00000000-0006-0000-0200-00000B000000}">
      <text>
        <r>
          <rPr>
            <b/>
            <sz val="9"/>
            <color indexed="81"/>
            <rFont val="Tahoma"/>
            <family val="2"/>
          </rPr>
          <t>USUARIO:</t>
        </r>
        <r>
          <rPr>
            <sz val="9"/>
            <color indexed="81"/>
            <rFont val="Tahoma"/>
            <family val="2"/>
          </rPr>
          <t xml:space="preserve">
Internet</t>
        </r>
      </text>
    </comment>
    <comment ref="I24" authorId="0" shapeId="0" xr:uid="{00000000-0006-0000-0200-00000C000000}">
      <text>
        <r>
          <rPr>
            <b/>
            <sz val="9"/>
            <color indexed="81"/>
            <rFont val="Tahoma"/>
            <family val="2"/>
          </rPr>
          <t>USUARIO:</t>
        </r>
        <r>
          <rPr>
            <sz val="9"/>
            <color indexed="81"/>
            <rFont val="Tahoma"/>
            <family val="2"/>
          </rPr>
          <t xml:space="preserve">
Internet</t>
        </r>
      </text>
    </comment>
    <comment ref="N24" authorId="0" shapeId="0" xr:uid="{00000000-0006-0000-0200-00000D000000}">
      <text>
        <r>
          <rPr>
            <b/>
            <sz val="9"/>
            <color indexed="81"/>
            <rFont val="Tahoma"/>
            <family val="2"/>
          </rPr>
          <t>USUARIO:</t>
        </r>
        <r>
          <rPr>
            <sz val="9"/>
            <color indexed="81"/>
            <rFont val="Tahoma"/>
            <family val="2"/>
          </rPr>
          <t xml:space="preserve">
Rezago Aseo y Cafeteria</t>
        </r>
      </text>
    </comment>
    <comment ref="R24" authorId="0" shapeId="0" xr:uid="{00000000-0006-0000-0200-00000E000000}">
      <text>
        <r>
          <rPr>
            <b/>
            <sz val="9"/>
            <color indexed="81"/>
            <rFont val="Tahoma"/>
            <family val="2"/>
          </rPr>
          <t>USUARIO:</t>
        </r>
        <r>
          <rPr>
            <sz val="9"/>
            <color indexed="81"/>
            <rFont val="Tahoma"/>
            <family val="2"/>
          </rPr>
          <t xml:space="preserve">
PSP</t>
        </r>
      </text>
    </comment>
    <comment ref="S24" authorId="0" shapeId="0" xr:uid="{00000000-0006-0000-0200-00000F000000}">
      <text>
        <r>
          <rPr>
            <b/>
            <sz val="9"/>
            <color indexed="81"/>
            <rFont val="Tahoma"/>
            <family val="2"/>
          </rPr>
          <t>USUARIO:</t>
        </r>
        <r>
          <rPr>
            <sz val="9"/>
            <color indexed="81"/>
            <rFont val="Tahoma"/>
            <family val="2"/>
          </rPr>
          <t xml:space="preserve">
PSP</t>
        </r>
      </text>
    </comment>
    <comment ref="T24" authorId="0"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0"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0"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0"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0"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0"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0"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0" shapeId="0" xr:uid="{00000000-0006-0000-0200-000017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AB24" authorId="0"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1"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1B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300-000001000000}">
      <text>
        <r>
          <rPr>
            <b/>
            <sz val="9"/>
            <color indexed="81"/>
            <rFont val="Tahoma"/>
            <family val="2"/>
          </rPr>
          <t>USUARIO:</t>
        </r>
        <r>
          <rPr>
            <sz val="9"/>
            <color indexed="81"/>
            <rFont val="Tahoma"/>
            <family val="2"/>
          </rPr>
          <t xml:space="preserve">
PSP</t>
        </r>
      </text>
    </comment>
    <comment ref="S22" authorId="0"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300-000004000000}">
      <text>
        <r>
          <rPr>
            <b/>
            <sz val="9"/>
            <color indexed="81"/>
            <rFont val="Tahoma"/>
            <family val="2"/>
          </rPr>
          <t>USUARIO:</t>
        </r>
        <r>
          <rPr>
            <sz val="9"/>
            <color indexed="81"/>
            <rFont val="Tahoma"/>
            <family val="2"/>
          </rPr>
          <t xml:space="preserve">
papeleria, central de medios</t>
        </r>
      </text>
    </comment>
    <comment ref="C24" authorId="0"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0"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0"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0"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0" shapeId="0" xr:uid="{00000000-0006-0000-0300-000009000000}">
      <text>
        <r>
          <rPr>
            <b/>
            <sz val="9"/>
            <color indexed="81"/>
            <rFont val="Tahoma"/>
            <family val="2"/>
          </rPr>
          <t>USUARIO:</t>
        </r>
        <r>
          <rPr>
            <sz val="9"/>
            <color indexed="81"/>
            <rFont val="Tahoma"/>
            <family val="2"/>
          </rPr>
          <t xml:space="preserve">
Lineas celular, internet</t>
        </r>
      </text>
    </comment>
    <comment ref="H24" authorId="0" shapeId="0" xr:uid="{00000000-0006-0000-0300-00000A000000}">
      <text>
        <r>
          <rPr>
            <b/>
            <sz val="9"/>
            <color indexed="81"/>
            <rFont val="Tahoma"/>
            <family val="2"/>
          </rPr>
          <t>USUARIO:</t>
        </r>
        <r>
          <rPr>
            <sz val="9"/>
            <color indexed="81"/>
            <rFont val="Tahoma"/>
            <family val="2"/>
          </rPr>
          <t xml:space="preserve">
Internet</t>
        </r>
      </text>
    </comment>
    <comment ref="I24" authorId="0" shapeId="0" xr:uid="{00000000-0006-0000-0300-00000B000000}">
      <text>
        <r>
          <rPr>
            <b/>
            <sz val="9"/>
            <color indexed="81"/>
            <rFont val="Tahoma"/>
            <family val="2"/>
          </rPr>
          <t>USUARIO:</t>
        </r>
        <r>
          <rPr>
            <sz val="9"/>
            <color indexed="81"/>
            <rFont val="Tahoma"/>
            <family val="2"/>
          </rPr>
          <t xml:space="preserve">
Internet</t>
        </r>
      </text>
    </comment>
    <comment ref="R24" authorId="0" shapeId="0" xr:uid="{00000000-0006-0000-0300-00000C000000}">
      <text>
        <r>
          <rPr>
            <b/>
            <sz val="9"/>
            <color indexed="81"/>
            <rFont val="Tahoma"/>
            <family val="2"/>
          </rPr>
          <t>USUARIO:</t>
        </r>
        <r>
          <rPr>
            <sz val="9"/>
            <color indexed="81"/>
            <rFont val="Tahoma"/>
            <family val="2"/>
          </rPr>
          <t xml:space="preserve">
PSP</t>
        </r>
      </text>
    </comment>
    <comment ref="S24" authorId="0" shapeId="0" xr:uid="{00000000-0006-0000-0300-00000D000000}">
      <text>
        <r>
          <rPr>
            <b/>
            <sz val="9"/>
            <color indexed="81"/>
            <rFont val="Tahoma"/>
            <family val="2"/>
          </rPr>
          <t>USUARIO:</t>
        </r>
        <r>
          <rPr>
            <sz val="9"/>
            <color indexed="81"/>
            <rFont val="Tahoma"/>
            <family val="2"/>
          </rPr>
          <t xml:space="preserve">
PSP</t>
        </r>
      </text>
    </comment>
    <comment ref="T24" authorId="0" shapeId="0" xr:uid="{00000000-0006-0000-0300-00000E000000}">
      <text>
        <r>
          <rPr>
            <b/>
            <sz val="9"/>
            <color indexed="81"/>
            <rFont val="Tahoma"/>
            <family val="2"/>
          </rPr>
          <t>USUARIO:</t>
        </r>
        <r>
          <rPr>
            <sz val="9"/>
            <color indexed="81"/>
            <rFont val="Tahoma"/>
            <family val="2"/>
          </rPr>
          <t xml:space="preserve">
PSP, transporte, internet</t>
        </r>
      </text>
    </comment>
    <comment ref="U24" authorId="0"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0"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0"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0"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0"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0"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0"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0"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1"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1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40530457-BF9B-4D89-8D6B-527A30901812}">
      <text>
        <r>
          <rPr>
            <b/>
            <sz val="12"/>
            <color rgb="FF000000"/>
            <rFont val="Tahoma"/>
            <family val="2"/>
          </rPr>
          <t>ANGELA MARCELA FORERO RUIZ:</t>
        </r>
        <r>
          <rPr>
            <sz val="12"/>
            <color rgb="FF000000"/>
            <rFont val="Tahoma"/>
            <family val="2"/>
          </rPr>
          <t xml:space="preserve">
</t>
        </r>
        <r>
          <rPr>
            <sz val="12"/>
            <color rgb="FF000000"/>
            <rFont val="Tahoma"/>
            <family val="2"/>
          </rPr>
          <t xml:space="preserve">Según la hoja de indicadores PA el dato para octubre en mujeres formadas es:
</t>
        </r>
        <r>
          <rPr>
            <sz val="12"/>
            <color rgb="FF000000"/>
            <rFont val="Tahoma"/>
            <family val="2"/>
          </rPr>
          <t xml:space="preserve">
</t>
        </r>
        <r>
          <rPr>
            <sz val="12"/>
            <color rgb="FF000000"/>
            <rFont val="Tahoma"/>
            <family val="2"/>
          </rPr>
          <t xml:space="preserve">Para el mes de octubre, el número total de cuidadoras graduadas fue de </t>
        </r>
        <r>
          <rPr>
            <b/>
            <sz val="12"/>
            <color rgb="FF000000"/>
            <rFont val="Tahoma"/>
            <family val="2"/>
          </rPr>
          <t>502</t>
        </r>
        <r>
          <rPr>
            <sz val="12"/>
            <color rgb="FF000000"/>
            <rFont val="Tahoma"/>
            <family val="2"/>
          </rPr>
          <t xml:space="preserve"> y aqui figuran 440
</t>
        </r>
        <r>
          <rPr>
            <sz val="12"/>
            <color rgb="FF000000"/>
            <rFont val="Tahoma"/>
            <family val="2"/>
          </rPr>
          <t xml:space="preserve">
</t>
        </r>
        <r>
          <rPr>
            <sz val="12"/>
            <color rgb="FF000000"/>
            <rFont val="Tahoma"/>
            <family val="2"/>
          </rPr>
          <t xml:space="preserve">en cuanto al proceso de Homologación de Saberes, se certificaron 87 cuidadoras certificadas  </t>
        </r>
        <r>
          <rPr>
            <b/>
            <sz val="12"/>
            <color rgb="FF000000"/>
            <rFont val="Tahoma"/>
            <family val="2"/>
          </rPr>
          <t>este si es acorde</t>
        </r>
        <r>
          <rPr>
            <sz val="12"/>
            <color rgb="FF000000"/>
            <rFont val="Tahoma"/>
            <family val="2"/>
          </rPr>
          <t xml:space="preserve">
</t>
        </r>
      </text>
    </comment>
    <comment ref="T34" authorId="3" shapeId="0" xr:uid="{1629454A-40F8-40B5-9162-A7FCD835110F}">
      <text>
        <r>
          <rPr>
            <b/>
            <sz val="11"/>
            <color rgb="FF000000"/>
            <rFont val="Tahoma"/>
            <family val="2"/>
          </rPr>
          <t>ANGELA MARCELA FORERO RUIZ:</t>
        </r>
        <r>
          <rPr>
            <sz val="11"/>
            <color rgb="FF000000"/>
            <rFont val="Tahoma"/>
            <family val="2"/>
          </rPr>
          <t xml:space="preserve">
</t>
        </r>
        <r>
          <rPr>
            <sz val="14"/>
            <color rgb="FF000000"/>
            <rFont val="Tahoma"/>
            <family val="2"/>
          </rPr>
          <t xml:space="preserve">En la hoja indicadores PA y en la descripción de la actividad  el dato es:
</t>
        </r>
        <r>
          <rPr>
            <sz val="14"/>
            <color rgb="FF000000"/>
            <rFont val="Tahoma"/>
            <family val="2"/>
          </rPr>
          <t xml:space="preserve">
</t>
        </r>
        <r>
          <rPr>
            <sz val="14"/>
            <color rgb="FF000000"/>
            <rFont val="Tahoma"/>
            <family val="2"/>
          </rPr>
          <t xml:space="preserve">Durante lo corrido del año, se ha logrado que 2.560 cuidadoras se gradúen en cursos de formación complementaria. y en cuanto al proceso de Homologación de Saberes, se han certificado a 471 cuidadoras. En este sentido, el balance total es de 3.031
</t>
        </r>
        <r>
          <rPr>
            <sz val="14"/>
            <color rgb="FF000000"/>
            <rFont val="Tahoma"/>
            <family val="2"/>
          </rPr>
          <t xml:space="preserve">
</t>
        </r>
        <r>
          <rPr>
            <sz val="14"/>
            <color rgb="FF000000"/>
            <rFont val="Tahoma"/>
            <family val="2"/>
          </rPr>
          <t xml:space="preserve">Por favor ajustar 
</t>
        </r>
        <r>
          <rPr>
            <sz val="14"/>
            <color rgb="FF000000"/>
            <rFont val="Tahoma"/>
            <family val="2"/>
          </rPr>
          <t xml:space="preserve">
</t>
        </r>
        <r>
          <rPr>
            <sz val="14"/>
            <color rgb="FF000000"/>
            <rFont val="Tahoma"/>
            <family val="2"/>
          </rPr>
          <t>Adicioonalmente, verificar que al inclir los datos por localidad cuando se suman me da 2380 que no es coherente con los valores anteriores o incluyendo el dato que ponen de buses daría 2651 que tampoco cuadra. Por tal razón, sugiero no incluir este nivel de detalle por localidad en este campo de avances y logros sino incluirlo en la hoja Territoriaización PA únicamente y evitamos que haya diferencias en las cifras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tc={D2B2A0DE-BDFC-45CC-A3A9-46C9567640A7}</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D2B2A0DE-BDFC-45CC-A3A9-46C9567640A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hace la salvedad de que esta información no tiene los filtros correspondientes realizados por el equipo de la Dirección de Gestión del conocimiento, sino que es el reporte directo de Simisional.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600-000001000000}">
      <text>
        <r>
          <rPr>
            <b/>
            <sz val="9"/>
            <color indexed="81"/>
            <rFont val="Tahoma"/>
            <family val="2"/>
          </rPr>
          <t>USUARIO:</t>
        </r>
        <r>
          <rPr>
            <sz val="9"/>
            <color indexed="81"/>
            <rFont val="Tahoma"/>
            <family val="2"/>
          </rPr>
          <t xml:space="preserve">
PSP, Unidades Moviles</t>
        </r>
      </text>
    </comment>
    <comment ref="S22" authorId="0" shapeId="0" xr:uid="{00000000-0006-0000-0600-000002000000}">
      <text>
        <r>
          <rPr>
            <b/>
            <sz val="9"/>
            <color indexed="81"/>
            <rFont val="Tahoma"/>
            <family val="2"/>
          </rPr>
          <t>USUARIO:</t>
        </r>
        <r>
          <rPr>
            <sz val="9"/>
            <color indexed="81"/>
            <rFont val="Tahoma"/>
            <family val="2"/>
          </rPr>
          <t xml:space="preserve">
Transporte</t>
        </r>
      </text>
    </comment>
    <comment ref="T22" authorId="0"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600-000004000000}">
      <text>
        <r>
          <rPr>
            <b/>
            <sz val="9"/>
            <color indexed="81"/>
            <rFont val="Tahoma"/>
            <family val="2"/>
          </rPr>
          <t>USUARIO:</t>
        </r>
        <r>
          <rPr>
            <sz val="9"/>
            <color indexed="81"/>
            <rFont val="Tahoma"/>
            <family val="2"/>
          </rPr>
          <t xml:space="preserve">
papeleria, central de medios</t>
        </r>
      </text>
    </comment>
    <comment ref="C24" authorId="0"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0" shapeId="0" xr:uid="{00000000-0006-0000-0600-000007000000}">
      <text>
        <r>
          <rPr>
            <b/>
            <sz val="9"/>
            <color indexed="81"/>
            <rFont val="Tahoma"/>
            <family val="2"/>
          </rPr>
          <t>USUARIO:</t>
        </r>
        <r>
          <rPr>
            <sz val="9"/>
            <color indexed="81"/>
            <rFont val="Tahoma"/>
            <family val="2"/>
          </rPr>
          <t xml:space="preserve">
Adición operador logistico</t>
        </r>
      </text>
    </comment>
    <comment ref="F24" authorId="0" shapeId="0" xr:uid="{00000000-0006-0000-0600-000008000000}">
      <text>
        <r>
          <rPr>
            <b/>
            <sz val="9"/>
            <color indexed="81"/>
            <rFont val="Tahoma"/>
            <family val="2"/>
          </rPr>
          <t>USUARIO:</t>
        </r>
        <r>
          <rPr>
            <sz val="9"/>
            <color indexed="81"/>
            <rFont val="Tahoma"/>
            <family val="2"/>
          </rPr>
          <t xml:space="preserve">
Adición operador logistico</t>
        </r>
      </text>
    </comment>
    <comment ref="R24" authorId="0" shapeId="0" xr:uid="{00000000-0006-0000-0600-000009000000}">
      <text>
        <r>
          <rPr>
            <b/>
            <sz val="9"/>
            <color indexed="81"/>
            <rFont val="Tahoma"/>
            <family val="2"/>
          </rPr>
          <t>USUARIO:</t>
        </r>
        <r>
          <rPr>
            <sz val="9"/>
            <color indexed="81"/>
            <rFont val="Tahoma"/>
            <family val="2"/>
          </rPr>
          <t xml:space="preserve">
PSP</t>
        </r>
      </text>
    </comment>
    <comment ref="S24" authorId="0" shapeId="0" xr:uid="{00000000-0006-0000-0600-00000A000000}">
      <text>
        <r>
          <rPr>
            <b/>
            <sz val="9"/>
            <color indexed="81"/>
            <rFont val="Tahoma"/>
            <family val="2"/>
          </rPr>
          <t>USUARIO:</t>
        </r>
        <r>
          <rPr>
            <sz val="9"/>
            <color indexed="81"/>
            <rFont val="Tahoma"/>
            <family val="2"/>
          </rPr>
          <t xml:space="preserve">
PSP</t>
        </r>
      </text>
    </comment>
    <comment ref="T24" authorId="0" shapeId="0" xr:uid="{00000000-0006-0000-0600-00000B000000}">
      <text>
        <r>
          <rPr>
            <b/>
            <sz val="9"/>
            <color indexed="81"/>
            <rFont val="Tahoma"/>
            <family val="2"/>
          </rPr>
          <t>USUARIO:</t>
        </r>
        <r>
          <rPr>
            <sz val="9"/>
            <color indexed="81"/>
            <rFont val="Tahoma"/>
            <family val="2"/>
          </rPr>
          <t xml:space="preserve">
PSP, Transporte</t>
        </r>
      </text>
    </comment>
    <comment ref="U24" authorId="0"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Q17" authorId="1" shapeId="0" xr:uid="{BEEC1CFA-09C4-4C42-98F2-D3D5083C570D}">
      <text>
        <r>
          <rPr>
            <b/>
            <sz val="14"/>
            <color rgb="FF000000"/>
            <rFont val="Tahoma"/>
            <family val="2"/>
          </rPr>
          <t>ANGELA MARCELA FORERO RUIZ:</t>
        </r>
        <r>
          <rPr>
            <sz val="14"/>
            <color rgb="FF000000"/>
            <rFont val="Tahoma"/>
            <family val="2"/>
          </rPr>
          <t xml:space="preserve">
</t>
        </r>
        <r>
          <rPr>
            <sz val="14"/>
            <color rgb="FF000000"/>
            <rFont val="Tahoma"/>
            <family val="2"/>
          </rPr>
          <t>Según la meta 6 se contó con  807 personas que participaron en lo talleres de cambio cultural</t>
        </r>
      </text>
    </comment>
    <comment ref="AV17" authorId="1" shapeId="0" xr:uid="{F11A7B21-68AD-490D-B2B8-F6AFAC98146F}">
      <text>
        <r>
          <rPr>
            <b/>
            <sz val="12"/>
            <color rgb="FF000000"/>
            <rFont val="Tahoma"/>
            <family val="2"/>
          </rPr>
          <t>ANGELA MARCELA FORERO RUIZ:</t>
        </r>
        <r>
          <rPr>
            <sz val="12"/>
            <color rgb="FF000000"/>
            <rFont val="Tahoma"/>
            <family val="2"/>
          </rPr>
          <t xml:space="preserve">
</t>
        </r>
        <r>
          <rPr>
            <sz val="12"/>
            <color rgb="FF000000"/>
            <rFont val="Tahoma"/>
            <family val="2"/>
          </rPr>
          <t>Según la meta 6 se contó con  807 personas que participaron en lo talleres de cambio cultural</t>
        </r>
      </text>
    </comment>
    <comment ref="AV19" authorId="1" shapeId="0" xr:uid="{D04A1651-C449-435A-8F62-40675D749F29}">
      <text>
        <r>
          <rPr>
            <b/>
            <sz val="14"/>
            <color rgb="FF000000"/>
            <rFont val="Tahoma"/>
            <family val="2"/>
          </rPr>
          <t>ANGELA MARCELA FORERO RUIZ:</t>
        </r>
        <r>
          <rPr>
            <sz val="14"/>
            <color rgb="FF000000"/>
            <rFont val="Tahoma"/>
            <family val="2"/>
          </rPr>
          <t xml:space="preserve">
</t>
        </r>
        <r>
          <rPr>
            <sz val="14"/>
            <color rgb="FF000000"/>
            <rFont val="Tahoma"/>
            <family val="2"/>
          </rPr>
          <t xml:space="preserve">Solo como observación, verifiquen el avance del 70% que llevan dado que faltan dos meses para que finalice el año y faltan e 30% de avance.
</t>
        </r>
        <r>
          <rPr>
            <sz val="14"/>
            <color rgb="FF000000"/>
            <rFont val="Tahoma"/>
            <family val="2"/>
          </rPr>
          <t xml:space="preserve">
</t>
        </r>
        <r>
          <rPr>
            <sz val="14"/>
            <color rgb="FF000000"/>
            <rFont val="Tahoma"/>
            <family val="2"/>
          </rPr>
          <t>Adicionalmente,  si se saca el promedio da mas de 100%, entonces me preocupa como se está calculando el indicador si efectivamente el avance es del 70,04% y hay varios meses que se ha cumplido el 198 130,  182 % ....</t>
        </r>
      </text>
    </comment>
  </commentList>
</comments>
</file>

<file path=xl/sharedStrings.xml><?xml version="1.0" encoding="utf-8"?>
<sst xmlns="http://schemas.openxmlformats.org/spreadsheetml/2006/main" count="4194" uniqueCount="574">
  <si>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</si>
  <si>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</si>
  <si>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</si>
  <si>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</si>
  <si>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</si>
  <si>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</si>
  <si>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</si>
  <si>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</si>
  <si>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NOV</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</si>
  <si>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</si>
  <si>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</si>
  <si>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</si>
  <si>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</si>
  <si>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</si>
  <si>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</si>
  <si>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</si>
  <si>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</si>
  <si>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</si>
  <si>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</si>
  <si>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</si>
  <si>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</si>
  <si>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</si>
  <si>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</si>
  <si>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</si>
  <si>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</si>
  <si>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</si>
  <si>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</si>
  <si>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</si>
  <si>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</si>
  <si>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</si>
  <si>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</si>
  <si>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</si>
  <si>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</si>
  <si>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</si>
  <si>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</si>
  <si>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</si>
  <si>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</si>
  <si>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</si>
  <si>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</si>
  <si>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</si>
  <si>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</si>
  <si>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TOTAL</t>
  </si>
  <si>
    <t>AVANCE</t>
  </si>
  <si>
    <t>PROGRAMACION DE COMPROMISOS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</si>
  <si>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septiembre en reservas el valor negativo corresponde a liberaciones de saldos con acta de liquidaciòn.</t>
  </si>
  <si>
    <t>COMPROMISOS</t>
  </si>
  <si>
    <t xml:space="preserve">                                -    </t>
  </si>
  <si>
    <t>PROGRAMACION DE GIROS</t>
  </si>
  <si>
    <t> </t>
  </si>
  <si>
    <t xml:space="preserve">              -    </t>
  </si>
  <si>
    <t>GIROS</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</si>
  <si>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</si>
  <si>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</si>
  <si>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</si>
  <si>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</si>
  <si>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</si>
  <si>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</si>
  <si>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</si>
  <si>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</si>
  <si>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</si>
  <si>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</si>
  <si>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</si>
  <si>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</si>
  <si>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</si>
  <si>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</si>
  <si>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</si>
  <si>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</si>
  <si>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</si>
  <si>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Durante el mes de noviembre se realizaron 11 jornadas de socialización del Sistema Distrital de Cuidado y sus lineamientos técnicos.</t>
  </si>
  <si>
    <t>Durante los meses de enero a noviembre de 2023 se avanzó en: La compilación de las bases técnicas del Sistema Distrital de Cuidado de Bogotá en un solo documento. La realización de 106 jornadas de socialización del Sistema Distrital de Cuidado y sus lineamientos técnicos. La formulación e implementación de la estrategia "Pactos locales por las Manzanas del Cuidado", cuyo objetivo es la apropiación de las Manzanas del Cuidado por parte de la ciudadanía. El funcionamiento de la Mesa Intersectorial de Seguimiento al Convenio Marco Interadministrativo 913 de 2021. La terminación anticipada del Convenio 725 de 2020, con el objetivo de adoptar dentro del Convenio Marco Interadministrativo 913 de 2021 el funcionamiento de las Manzanas del Cuidado de Bosa - Porvenir, San Cristóbal - San Blas y Usme - Julio César Sánchez. La ahesión de las entidades que hacen parte de las Manzanas del Cuidado inauguradas durante 2023 al Convenio Marco Interadministrativo 913 de 2021, así como la suscripción y publicación en SECOP II de sus respectivos Anexos Técnicos I y II y la suscripción de los debidos Acuerdos de Coordinación.</t>
  </si>
  <si>
    <t>En lo referente a diseñar un documento de lineamientos técnicos para la formulación de las bases del Sistema Distrital de Cuidado, de enero a noviembre de 2023 no se han presentado dificultades que alteren la normal ejecución de esta meta.
A propósito del seguimiento a la implementación del Convenio Marco Interadministrativo 913 de 2021, se evidencia que este implica, no solo la suscripción de dicho Convenio y sus Anexos I y II, sino también la suscripción de los Acuerdos de Coordinación entre las entidades que concurren en las Manzanas del Cuidado; lo cual no necesariamente pasa por la SDMujer y, por tanto, exige mayor articulación entre las delegaciones de las entidades que integran el Sistema Distrital de Cuidado a la Mesa Intersectorial de Seguimiento al Convenio en cuestión. Para fortalecer esta articulación se realizó la segunda sesión anual y quinta sesión general de la mencionada Mesa, así como la actualización de tales delegaciones y la elaboración de una matriz de seguimiento adicional.</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</si>
  <si>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</si>
  <si>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</si>
  <si>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</si>
  <si>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</si>
  <si>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</si>
  <si>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</si>
  <si>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</si>
  <si>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</si>
  <si>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</si>
  <si>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</si>
  <si>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</si>
  <si>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</si>
  <si>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</si>
  <si>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</si>
  <si>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</si>
  <si>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</si>
  <si>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</si>
  <si>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</si>
  <si>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</si>
  <si>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</si>
  <si>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</si>
  <si>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</si>
  <si>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En noviembre de 2023 se realizaron 10 jornadas (105 en lo corrido del año) de socialización del Sistema Distrital de Cuidado y sus lineamientos técnicos con:
1) 02.11.23 Comunidad educativa de la Facultad de Psicología y Ciencias del Comportamiento de la Universidad de la Sabana.
2) 04.11.23 Encuentro Interlocal Barrios Unidos, Engativá y Fontibón.
3) 08.11.23 Marina Ortiz en el marco de la articulación con la Manzana del Cuidado de Suba.
4) 08.11.23 Grupo Interno de Territorios y Poblaciones de la Dirección de Transferencias Monetarias del Departamento Administrativo de Prosperidad Social.
5) 14.11.23 Fundación Mujeres Nueva Luz.
6) 14.11.23 Proyecto Familias con valor, resiliencia y compromiso.
7) 17.11.23 Asistente a la celebración del día de la psicología en la Universidad Sergio Arboleda.
8) 22.11.23 Casa Libertad.
9) 24.11.23 Fundación Grothendieck y Junta de Acción Comunal del barrio Villa Carmenza.
10) 25.11.23 Cumbre Municipal del Cuidado de Manizales, Caldas.
11) 30.11.23 Asistentes al evento "El estado de los sistemas comunitarios de cuidado y apoyo a las personas con discapacidad en América Latina" de UNICEF.</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</si>
  <si>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</si>
  <si>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En noviembre de 2023 se realizaron 11 acciones de seguimiento a la implementación del Convenio Marco Interadministrativo 913 de 2021: 
1) Se realizó solicitud de información en razón del estado de firmas de Anexos 2 de la Manzana del Cuidado de Bosa - Campo Verde.
2) Se realizó solicitud de información en razón del estado de firmas de Anexos 2 de la Manzana del Cuidado del Centro (La Candelaria y Santa Fe).
3) Se realizó solicitud de información en razón del estado de firmas de Anexos 2 de la Manzana del Cuidado de Ciudad Bolívar - Mochuelo (Jardín Dejando Huella).
4) Se realizó solicitud de información en razón del estado de firmas de Anexos 2 de la Manzana del Cuidado de Engativá (CAPS Emaús).
5) Se realizó solicitud de información en razón del estado de firmas de Anexos 2 de la Manzana del Cuidado de Los Martires.
6) Se realizó solicitud de información en razón del estado de firmas del Anexos 2 de la Manzana del Cuidado de San Cristobal - CEFE.
7) Se realizó solicitud de información en razón del estado de firmas del Anexos 2 de la Manzana del Cuidado de Teusaquillo.
8) Se realizó solicitud de información en razón del estado de firmas del Anexos 2 de la Manzana del Cuidado de Tunjuelito.
9) Se realizó solicitud de verificación y avance de firma de Anexos 2 de la Manzana del Cuidado de Ciudad Bolívar - Manitas a la Secretaría General.
10) Se realizó suscripción y remisión del Anexo 2 de la Manzana del Cuidado de Puente Aranda firmado entre la Secretaría Distrital de Integración Social y la Secretaría Distrital de la Mujer.
11) Se realizó remisión de documento borrador para solicitud de prórroga del Convenio Marco Interadministrativo 913 de 2021 a todas las entidades suscriptoras.</t>
  </si>
  <si>
    <t>*Incluir tantas filas sean necesarias</t>
  </si>
  <si>
    <t>DESCRIPCIÓN DE LA ACTIVIDAD</t>
  </si>
  <si>
    <t>Coordinar y articular 13 secretarías del nivel distrital para la implementación del sistema distrital de cuidado. (Objetivo 1) (Indicador 2. Meta PDD)</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</si>
  <si>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junio en reservas el valor negativo corresponde a liberaciones de saldos con acta de liquidaciòn.
Se precisa que en el mes de septiembre en reservas el valor negativo corresponde a liberaciones de saldos con acta de liquidaciòn.</t>
  </si>
  <si>
    <t xml:space="preserve">                                  -    </t>
  </si>
  <si>
    <t xml:space="preserve">                                        -    </t>
  </si>
  <si>
    <t xml:space="preserve">2. Coordinar y articular 13 secretarías del nivel distrital para la implementación del sistema distrital de cuidado. </t>
  </si>
  <si>
    <t xml:space="preserve">Se articularon 13 entidades del Sector Central, 8 entidades del Sector Descentralizado, equipo Delivery Unit de la Alcaldía Mayor de Bogotá, Alcaldía Local de Barrios Unidos (Sector Descentralizado Territorialmente) y Banco Interamericano de Desarrollo, en cuatro (4) sesiones: Mesa de Infraestructura del Cuidado -Mesa de Trabajo de la UTA- (02.11.23), Unidad Técnica de Apoyo (10 -ordinaria- y 22 -extraordinaria-.11.23) y Comisión Intersectorial del Sistema Distrital de Cuidado (22.11.23 –extraordinaria-), donde se realizaron acciones de seguimiento al funcionamiento de los diferentes modelos de operación del Sistema Distrital del Cuidado, de tal manera que se cumplió con lo establecido en el Decreto 415 de 2023, coordinando, articulando y realizando la gestión intersectorial de las entidades que hacen parte del Sistema Distrital de Cuidado para definirlo, implementarlo y hacerle seguimiento. Es importante considerar que la conformación de la Comisión Intersectorial del Sistema de Cuidado se modificó con el Decreto Distrital 415 de 2023 y en adelante, participarán como integrantes 12 entidades de la Administración distrital de 9 Sectores y el/la alcalde/sa Mayor de Bogotá.  </t>
  </si>
  <si>
    <t xml:space="preserve">A. Articulación de las entidades de la Administración distrital para avanzar en la implementación y seguimiento de Sistema Distrital de Cuidado, tanto a nivel distrital como territorial, para la operación y sostenibilidad de todos los modelos de operación del Sistema Distrital de Cuidado. Al respecto, se están implementando 20 manzanas del cuidado, el ciclo V de los buses del cuidado urbano y rural en 6 localidades, 3 zonas urbanas y 3 zonas rurales, y tres proyectos/programas de asistencia domiciliaria en el D.C. Se avanzó en el alistamiento para la inauguración de la Manzana del Cuidado de Barrios Unidos, la No. 21 en el Distrito Capital, la cual está prevista para el mes de diciembre de 2023. B. Implementación del Decreto Distrital 415 de 2023,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 C. Se está avanzando en la elaboración del reglamento interno del Mecanismo de Gobernanza del Sistema Distrital de Cuidado en el marco del Decreto Distrital 415 de 2023, así como en el proyecto de resolución para la elección de dos representantes y tres suplentes ante el Mecanismo de Participación y Seguimiento del Sistema Distrital de Cuidado. </t>
  </si>
  <si>
    <t xml:space="preserve">En lo referente a coordinar y articular 13 secretarías del nivel distrital para el cumplimiento del sistema distrital de cuidado, durante enero a noviembre del 2023 no se han presentado dificultades que alteren la normal ejecución de esta meta.			
			</t>
  </si>
  <si>
    <t>Las personas cuidadoras en sus diferencias y diversidades y las personas que requieren cuidado y apoyo cuentan con 20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 con recursos de la Administración distrital, así como a ofertas que brindan servicios a personas cuidadoras, personas con discapacidad y mayores directamente en sus casas. Además de los programas/proyectos de las Secretarías de Salud e Integración Social, ya inició la implementación del Programa de Asistencia Domiciliaria con recursos de Bloomberg Philanthropies liderado por el PNUD, en las localidades de Bosa, Kennedy y Ciudad Bolívar. Es importante destacar que se adicionó el Contrato No. 928 de 2022 hasta el 31 de enero de 2024, para garantizar la operación de los buses del cuidado urbano y rural en el tránsito hacia la Administración distrital entrante, con los servicios básicos establecido en el Decreto Distrital 415 de 2023.</t>
  </si>
  <si>
    <t>3. Convocar y gestionar las sesiones de la Comisión Intersectorial del Sistema de Cuidado según lo establecido en el Decreto 237 de 2020</t>
  </si>
  <si>
    <t xml:space="preserve">Realización de la primera sesión extraordinaria del año en vigencia y la cuarta del año 2023 (la segunda desde que se expidió el Decreto 415 de 2023) de manera virtual en la plataforma Teams (22.11.23). La agenda desarrollada fue la siguiente: 
1. Confirmación de asistencia. 
2. Inauguración de la manzana del cuidado No. 21: localidad de Barrios Unidos. 
3. Buses del cuidado: adición y operación 2024. 
4. Acuerdos y compromisos. Participaron 62 personas (40 mujeres y 22 hombres) de las siguientes entidades: Alcaldía Mayor de Bogotá, Secretaría Distrital de Gobierno, Secretaría Distrital de Desarrollo Económico, Secretaría de Educación del Distrito, Secretaría Distrital de Salud, Secretaría Distrital de Integración Social, Secretaría Distrital de Cultura, Recreación y Deporte, Instituto Distrital de Recreación y Deporte, Instituto Distrital de las Artes, Secretaría Distrital de Ambiente, Jardín Botánico de Bogotá “José Celestino Mutis”, Secretaría Distrital de Movilidad, Secretaría Distrital de la Mujer, Secretaría General Alcaldía Mayor de Bogotá, Secretaría Distrital de Planeación, Instituto Distrital de Turismo, Instituto Distrital de Bienestar y Protección Animal, Secretaría Distrital de Hábitat, Unidad Administrativa Especial de Servicios Públicos, Secretaría de Seguridad, Convivencia y Justicia. Se elaboró (24-25.11.23) el acta de la sesión extraordinaria realizada el 22 de noviembre del año en vigencia. 
Se ajustó el informe del tercer trimestre del año de la Comisión Intersectorial del Sistema Distrital de Cuidado, se remitió a la directora del Sistema de Cuidado quien suscribió y se envió a Despacho para suscripción de la secretaria de la Mujer (30.11.23).   </t>
  </si>
  <si>
    <t>4. Convocar y gestionar las sesiones de la Unidad Técnica de Apoyo de la Comisión Intersectorial del Sistema de Cuidado según lo establecido en el Decreto 237 de 2020</t>
  </si>
  <si>
    <t xml:space="preserve">Mesa de Infraestructura del Cuidado (02.11.23). Socialización de hallazgos de la Contraloría y reportes internos de la SDMujer sobre el estado físico de las infraestructuras que pueden afectar su operatividad. Participaron virtualmente 22 participantes (11 mujeres y 11 hombres) de 8 Sectores (7 Secretarías de Salud, Integración Social, Educación, Planeación, Cultura, Recreación y Deporte, Hábitat y Mujer; Idartes, IDRD y DADEP; y BID. B. Sesión ordinaria No. 41 de la UTA (10.11.23). Agenda: 2. Proyección de manzanas del cuidado 2020-2024. 3. 1ra versión de la ficha técnica de la Manzana del Cuidado de Barrios Unidos. 4. Visita técnica en equipamiento ancla temporal. 5. Elaboración de la cartelera de servicios de la Manzana. 6. Balance y ratificación de las mesas de trabajo de la UTA: Mesa de Seguimiento al Convenio 913 de 2021. 7. Seguimiento a los compromisos. Participaron de manera presencial 30 participantes (22 mujeres y 8 hombres) de 12 Sectores (12 Secretarías de Salud, Integración Social, Educación, Gobierno, Planeación, Desarrollo Económico, Cultura, Recreación y Deporte, Hábitat, Movilidad, Ambiente, Seguridad, Convivencia y Justicia y Mujer; Idartes, IDRD y JBB. C. Sesión extraordinaria No. 42 de la UTA (22.11.23). Agenda: 2. Aprobación Ficha Técnica Manzana del Cuidado de Barrios Unidos. 3. Informe Mesa de Seguimiento al Convenio 913/2021. 4. Informe Mesa de Transformación Cultural. 5. Informe Mesa de Infraestructura del Cuidado. 6. Socialización de hallazgo en Informe de la Contraloría. 7. Presentación del Decreto 415/2023. 8. Seguimiento a compromisos. 9. Varios. Participaron de manera virtual 53 participantes (40 mujeres y 13 hombres) de 12 Sectores (11 Secretarías de Salud, Integración Social, Educación, Gobierno, Planeación, Desarrollo Económico, Cultura, Recreación y Deporte, Hábitat, Movilidad, Ambiente y Mujer; Idartes, IDRD, IDT, Idipron, JBB y UAESP; Delivery Unit - Alcaldía Mayor y Alcaldía de Barrios Unidos. </t>
  </si>
  <si>
    <t>5. Convocar y gestionar las sesiones del Mecanismo de Participación y Seguimiento de la Comisión Intersectorial del Sistema de Cuidado según lo establecido en el Decreto 237 de 2020</t>
  </si>
  <si>
    <t>Durante el mes de noviembre del año en vigencia, el Mecanismo de Participación y Seguimiento de la Comisión Intersectorial del Sistema Distrital de Cuidado no sesionó ni de manera ordinaria ni extraordinaria.</t>
  </si>
  <si>
    <t>Gestionar 1 estrategia para la adecuación de infraestructura de manzanas de cuidado</t>
  </si>
  <si>
    <t xml:space="preserve">3. Gestionar 1 estrategia para la adecuación de infraestructura de manzanas de cuidado </t>
  </si>
  <si>
    <t>Durante el mes de Noviembre de 2023, se logro la operacion de 20 manzanas de cuidado en el distrito;Asi mismo para dar continuidad al reporte oportuno de las metas y actividades asociadas a convocar y gestionar las sesiones de las Mesas locales e Interlocales, la oficina de planeación define reportar en el mes de noviembre los soportes de avance en convocatoria y gestión de insumos para el desarrollo de estas en las Manzanas del Cuidado a ejecutarsen en el mes de diciembre, de este modo se avanzo en el desarrollo de las presentaciones para las  sesiones de mesas locales e interlocales en las manzanas de cuidado que permitiran  realizar el monitoreo y seguimiento a la operacion e  implementacion de servicios segun las fichas tecnicas, ademas se desarrollaron socializaciones en las 19 localidades urbanas promoviendo la consolidacion y  la apropiación de las Manzanas del Cuidado por parte de las personas cuidadoras, posicionar las Manzanas del Cuidado con actores sociales, comunitarios y ciudadanía en general, con el objetivo de beneficiar mas personas cuidadoras y  mas personas que requieren cuidados en las localidades con manzanas de cuidado inauguradas.</t>
  </si>
  <si>
    <t>A la fecha se encuentran en operación 20 manzanas de cuidado en el Distrito, se esta avanzando en la identificacion del perimetro de la manzana de cuidado en Barrios unidos  para realizar la inauguracion numero 21 de manzana de cuidado en el distrito en el mes de diciembre.</t>
  </si>
  <si>
    <t>En lo referente a gestionar una estrategia para la adecuación de infraestructura de manzanas de cuidado, durante enero a noviembre del 2023 no se han presentado dificultades que alteren la normal ejecución de esta meta.</t>
  </si>
  <si>
    <t>Las 20  Manzanas del Cuidado inauguradas vienen ampliando la cobertura de atenciones y el posicionamiento en los territorios , beneficiando así a  las personas cuidadoras y a las personas que requieren cuidados o altos niveles de apoyo en Bogotá.</t>
  </si>
  <si>
    <t xml:space="preserve">6. Implementar actividades de difusión del programa de Sistema de Cuidado con ciudadanía y actores territoriales </t>
  </si>
  <si>
    <t xml:space="preserve">Durante el mes de Noviembre, desde la Estrategia Territorial de las Manzanas del Cuidado se implementaron 159 actividades de difusión y socialización del Sistema Distrital del Cuidado y los servicios de las 20 Manzanas del Cuidado en 19 localidades de Bogotá, a saber: Antonio Nariño, Bosa, Centro (Santa Fe-Candelaria), Chapinero, Ciudad Bolívar, Engativá, Fontibón, Kennedy, Mártires, Puente Aranda, Rafael Uribe Uribe, San Cristóbal, Suba, Tunjuelito, Teusaquillo, Usaquén ,Usme y barrios unidos. La difusión a nivel territorial se desarrollo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actividades desarrolladas durante la vigencia 2023 es de 1235 actividades.													</t>
  </si>
  <si>
    <t>7. Articular las acciones intersectoriales para la puesta en operación de cinco (5) manzanas del cuidado</t>
  </si>
  <si>
    <t>Durante el mes de Noviembre se participo en la unidad tecnica de apoyo , donde se definieron parametros para la inauguracion de la manzana de cuidado de Barrios unidos, manzana de cuidado numero 21 del distrito.</t>
  </si>
  <si>
    <t>8. Convocar y gestionar las sesiones de las Mesas Locales de las Manzanas del Cuidado que se encuentran en funcionamiento</t>
  </si>
  <si>
    <r>
      <rPr>
        <sz val="12"/>
        <color rgb="FF000000"/>
        <rFont val="Times New Roman"/>
        <family val="1"/>
      </rPr>
      <t xml:space="preserve">Para dar continuidad al reporte oportuno de las metas y actividades asociadas a convocar y gestionar las sesiones de las Mesas locales e Interlocales, la oficina de planeación define reportar en el mes de noviembre los soportes de avance en convocatoria y gestión de insumos para el desarrollo de estas en las Manzanas del Cuidado para el mes de diciembre.                                                                                                                                                                                                                                                                                                                                                                         Durante el mes de noviembre se realizaron 19 presentaciones de mesas interlocales de las Manzanas del Cuidado a realizarse en el mes de </t>
    </r>
    <r>
      <rPr>
        <b/>
        <sz val="12"/>
        <color rgb="FF000000"/>
        <rFont val="Times New Roman"/>
        <family val="1"/>
      </rPr>
      <t xml:space="preserve">Diciembre </t>
    </r>
    <r>
      <rPr>
        <sz val="12"/>
        <color rgb="FF000000"/>
        <rFont val="Times New Roman"/>
        <family val="1"/>
      </rPr>
      <t xml:space="preserve"> de 1-Bosa - Porvenir, 2-Bosa Campo Verde, 3- Kennedy, 4-Ciudad Bolívar ,5- Usme, 6- San Cristóbal - CEFE,7- Mártires,8- Usaquén,9- Centro,10- Engativá,11- Rafael Uribe Uribe,12- Antonio Nari;o,13- Tunjuelito,14- San Cristóbal - Juan Rey, 15- Chapinero, 16- Fontibón ,17- Suba, 18- Puente Aranda y 19- Teusaquillo, ademas de realizar las invitaciones a las respectivas mesas de acuerdo al orden del dia propuesto : 
1. Validación y verificación del quórum
2. Aprobación orden del día.
3. Verificación de los compromisos del mes de octubre
4. Presentación de informe trimestral (septiembre, octubre, noviembre)
5. Seguimiento a la implementación de servicios y balance de la operación acorde a la Ficha Técnica Local
6. Varios (establecer el cronograma de prestación de servicios para el mes de Enero2024).
7. Compromisos.                                                  </t>
    </r>
  </si>
  <si>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</si>
  <si>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</si>
  <si>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</si>
  <si>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</si>
  <si>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</si>
  <si>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</si>
  <si>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</si>
  <si>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</si>
  <si>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</si>
  <si>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</si>
  <si>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</si>
  <si>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</si>
  <si>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</si>
  <si>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</si>
  <si>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</si>
  <si>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</si>
  <si>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</si>
  <si>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</si>
  <si>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</si>
  <si>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 documento para la implementación de la estrategia pedagógica para la valoración, la resignificación, el reconocimiento y la redistribución del trabajo de cuidado no remunerado que realizan las mujeres en Bogotá</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</si>
  <si>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agosto se debe a que en el mes se presentó la anulación contra segundo pago del contrato 945-2023 Red de Alianzas por valor total de $3.500.000, distribuido en las metas 5 y 6 del Proyecto de Inversión en un 50% cada una, lo que implica un valor neto comprometido menor al reportado en el mes de julio.
Se precisa que en el mes de septiembre en reservas el valor negativo corresponde a liberaciones de saldos con acta de liquidaciòn.</t>
  </si>
  <si>
    <t xml:space="preserve">5. Diseñar 1 documento para la implementación de la estrategia pedagógica para la valoración, la resignificación, el reconocimiento y la redistribución del trabajo de cuidado no remunerado que realizan las mujeres en Bogotá </t>
  </si>
  <si>
    <t>En el marco del diseño de un documento que abarque la implementación de la Estrategia Pedagógica y de Cambio Cultural para la valoración, resignificación, reconocimiento y redistribución del trabajo de cuidado no remunerado que realizan las mujeres en Bogotá, en el mes de noviembre se organizaron las metodologías que hacen parte de la Caja de herramientas de Transformación cultural</t>
  </si>
  <si>
    <t xml:space="preserve">Durante lo corrido del 2023 con corte a noviembre,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Además se cuenta con avances en un decimocuarto documento metodológico enmarcado en la acción contra el cambio climático y el reconocimiento de la importancia de los trabajos de cuidados no remunerados en el cuidado del ambiente y quienes lo realizan.
</t>
  </si>
  <si>
    <t xml:space="preserve">En lo referente a diseñar un documento para la implementación de la Estrategia Pedagógica para la valoración, resignificación, reconocimiento y redistribución del trabajo de cuidado no remunerado que realizan las mujeres en Bogotá, entre enero y octubre del 2023 no se han presentado dificultades que alteren la normal ejecución de esta meta.
</t>
  </si>
  <si>
    <t xml:space="preserve">12. Diseñar, publicar y socializar una caja de herramientas de la Estrategia Pedagógica y de Cambio Cultural.  </t>
  </si>
  <si>
    <t>Durante el mes de noviembre, se realizó la actualización y mejoramiento del documento que contiene las metodologias de la “Caja de herramientas EPCC”; como un esfuerzo conjunto del Equipo de Cambio Cultural de la Dirección. En el documento “Caja de herramientas” reposa un compendio de conocimientos pedagógicos que permiten orientar el actuar de las y los profesionales de la Estrategia, así como el de cualquier persona o profesional que desee consultar lo relacionado a lo desarrollado con cuidado y trabajo no remunerado.</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</si>
  <si>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</si>
  <si>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</si>
  <si>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Al mes de noviembre se beneficiaron 1.152 personas en los talleres de cambio cultural. Se hace la salvedad de que esta información no tiene los filtros correspondientes realizados por el equipo de la Dirección de Gestión del conocimiento, sino que es el reporte directo de Simisional. 
Para el mes de noviembre, se lograron realizar cuatro talleres de amplificación con miembros de la Red de Alianzas del Cuidado: uno dirigido a usuarios y colaboradores de la Fundación operación Sonrisa, un segundo para colaboradores de Gelsa (Pagatodo), un tercer taller dirigido a  consultoras pertenecientes a la empresa EY y el  taller virtual mensual  “A cuidar se aprende”.  Teniendo un alcance de 25 hombres y 57 mujeres. Adicionalmente se dió inicio a las acciones de seguimiento a la concreción de acciones de amplificación.  A la fecha se cuenta con dieciséis  actas  de compromiso firmadas por ambas partes, que cumplen con la totalidad de gestiones administrativas de vinculación a la RAC. Se encuentra en gestión al interior de la entidad un acta más y una organización que propone su vinculación en 2024.
Finalmente se  sesionó de forma extraordinaria la Mesa de Trabajo de Transformación Cultural en la que se expuso y discutió la presentación que se realizaría en la Unidad Técnica de Apoyo del Sistema de Cuidado.
</t>
  </si>
  <si>
    <t xml:space="preserve">Al mes de noviembre se beneficiaron a 6.823 personas en los talleres de cambio cultural. Se hace la salvedad de que el reporte del mes de noviembre no tiene los filtros correspondientes realizados por el equipo de la Dirección de Gestión del conocimiento, sino que es el reporte directo de Simisional. 
A la fecha se establecieron acciones de socialización de la Red de Alianzas del cuidado con miembros de ochenta y nueve  organizaciones organizaciones, de las cuales treinta y seis son empresas del sector privado, nueve son entidades del sector público, veintisiete son fundaciones, asociaciones, corporaciones, cooperativas y gremios  y diecisiete son instituciones educativas.  Se cuenta con dieciséis  miembros activos  de la RAC que cumplieron con las gestiones administrativas de firma del Acta de Compromiso RAC y con nueve miembros que hacen parte de la estrategia Sello En Igualdad, se ha tenido impacto directo sobre 597 personas a través de talleres presenciales, virtuales y socializaciones.
Finalmente, se han organizado y ejecutado cinco Mesas de transformación cultural en el 2023.
</t>
  </si>
  <si>
    <t>Entre los principales logros se menciona la gestión articulada de la oferta del sector privado en alianza con la Estrategia de Empleabilidad y Emprendimiento y con el Sello en Igualdad . Los retrasos presentados han estado vinculados a los tiempos para la revisión de la documentación remitida al equipo jurídico de la Dirección del Sistema del Cuidado y la gestión de firmas desde el despacho. Otra alerta encontrada está vinculada con la falta de actualización a la página de la Red por parte del grupo de comunicaciones que si bien se iniciaron solicitudes desde el mes de septiembre, a la fecha se encuentra completamente desactualizada, haciendo que la ciudadanía no pueda tener conocimiento de las 25 alianzas gestadas a la fecha.
Por otra parte, se hace la salvedad de que la información cuantitativa no fue filtrada por el área de Gestión del Conocimiento, sino fue generada directamente de un reporte del SIMISIONAL, lo cual puede conllevar a que en el proceso de validación el dato reportado vairie.</t>
  </si>
  <si>
    <t xml:space="preserve">13. Implementar los talleres de cambio cultural </t>
  </si>
  <si>
    <t xml:space="preserve">En el mes de noviembre se implementaron 88 talleres de Cambio Cultural, a través de los cuales se vincularon 1.164 beneficiarias de la siguiente manera:
Nivel Distrital 88 personas;  Usaquén 17 personas; Chapinero 130 personas;  Santa Fe 14 personas;  San Cristobal 38 personas; Usme 61 personas; Tunjuelito 76 personas;  Bosa 62 personas;  Kennedy 81 personas;  Fontibón 10 personas;  Engativá 84 personas; Suba 35 personas; Barrios Unidos 16 personas; Teusaquillo 44 personas; Antonio Nariño 45 personas; Mártires 28 personas; Puente Aranda 52 personas;  La Candelaria 16 personas; Rafael Uribe Uribe 30 personas; Ciudad Bolívar 123 personas; y Sumapaz 11 personas.
</t>
  </si>
  <si>
    <t>14. Implementar la Red de Alianzas del Cuidado</t>
  </si>
  <si>
    <t>Para el mes de noviembre se realizaron tres reuniones de socialización de presentación de la estrategia RAC y lograron descongestionar los trámites de firmas de las actas que se encontraban en revisión en despacho.  Gracias a la realización de la estrategia “ Encuentros virtuales mensuales” realizados los penúltimos jueves del mes convocando a todos los aliados, se ha logrado mantener relacionamiento con las cuarenta y ocho organizaciones con las cuales se han realizado socializaciones desde el mes de junio.  Con respecto a las acciones de amplificación durante el mes de noviembre se realizaron cuatro talleres “ A Cuidar se Aprende”, se gestionó la realización de diez cineforos en las manzanas del cuidado bajo el liderazgo de la Fundación Bello Avril y se sigue avanzando en la gestión de donaciones para el mes de diciembre. </t>
  </si>
  <si>
    <t>15. Convocar y gestionar las sesiones de la Mesa de Transformación Cultural de la Unidad Técnica de Apoyo de la Comisión Intersectorial del Sistema de Cuidado</t>
  </si>
  <si>
    <t>En el marco de la Mesa de Trabajo de Transformación Cultural que se adelantó durante el mes de noviembre de forma extraordinaria, se informó y puso a discusión la presentación que se realizaría en la Unidad Técnica de Apoyo respecto al funcionamiento y operación de la Mesa de Trabajo de Transformación Cultural.</t>
  </si>
  <si>
    <t>Gestionar la implementación de 1 estrategia de unidades móviles de cuidado</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</si>
  <si>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septiembre se debe a que en el mes se presentó la anulación contra segundo pago del contrato 982-2023 Atención Psicosocial por valor total de $2.231.667, distribuido en las metas 3 al 24%, meta 4 al 52% y meta 7 al 24% del Proyecto de Inversión, y del contrato 983-2023 Atención Jurídica, por valor total de $2.746.667, distribuido en las metas 3 al 24%, meta 4 al 52% y meta 7 al 24% del Proyecto de Inversión.
Se precisa que en el mes de septiembre en reservas el valor negativo corresponde a liberaciones de saldos con acta de liquidaciòn.</t>
  </si>
  <si>
    <t>7. Gestionar la implementación de 1 estrategia de unidades móviles de cuidado</t>
  </si>
  <si>
    <r>
      <rPr>
        <b/>
        <sz val="11"/>
        <color rgb="FF000000"/>
        <rFont val="Times New Roman"/>
        <family val="1"/>
      </rPr>
      <t xml:space="preserve">Bus Urbano
</t>
    </r>
    <r>
      <rPr>
        <sz val="11"/>
        <color rgb="FF000000"/>
        <rFont val="Times New Roman"/>
        <family val="1"/>
      </rPr>
      <t xml:space="preserve">Durante el mes de noviembre Secretaría de Hábitat inició el tercer ciclo de los talleres de educación financiera para la adquisición de vivienda en las localidades de Antonio Nariño, Barrios Unidos y Kennedy. Secretaría de la Mujer finalizó un tercer ciclo de formación complementaria en el curso de Herramientas ofimáticas en alianza con el SENA en las tres localidades: Antonio Nariño, Barrios Unidos y Kennedy, también realizó segundo ciclo del curso de Herramientas para las cuidadoras en el reconocimiento de su trabajo de cuidado de manera virtual. Por otra parte, Secretaría de Educación del Distrito realizó los cierres del programa de educación flexible en las tres localidades donde opera el Bus del Cuidado Urbano: Antonio Nariño, Barrios Unidos y Kennedy.
</t>
    </r>
    <r>
      <rPr>
        <b/>
        <sz val="11"/>
        <color rgb="FF000000"/>
        <rFont val="Times New Roman"/>
        <family val="1"/>
      </rPr>
      <t>Bus Rural</t>
    </r>
    <r>
      <rPr>
        <sz val="11"/>
        <color rgb="FF000000"/>
        <rFont val="Times New Roman"/>
        <family val="1"/>
      </rPr>
      <t xml:space="preserve"> 
Se realizaron los procesos educativos flexibles en las localidades de Ciudad Bolívar, Santafe y Usaquen, para Los cuales se realizaron cierres de los procesos educativos flexibles en las tres localidades Ciudad Bolívar, Santafe, y Usaquén.
Desde Secretaría de la Mujer para el servicio de formación complementaria, culmina tercer grupo de  Herramientas ofimáticas en alianza con el Sena en las tres localidades y se inicia curso de herramientas de Cuidado ofertado por Secretaría de la Mujer. Se finaliza la evaluación de impacto del Sistema Distrital de Cuidado en el punto de operación del Bus del Cuidado Rural en la localidad de Ciudad Bolívar, Santafe y Usaquén. Se realizó taller en articulación con cuidado comunitario de Muñequeria en el punto de la localidad de Santafe.</t>
    </r>
  </si>
  <si>
    <t>Con la implementación del Ciclo V de operacion, la estrategia
opera en seis localidades: Barrios Unidos, Antonio Nariño,
Kennedy, Usaquen, Ciudad Bolivar y Santafé.
Presencia del Sistema Distrital de Cuidado en zonas rural es y urbanas prestando servicios de formación, respiro, generación de ingresos y cuidado. Con la implementación del Ciclo V, la
estrategia de Buses del Cuidado llegó a todas las localidades con suelo rural y a una localidad en la que hasta la fecha no hay Manzana del Cuidado.
Finalmente, se logró ampliar la operación de la estrategia hasta el 31 de enero del 2024, permitiendo que en el proceso de empalme de las alcaldias, la operación sea analizada en marcha garantizando que los nuevos equipos conozcan en detalle la operación.</t>
  </si>
  <si>
    <t xml:space="preserve">En lo referente a gestionar la implementación de una estrategia de unidades móviles de cuidado, entre enero septiembre del 2023 no se han presentado dificultades que alteren la normal ejecución de esta meta.			
			</t>
  </si>
  <si>
    <t>Desde el inicio de la estrategia en 2021, los Buses del Cuidado han operado de manera intinerante en 14 de las 20 localidades de Bogotá, en zonas urbanas donde no es posible implementar manzanas del cuidad y en zonas rurales, cuyas particularidades geograficas requieren que una alternativa movil para llevar servcios de cuidado en proximidad a las casas de las personas cuidadoras.</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</si>
  <si>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</si>
  <si>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del contrato de prestación de servicios 928 de 2022 se relacionan, entre otras, las siguientes actividades:
1.     Modificación contractual del Cto 928 -2022: adición y Prórroga mediante OTROSI No. 3.  (Anexo 1)
2.     Aprobación de actualización del cronograma de actividades del Cto. 928-22, por parte de la supervisora. (Anexo 2)
3.     Actualización y revisión de certificados de antecedentes disciplinarios, fiscales, judiciales, medidas correctivas y de registro de inhabilidades por delitos sexuales cometidos contra personas menores edad, de cada una de las personas que hacen parte del equipo de trabajo de Feeling Company. (Anexo 3).
4.     Revisión y aprobación de las hojas de vida de:  GONZALEZ BARRAGAN DANIEL STEVEN y ORTIZ MORERA GIOVANY ALEXANDER, relevos de auxiliares logísticos para las Unidades Móviles- (Anexo 4)
5.     Actualización de permisos para la operación de las Unidades Móviles (urbana y rural) en las localidades de Bogotá establecidas para el Ciclo V. (Anexo 5)</t>
  </si>
  <si>
    <t>17. Convocar y gestionar las sesiones de las Mesa de Unidades Móviles de Servicios del Cuidado</t>
  </si>
  <si>
    <t>Para dar continuidad al reporte oportuno de las metas y actividades asociadas a convocar y gestionar las sesiones de las Mesas Interlocales, la oficina de planeación define reportar en el mes de noviembre los soportes de avance en convocatoria y gestión de insumos para el desarrollo de la mesa interlocal de Buses del Cuidado a realizarse en el mes de diciembre.</t>
  </si>
  <si>
    <t>0/12/2023</t>
  </si>
  <si>
    <t>Diseñar e implementar 1 estrategia de cuidado a cuidadoras</t>
  </si>
  <si>
    <t>4. Diseñar e implementar 1 estrategia de cuidado a cuidadoras</t>
  </si>
  <si>
    <r>
      <rPr>
        <sz val="11"/>
        <color rgb="FF000000"/>
        <rFont val="Times New Roman"/>
        <family val="1"/>
      </rPr>
      <t xml:space="preserve">En el mes de </t>
    </r>
    <r>
      <rPr>
        <b/>
        <sz val="11"/>
        <color rgb="FF000000"/>
        <rFont val="Times New Roman"/>
        <family val="1"/>
      </rPr>
      <t>Noviembre</t>
    </r>
    <r>
      <rPr>
        <sz val="11"/>
        <color rgb="FF000000"/>
        <rFont val="Times New Roman"/>
        <family val="1"/>
      </rPr>
      <t xml:space="preserve"> de 2023 se obtuvieron los siguientes logros:
1) Fromación Complementaria: 609 certificadas 
2) Homologación y certificación de saberes: 87 certificadas
3) Número de Espacios Respiro: (14) catorce 
4) Atención Espacios Respiros: (294) Doscientos noventa y cuatro atenciones. 
5) Orientación y asesoría psico jurídica: 1.536 cuidadoras (786 atención jurídica y 750 atención psicosocial).	</t>
    </r>
  </si>
  <si>
    <r>
      <rPr>
        <sz val="11"/>
        <color rgb="FF000000"/>
        <rFont val="Times New Roman"/>
        <family val="1"/>
      </rPr>
      <t xml:space="preserve">Con la implementación del proceso de formación de la Estrategia Cuidado a Cuidadoras, en lo corrido de la vigencia 2023 se han desarrollado 222 cursos de formación complementaria graduando a 3.163 mujeres en "Herramientas para Cuidadoras en el Reconocimiento de su Trabajo de Cuidado" a través del Aula Virtual de la SDMujer,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La distribución de las cuidadoras graduadas según localidad, es la siguiente: Kennedy: 291; Puente Aranda: 187; Suba: 183; Rafael Uribe Uribe: 180; Usaquén: 165; Los Mártires: 144; CB Mochuelo: 182; Tunjuelito: 159; San Cristóbal Juan Rey: 130; CB Manitas: 127; Engativá: 125; Chapinero: 133; Bosa: 151; Antonio Nariño: 89; Fontibón: 121; Usme: 74; Barrios Unidos: 111; San Cristóbal La Felicidad: 142; Teusaquillo: 92; La Candelaria: 59; Santa Fe: 61; Bus del Cuidado Rural: 182; Bus del Cuidado Urbano: 173.
Respecto de los procesos de Homologación de Saberes, el acumulado de la vigencia 2023 es de 558 cuidadoras certificadas en el Distrito Capital a través de 24 grupos conformados, uno (1) en marzo, uno (1) en abril, cinco (5) en mayo, cuatro (4) en junio, dos (2) en julio, cuatro (4) en agosto, dos (2) en septiembre de 2023, cinco (5) en octubre y cinco (5) en noviembre de 2023 
Respecto de los espacios respiro adelantados entre </t>
    </r>
    <r>
      <rPr>
        <b/>
        <sz val="11"/>
        <color rgb="FF000000"/>
        <rFont val="Times New Roman"/>
        <family val="1"/>
      </rPr>
      <t>febrero y noviembre de 2023,</t>
    </r>
    <r>
      <rPr>
        <sz val="11"/>
        <color rgb="FF000000"/>
        <rFont val="Times New Roman"/>
        <family val="1"/>
      </rPr>
      <t xml:space="preserve"> se ha logrado la realización de </t>
    </r>
    <r>
      <rPr>
        <b/>
        <sz val="11"/>
        <color rgb="FF000000"/>
        <rFont val="Times New Roman"/>
        <family val="1"/>
      </rPr>
      <t>69 espacios respiro</t>
    </r>
    <r>
      <rPr>
        <sz val="11"/>
        <color rgb="FF000000"/>
        <rFont val="Times New Roman"/>
        <family val="1"/>
      </rPr>
      <t xml:space="preserve">, con participación de </t>
    </r>
    <r>
      <rPr>
        <b/>
        <sz val="11"/>
        <color rgb="FF000000"/>
        <rFont val="Times New Roman"/>
        <family val="1"/>
      </rPr>
      <t>497</t>
    </r>
    <r>
      <rPr>
        <sz val="11"/>
        <color rgb="FF000000"/>
        <rFont val="Times New Roman"/>
        <family val="1"/>
      </rPr>
      <t xml:space="preserve"> cuidadoras pertenecientes a la comunidad étnica </t>
    </r>
    <r>
      <rPr>
        <b/>
        <sz val="11"/>
        <color rgb="FF000000"/>
        <rFont val="Times New Roman"/>
        <family val="1"/>
      </rPr>
      <t>Afro y Negra</t>
    </r>
    <r>
      <rPr>
        <sz val="11"/>
        <color rgb="FF000000"/>
        <rFont val="Times New Roman"/>
        <family val="1"/>
      </rPr>
      <t xml:space="preserve">; </t>
    </r>
    <r>
      <rPr>
        <b/>
        <sz val="11"/>
        <color rgb="FF000000"/>
        <rFont val="Times New Roman"/>
        <family val="1"/>
      </rPr>
      <t>188</t>
    </r>
    <r>
      <rPr>
        <sz val="11"/>
        <color rgb="FF000000"/>
        <rFont val="Times New Roman"/>
        <family val="1"/>
      </rPr>
      <t xml:space="preserve"> que hacen parte de los </t>
    </r>
    <r>
      <rPr>
        <b/>
        <sz val="11"/>
        <color rgb="FF000000"/>
        <rFont val="Times New Roman"/>
        <family val="1"/>
      </rPr>
      <t>Pueblos Indígenas</t>
    </r>
    <r>
      <rPr>
        <sz val="11"/>
        <color rgb="FF000000"/>
        <rFont val="Times New Roman"/>
        <family val="1"/>
      </rPr>
      <t xml:space="preserve"> que integran el proceso 612 de 2015, </t>
    </r>
    <r>
      <rPr>
        <b/>
        <sz val="11"/>
        <color rgb="FF000000"/>
        <rFont val="Times New Roman"/>
        <family val="1"/>
      </rPr>
      <t xml:space="preserve">283 </t>
    </r>
    <r>
      <rPr>
        <sz val="11"/>
        <color rgb="FF000000"/>
        <rFont val="Times New Roman"/>
        <family val="1"/>
      </rPr>
      <t xml:space="preserve">pertenecientes a la comunidad </t>
    </r>
    <r>
      <rPr>
        <b/>
        <sz val="11"/>
        <color rgb="FF000000"/>
        <rFont val="Times New Roman"/>
        <family val="1"/>
      </rPr>
      <t xml:space="preserve">Raizal </t>
    </r>
    <r>
      <rPr>
        <sz val="11"/>
        <color rgb="FF000000"/>
        <rFont val="Times New Roman"/>
        <family val="1"/>
      </rPr>
      <t xml:space="preserve">y </t>
    </r>
    <r>
      <rPr>
        <b/>
        <sz val="11"/>
        <color rgb="FF000000"/>
        <rFont val="Times New Roman"/>
        <family val="1"/>
      </rPr>
      <t>264</t>
    </r>
    <r>
      <rPr>
        <sz val="11"/>
        <color rgb="FF000000"/>
        <rFont val="Times New Roman"/>
        <family val="1"/>
      </rPr>
      <t xml:space="preserve"> pertenecientes al pueblo </t>
    </r>
    <r>
      <rPr>
        <b/>
        <sz val="11"/>
        <color rgb="FF000000"/>
        <rFont val="Times New Roman"/>
        <family val="1"/>
      </rPr>
      <t>Gitano</t>
    </r>
    <r>
      <rPr>
        <sz val="11"/>
        <color rgb="FF000000"/>
        <rFont val="Times New Roman"/>
        <family val="1"/>
      </rPr>
      <t xml:space="preserve">. Las atenciones registradas en el marco del desarrollo del Plan Integral de Acciones Afirmativas ascienden en acumulado </t>
    </r>
    <r>
      <rPr>
        <b/>
        <sz val="11"/>
        <color rgb="FF000000"/>
        <rFont val="Times New Roman"/>
        <family val="1"/>
      </rPr>
      <t>1232</t>
    </r>
    <r>
      <rPr>
        <sz val="11"/>
        <color rgb="FF000000"/>
        <rFont val="Times New Roman"/>
        <family val="1"/>
      </rPr>
      <t>. 
En relación con la oferta de atención psico jurídica en el balance es de 11762 (6033 atención jurídica y 5729 atención psicosocial).</t>
    </r>
  </si>
  <si>
    <t xml:space="preserve">Durante enero a noviembre del 2023 en lo que respecta a la implementación del Plan Integral de Acciones Afirmativas se avanzó en proyección de espacios a realizar atendiendo los requerimientos diferenciales y étnicos y conforme a la disponibilidad de garantías con el contrato del operador logístico, con las fichas técnicas de las manzanas más cercanas a los espacios propios conforme a la demanda de los pueblos que se han dispuesto para realizar los espacios respiro dirigidos a mujeres y personas cuidadoras de cada uno de los distintos cabildos pertenecientes al consultivo 612 contando con cumplimiento de los nueve espacios respiro proyectados; al respecto de la comunidad negra/afrodescendiente la articulación ha sido de manera prioritaria por medio de los kilombos y las lideresas de las localidades de Usme, Ciudad Bolívar y San Cristóbal. También se llega satisfactoriamente a brindar los veinte espacios respiro previstos para la vigencia 2023 con una tasa mayor de atenciones; frente a raizales se logró brindar los cinco espacios faltantes para la vigencia de manera virtual y presencial, con muy buena asistencia; por motivo de avanzar en temas de formación no se tuvo implementaciones de espacios respiro con el pueblo Gitano.  
</t>
  </si>
  <si>
    <t>Se ha mejorado la oferta con enfoque étnico diferencial en la medida que hay mejor disposición para ajustar, adaptar y crear actividades que sean cercanas y den lugar a los usos, costumbres y particularidades de los grupos étnicos reconocido en Bogotá por parte de las entidades corresponsables del Sistema Distrital de Cuidado en las Manzanas de San Cristóbal, Usme y Suba. 
Las cuidadoras apropian contenidos orientados al reconocimiento de su trabajo de cuidado y avanzan en el manejo de las tecnologías de información a través de la Estrategia de Cuidado a Cuidadoras, así como las articulaciones que generan las referentes étnicas como es el caso de las mujeres Gitanas beneficiadas de curso de habilidades básicas en ofimática, inicio de curso de conducción para obtener la licencia de carro. Adicionalmente, disfrutan de la gestión de espacios de respiro/desconexión o descanso, ofrecidos por sectores corresponsables con el SIDICU en el marco de los procesos de coordinación territorial con expresión en la oferta de las Manzanas del Cuidado y espacios propios desde los cabildos y lideresas. Entre las entidades corresponsables que se desatacan por su articulación están los Kilombos de la Subred centro-sur, Bibliored desde su oferta con las biblioteca itinerante TIKA, IDRD con actividades que vinculan los ritmos propios, el equipo de interculturalidad del Jardín Botánico de Bogotá así como su equipo de agricultura urbana y acceso de cortesía para actividades con grupos étnicos en sus diferencias y diversidades al PJBB.
En el marco de los procesos realizados por el SIDICU en la vigencia referida al reporte, se han beneficiado del servicio de orientación y asesoría psico jurídica a 11.734 personas cuidadoras.</t>
  </si>
  <si>
    <t>9. Implementar el componente de formación para cuidadoras</t>
  </si>
  <si>
    <t xml:space="preserve">Durante el mes de noviembre se programaron y realizaron 23 cursos de Formación Complementaria Q36para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se realizaron 14 cursos de formación complementaria ofrecida por el Servicio Nacional de Aprendizaje con contenidos en Ofimática e Inglés, con duración de 40 horas e implementación por parte de tutores SENA con acompañamiento de las formadoras SDMujer.
El número total de cuidadoras certificadas dentro del proceso de Formación Complementaria en el mes de noviembre fue de 609. La distribución por localidad de prestación del servicio expresa el siguiente comportamiento: Kennedy: 31; Suba: 26; San Cristóbal La Felicidad: 82; Puente Aranda: 31; Usaquén: 39; CB Manitas: 12; Rafael Uribe: 31; Engativá: 24; Los Mártires: 28; Teusaquillo: 22; CB Mochuelo: 50; Chapinero: 24; Tunjuelito: 37; Bosa: 27; Barrios Unidos: 20; Fontibón: 22; La Candelaria: 16; Santa Fé: 10 y Antonio Nariño: 3. Respecto de la dinámica de los buses, se logró en Bus del Cuidado Urbano: 44 y Bus del Cuidado Rural: 30
En cuanto al proceso de Homologación de Saberes, se certificaron 87 cuidadoras certificadas en el mes de octubre. 
Lo anterior da como balance acumulado de 3.163 cuidadoras graduadas y en homologación de saberes, 558 certificadas (3.721 en total). </t>
  </si>
  <si>
    <t xml:space="preserve">10. Implementar el componente de orientación psicojurídica para cuidadoras </t>
  </si>
  <si>
    <r>
      <rPr>
        <sz val="11"/>
        <color rgb="FF000000"/>
        <rFont val="Times New Roman"/>
        <family val="1"/>
      </rPr>
      <t xml:space="preserve">En relación con la oferta de atención psico jurídica en el mes de noviembre, se benefició un TOTAL de </t>
    </r>
    <r>
      <rPr>
        <b/>
        <sz val="11"/>
        <color rgb="FF000000"/>
        <rFont val="Times New Roman"/>
        <family val="1"/>
      </rPr>
      <t xml:space="preserve">1.536 </t>
    </r>
    <r>
      <rPr>
        <sz val="11"/>
        <color rgb="FF000000"/>
        <rFont val="Times New Roman"/>
        <family val="1"/>
      </rPr>
      <t xml:space="preserve">personas cuidadoras, de las cuales </t>
    </r>
    <r>
      <rPr>
        <b/>
        <sz val="11"/>
        <color rgb="FF000000"/>
        <rFont val="Times New Roman"/>
        <family val="1"/>
      </rPr>
      <t xml:space="preserve">786 </t>
    </r>
    <r>
      <rPr>
        <sz val="11"/>
        <color rgb="FF000000"/>
        <rFont val="Times New Roman"/>
        <family val="1"/>
      </rPr>
      <t xml:space="preserve">recibieron orientación y asesoría jurídica en las localidades de: Antonio Nariño 28, Barrios Unidos 14, Bosa 65, Chapinero 55, Ciudad Bolívar 52, Engativá 55, Fontibón 26, Kennedy 48, Mártires 1, Puente Aranda 40, Rafael Uribe Uribe 72, San Cristóbal 96, Santa Fe 16, Suba 64, Teusaquillo 20, Tunjuelito 13, Usaquén 60, Usme 56, Fuera de Bogotá 5. Y </t>
    </r>
    <r>
      <rPr>
        <b/>
        <sz val="11"/>
        <color rgb="FF000000"/>
        <rFont val="Times New Roman"/>
        <family val="1"/>
      </rPr>
      <t>750</t>
    </r>
    <r>
      <rPr>
        <sz val="11"/>
        <color rgb="FF000000"/>
        <rFont val="Times New Roman"/>
        <family val="1"/>
      </rPr>
      <t xml:space="preserve"> personas cuidadoras recibieron orientación psicosocial, distribuidas a lo largo de las localidades de la siguiente manera: Antonio Nariño 30, Barrios Unidos 13, Bosa 69, Chapinero 51, Ciudad Bolívar 57, Engativá 55, Fontibón 26, Kennedy 46, Mártires 1, Puente Aranda 31, Rafael Uribe 55, San Cristóbal 97, Santa Fe 14, Suba 62, Teusaquillo 16, Tunjuelito 13, Usaquén 51, Usme 60, Fuera de Bogotá 3.</t>
    </r>
  </si>
  <si>
    <t xml:space="preserve">11. Implementar, monitorear y hacer seguimiento al Plan Integral de Acciones Afirmativas </t>
  </si>
  <si>
    <r>
      <rPr>
        <sz val="11"/>
        <color rgb="FF000000"/>
        <rFont val="Times New Roman"/>
        <family val="1"/>
      </rPr>
      <t xml:space="preserve">Durante el mes de noviembre se implementaron catorce (14) espacios respiro, se logró doscientos noventa y cuatro (294) atenciones a mujeres cuidadoras, así:  
Cinco espacios, </t>
    </r>
    <r>
      <rPr>
        <b/>
        <sz val="11"/>
        <color rgb="FF000000"/>
        <rFont val="Times New Roman"/>
        <family val="1"/>
      </rPr>
      <t xml:space="preserve">(128) ciento veintiocho atenciones a cuidadoras Negras y Afrodescendientes 
</t>
    </r>
    <r>
      <rPr>
        <sz val="11"/>
        <color rgb="FF000000"/>
        <rFont val="Times New Roman"/>
        <family val="1"/>
      </rPr>
      <t xml:space="preserve">Cuatro espacios, </t>
    </r>
    <r>
      <rPr>
        <b/>
        <sz val="11"/>
        <color rgb="FF000000"/>
        <rFont val="Times New Roman"/>
        <family val="1"/>
      </rPr>
      <t>(70) setenta atenciones a cuidadoras de los pueblos Indígenas 612</t>
    </r>
    <r>
      <rPr>
        <sz val="11"/>
        <color rgb="FF000000"/>
        <rFont val="Times New Roman"/>
        <family val="1"/>
      </rPr>
      <t xml:space="preserve">. 
Cinco espacios </t>
    </r>
    <r>
      <rPr>
        <b/>
        <sz val="11"/>
        <color rgb="FF000000"/>
        <rFont val="Times New Roman"/>
        <family val="1"/>
      </rPr>
      <t xml:space="preserve">(96) noventa y seis atenciones a personas cuidadoras de la Comunidad Raizal  
</t>
    </r>
    <r>
      <rPr>
        <sz val="11"/>
        <color rgb="FF000000"/>
        <rFont val="Times New Roman"/>
        <family val="1"/>
      </rPr>
      <t xml:space="preserve">
a) Un  Compartir de saberes ancestrales " la ombligada" </t>
    </r>
    <r>
      <rPr>
        <sz val="11"/>
        <color rgb="FF000000"/>
        <rFont val="Times New Roman"/>
        <family val="1"/>
      </rPr>
      <t xml:space="preserve"> Atenciones: 20 
</t>
    </r>
    <r>
      <rPr>
        <sz val="11"/>
        <color rgb="FF000000"/>
        <rFont val="Times New Roman"/>
        <family val="1"/>
      </rPr>
      <t xml:space="preserve">b) Un  Espacio de respiro/desconexión en torno a los usos, costumbres y cosmogonías de las comunidades negras y afrocolombianas. </t>
    </r>
    <r>
      <rPr>
        <sz val="11"/>
        <color rgb="FF000000"/>
        <rFont val="Times New Roman"/>
        <family val="1"/>
      </rPr>
      <t xml:space="preserve">Atenciones: 29 
</t>
    </r>
    <r>
      <rPr>
        <sz val="11"/>
        <color rgb="FF000000"/>
        <rFont val="Times New Roman"/>
        <family val="1"/>
      </rPr>
      <t xml:space="preserve">c) Un  Espacio de desconexión y respiro compartir de saberes historias, prácticas y cuidados de cabello afro </t>
    </r>
    <r>
      <rPr>
        <sz val="11"/>
        <color rgb="FF000000"/>
        <rFont val="Times New Roman"/>
        <family val="1"/>
      </rPr>
      <t xml:space="preserve">Atenciones: 27 
</t>
    </r>
    <r>
      <rPr>
        <sz val="11"/>
        <color rgb="FF000000"/>
        <rFont val="Times New Roman"/>
        <family val="1"/>
      </rPr>
      <t xml:space="preserve">d) Un  Espacio de desconexión y respiro taller de cuidado menstrual para mujeres cuidadoras afro Usme </t>
    </r>
    <r>
      <rPr>
        <sz val="11"/>
        <color rgb="FF000000"/>
        <rFont val="Times New Roman"/>
        <family val="1"/>
      </rPr>
      <t xml:space="preserve">Atenciones: 21 
</t>
    </r>
    <r>
      <rPr>
        <sz val="11"/>
        <color rgb="FF000000"/>
        <rFont val="Times New Roman"/>
        <family val="1"/>
      </rPr>
      <t xml:space="preserve">e) Un Espacio respiro/desconexión familias Negras y Afro juegos parque de diversiones mundo aventura mujeres y personas cuidadoras San Cristóbal Sur </t>
    </r>
    <r>
      <rPr>
        <sz val="11"/>
        <color rgb="FF000000"/>
        <rFont val="Times New Roman"/>
        <family val="1"/>
      </rPr>
      <t xml:space="preserve">Atenciones: 31 
</t>
    </r>
    <r>
      <rPr>
        <sz val="11"/>
        <color rgb="FF000000"/>
        <rFont val="Times New Roman"/>
        <family val="1"/>
      </rPr>
      <t xml:space="preserve">f) Un  Muisca Bosa encuentro de mujeres </t>
    </r>
    <r>
      <rPr>
        <sz val="11"/>
        <color rgb="FF000000"/>
        <rFont val="Times New Roman"/>
        <family val="1"/>
      </rPr>
      <t xml:space="preserve">Atenciones: 18 
</t>
    </r>
    <r>
      <rPr>
        <sz val="11"/>
        <color rgb="FF000000"/>
        <rFont val="Times New Roman"/>
        <family val="1"/>
      </rPr>
      <t xml:space="preserve">g) Un Espacio respiro para las mujeres indígenas del Cabildo Eperara </t>
    </r>
    <r>
      <rPr>
        <sz val="11"/>
        <color rgb="FF000000"/>
        <rFont val="Times New Roman"/>
        <family val="1"/>
      </rPr>
      <t xml:space="preserve">Atenciones: 18 
</t>
    </r>
    <r>
      <rPr>
        <sz val="11"/>
        <color rgb="FF000000"/>
        <rFont val="Times New Roman"/>
        <family val="1"/>
      </rPr>
      <t xml:space="preserve">h) Un Soltar las cargas para agradecer la vida- Mujeres Misak </t>
    </r>
    <r>
      <rPr>
        <sz val="11"/>
        <color rgb="FF000000"/>
        <rFont val="Times New Roman"/>
        <family val="1"/>
      </rPr>
      <t xml:space="preserve">Atenciones: 14 
</t>
    </r>
    <r>
      <rPr>
        <sz val="11"/>
        <color rgb="FF000000"/>
        <rFont val="Times New Roman"/>
        <family val="1"/>
      </rPr>
      <t xml:space="preserve">i) Un Encuentro de las mujeres cuidadoras del pueblo Wounaan </t>
    </r>
    <r>
      <rPr>
        <sz val="11"/>
        <color rgb="FF000000"/>
        <rFont val="Times New Roman"/>
        <family val="1"/>
      </rPr>
      <t xml:space="preserve">Atenciones: 20 
</t>
    </r>
    <r>
      <rPr>
        <sz val="11"/>
        <color rgb="FF000000"/>
        <rFont val="Times New Roman"/>
        <family val="1"/>
      </rPr>
      <t xml:space="preserve">j) Dos Actividades física y rumba tropical folclórica </t>
    </r>
    <r>
      <rPr>
        <sz val="11"/>
        <color rgb="FF000000"/>
        <rFont val="Times New Roman"/>
        <family val="1"/>
      </rPr>
      <t xml:space="preserve">Atenciones: 30 
</t>
    </r>
    <r>
      <rPr>
        <sz val="11"/>
        <color rgb="FF000000"/>
        <rFont val="Times New Roman"/>
        <family val="1"/>
      </rPr>
      <t xml:space="preserve">k) Tres i- Terapias de la Naturaleza; ii-Recorrido Intercultural "tropicario"; iii-Lectura en Voz alta- Bibliored </t>
    </r>
    <r>
      <rPr>
        <sz val="11"/>
        <color rgb="FF000000"/>
        <rFont val="Times New Roman"/>
        <family val="1"/>
      </rPr>
      <t xml:space="preserve">Atenciones: 66 </t>
    </r>
  </si>
  <si>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</si>
  <si>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</si>
  <si>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</si>
  <si>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</si>
  <si>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</si>
  <si>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</si>
  <si>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</si>
  <si>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</si>
  <si>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</si>
  <si>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</si>
  <si>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</si>
  <si>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</si>
  <si>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</si>
  <si>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</si>
  <si>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</si>
  <si>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</si>
  <si>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</si>
  <si>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</si>
  <si>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</si>
  <si>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</si>
  <si>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</si>
  <si>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</si>
  <si>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</si>
  <si>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</si>
  <si>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</si>
  <si>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</si>
  <si>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</si>
  <si>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</si>
  <si>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</si>
  <si>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</si>
  <si>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</si>
  <si>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</si>
  <si>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</si>
  <si>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</si>
  <si>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</si>
  <si>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</si>
  <si>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</si>
  <si>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</si>
  <si>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</si>
  <si>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</si>
  <si>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Para el mes de noviembre, por efecto de la periodicidad de la Meta, no se tiene programado avances a reportar</t>
  </si>
  <si>
    <t xml:space="preserve">Durante lo corrido del 2023,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Además se cuenta con avances en un decimocuarto documento metodológico enmarcado en la acción contra el cambio climático y el reconocimiento de la importancia de los trabajos de cuidados no remunerados en el cuidado del ambiente y quienes lo realizan.
Por otro lado, se han beneficiado a 6.823 personas con los talleres de cambio cultural. </t>
  </si>
  <si>
    <t>Ninguna</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</si>
  <si>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</si>
  <si>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</si>
  <si>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</si>
  <si>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</si>
  <si>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</si>
  <si>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Durante lo de la vigencia 2023 se avanzó ense avanzó en: La compilación de las bases técnicas del Sistema Distrital de Cuidado de Bogotá en un solo documento, la realización de 105 jornadas de socialización del Sistema Distrital de Cuidado y sus lineamientos técnicos, la formulación e implementación de la estrategia "Pactos locales por las Manzanas del Cuidado", cuyo objetivo es la apropiación de las Manzanas del Cuidado por parte de la ciudadanía, el funcionamiento de la Mesa Intersectorial de Seguimiento al Convenio Marco Interadministrativo 913 de 2021, la terminación anticipada del Convenio 725 de 2020, con el objetivo de adoptar dentro del Convenio Marco Interadministrativo 913 de 2021 el funcionamiento de las Manzanas del Cuidado de Bosa - Porvenir, San Cristóbal - San Blas y Usme - Julio César Sánchez y la ahesión de las entidades que hacen parte de las Manzanas del Cuidado inauguradas durante 2023 al Convenio Marco Interadministrativo 913 de 2021, así como la suscripción y publicación en SECOP II de sus respectivos Anexos Técnicos I y II y la suscripción de los debidos Acuerdos de Coordinación.</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</si>
  <si>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</si>
  <si>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</si>
  <si>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</si>
  <si>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</si>
  <si>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r>
      <rPr>
        <sz val="10"/>
        <color rgb="FF000000"/>
        <rFont val="Times New Roman"/>
        <family val="1"/>
      </rPr>
      <t xml:space="preserve">Durante lo corrido de enero a niviembre del 2023, en el marco de la gestión de las manzanas y unidades de cuidado se ha logrado que Bogotá tenga en operación 20 Manzanas. Por otra parte. en el marco de los procesos realizados por el Sistema Distrital del Cuidado - SIDICU en la vigencia referida al reporte, se han beneficiado del servicio de orientación y asesoría psicojurídica psicosocial a: </t>
    </r>
    <r>
      <rPr>
        <sz val="10"/>
        <color rgb="FFFF0000"/>
        <rFont val="Times New Roman"/>
        <family val="1"/>
      </rPr>
      <t>xxxx</t>
    </r>
    <r>
      <rPr>
        <sz val="10"/>
        <color rgb="FF000000"/>
        <rFont val="Times New Roman"/>
        <family val="1"/>
      </rPr>
      <t xml:space="preserve"> cuidadoras. </t>
    </r>
  </si>
  <si>
    <t>Número de mujeres formadas en cuidados, en el marco de la estrategia cuidado a cuidadoras</t>
  </si>
  <si>
    <t>Mujeres formadas</t>
  </si>
  <si>
    <t>Mujeres únicas formadas (Incluye certificadas).</t>
  </si>
  <si>
    <t>Mensual</t>
  </si>
  <si>
    <t>SiMisional</t>
  </si>
  <si>
    <t xml:space="preserve">Para el mes de noviembre, el número total de cuidadoras graduadas fue de 609 y
en cuanto al proceso de Homologación de Saberes, se certificaron 87 cuidadoras certificadas </t>
  </si>
  <si>
    <t>Durante lo corrido del año, se ha logrado que 3163 cuidadoras se gradúen en cursos de formación complementaria. y en cuanto al proceso de Homologación de Saberes, se han certificado a 558 cuidadoras. En este sentido, el balance total es de 3721</t>
  </si>
  <si>
    <t>Número de personas vinculadas a los talleres de cambio cultural</t>
  </si>
  <si>
    <t>Personas vinculadas</t>
  </si>
  <si>
    <t xml:space="preserve">Número de personas vinculadas en talleres presenciales y virtual de cambio cultural.  </t>
  </si>
  <si>
    <t>En el mes de noviembre se implementaron 88 talleres de Cambio Cultural, a través de los cuales se vincularon 1164 beneficiarias</t>
  </si>
  <si>
    <t>Durante lo corrido del año, se han vinculado en talleres de cambio cultural a 6.823 beneficiarios.</t>
  </si>
  <si>
    <t>Número de manzanas inauguradas</t>
  </si>
  <si>
    <t>Manzanas puestas en operación</t>
  </si>
  <si>
    <t>Número de manzanas del cuidado puestas en operación en Bogotá</t>
  </si>
  <si>
    <t xml:space="preserve">               -  </t>
  </si>
  <si>
    <t>A le fecha se encuentran en operación 20 manzanas de cuidado en el Distrito</t>
  </si>
  <si>
    <t>Ninguno</t>
  </si>
  <si>
    <t>Gestión del Sistema Distrital de Cuidado</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</si>
  <si>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</si>
  <si>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</si>
  <si>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</si>
  <si>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</si>
  <si>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</si>
  <si>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</si>
  <si>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</si>
  <si>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Durante el mes de noviembre de 2023, se logró avanzar con los talleres de cambio cultural, a través de estos se logró atender 1164 personas y frente a las orientaciones psicosociales y psico jurídicas, se logró atender a 1.536 personas. </t>
  </si>
  <si>
    <t xml:space="preserve">En el marco de implementación del Sistema Distrital de Cuidado durante la vigencia anual se ha obtenido un cumplimiento del 88% de la programación para la implementación del SIDICU dada la coordinación y articulación con las 13 secretarías del nivel distrital, junto el funcionamiento de las dos unidades móviles y las 20 Manzana del Cuidado que se encuentran en operación. Por otra parte, frente al componente de coordinación intersectorial, y en el marco de la actividad asociada a las orientaciones psicosociales y psicourídicas, en lo corrido del 2023 se lleva un acumulado de  11762 beneficiarias y con relación a los talleres de cambio cultural, se ha logrado atender a 6.823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</si>
  <si>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</si>
  <si>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</si>
  <si>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</si>
  <si>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</si>
  <si>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</si>
  <si>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</si>
  <si>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</si>
  <si>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Constanza Liliana Gomez Romero</t>
  </si>
  <si>
    <t>Nombre: Angie Paola Mesa Rojas</t>
  </si>
  <si>
    <t>Nombre:</t>
  </si>
  <si>
    <t>Nombre: Catalina Campos Romero</t>
  </si>
  <si>
    <t>Cargo:  Profesional Universitario</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</si>
  <si>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</si>
  <si>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</si>
  <si>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</si>
  <si>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</si>
  <si>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</si>
  <si>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</si>
  <si>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</si>
  <si>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</si>
  <si>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</si>
  <si>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</si>
  <si>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</si>
  <si>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</si>
  <si>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</si>
  <si>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</si>
  <si>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</si>
  <si>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</si>
  <si>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</si>
  <si>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</si>
  <si>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</si>
  <si>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</si>
  <si>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</si>
  <si>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</si>
  <si>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</si>
  <si>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</si>
  <si>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</si>
  <si>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</si>
  <si>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</si>
  <si>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</si>
  <si>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</si>
  <si>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</si>
  <si>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xml:space="preserve"> $               -  </t>
  </si>
  <si>
    <t xml:space="preserve"> $             -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</si>
  <si>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</si>
  <si>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</si>
  <si>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</si>
  <si>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</si>
  <si>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</si>
  <si>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</si>
  <si>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</si>
  <si>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</si>
  <si>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</si>
  <si>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</si>
  <si>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</si>
  <si>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</si>
  <si>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</si>
  <si>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</si>
  <si>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</si>
  <si>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</si>
  <si>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</si>
  <si>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</si>
  <si>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</si>
  <si>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</si>
  <si>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</si>
  <si>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$ 0,00</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</si>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</sst>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_-;\-* #,##0_-;_-* &quot;-&quot;_-;_-@"/>
    <numFmt numFmtId="178" formatCode="_-* #,##0.00\ _€_-;\-* #,##0.00\ _€_-;_-* &quot;-&quot;\ _€_-;_-@"/>
    <numFmt numFmtId="179" formatCode="_-* #,##0\ _€_-;\-* #,##0\ _€_-;_-* &quot;-&quot;\ _€_-;_-@"/>
    <numFmt numFmtId="180" formatCode="#,##0_ ;\-#,##0\ "/>
    <numFmt numFmtId="181" formatCode="#,##0.0"/>
    <numFmt numFmtId="182" formatCode="0.000"/>
    <numFmt numFmtId="183" formatCode="0.00000"/>
    <numFmt numFmtId="184" formatCode="0.0000"/>
    <numFmt numFmtId="185" formatCode="#,##0.000"/>
    <numFmt numFmtId="186" formatCode="_-* #,##0_-;\-* #,##0_-;_-* &quot;-&quot;??_-;_-@_-"/>
  </numFmts>
  <fonts count="6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FFFF"/>
      <name val="Times New Roman"/>
      <family val="1"/>
    </font>
    <font>
      <sz val="11"/>
      <color rgb="FF000000"/>
      <name val="Calibri"/>
      <family val="2"/>
    </font>
    <font>
      <sz val="10"/>
      <color rgb="FF000000"/>
      <name val="Times New Roman"/>
      <family val="1"/>
    </font>
    <font>
      <b/>
      <sz val="12"/>
      <color rgb="FF000000"/>
      <name val="Tahoma"/>
      <family val="2"/>
    </font>
    <font>
      <sz val="12"/>
      <color rgb="FF000000"/>
      <name val="Tahoma"/>
      <family val="2"/>
    </font>
    <font>
      <b/>
      <sz val="11"/>
      <color rgb="FF000000"/>
      <name val="Tahoma"/>
      <family val="2"/>
    </font>
    <font>
      <sz val="11"/>
      <color rgb="FF000000"/>
      <name val="Tahoma"/>
      <family val="2"/>
    </font>
    <font>
      <sz val="14"/>
      <color rgb="FF000000"/>
      <name val="Tahoma"/>
      <family val="2"/>
    </font>
    <font>
      <b/>
      <sz val="14"/>
      <color rgb="FF000000"/>
      <name val="Tahoma"/>
      <family val="2"/>
    </font>
    <font>
      <sz val="11"/>
      <color rgb="FF000000"/>
      <name val="Times New Roman"/>
      <family val="1"/>
    </font>
    <font>
      <sz val="11"/>
      <color rgb="FF000000"/>
      <name val="Arial"/>
      <family val="2"/>
      <charset val="1"/>
    </font>
    <font>
      <sz val="10"/>
      <color rgb="FF000000"/>
      <name val="Times New Roman"/>
      <family val="1"/>
    </font>
    <font>
      <sz val="10"/>
      <color rgb="FFFF0000"/>
      <name val="Times New Roman"/>
      <family val="1"/>
    </font>
    <font>
      <sz val="12"/>
      <color rgb="FF000000"/>
      <name val="Times New Roman"/>
      <family val="1"/>
    </font>
    <font>
      <sz val="12"/>
      <name val="Times New Roman"/>
      <family val="1"/>
    </font>
    <font>
      <sz val="11"/>
      <color theme="1"/>
      <name val="Times New Roman"/>
      <family val="1"/>
    </font>
    <font>
      <b/>
      <sz val="12"/>
      <color rgb="FF000000"/>
      <name val="Times New Roman"/>
      <family val="1"/>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00"/>
        <bgColor indexed="64"/>
      </patternFill>
    </fill>
    <fill>
      <patternFill patternType="solid">
        <fgColor rgb="FFCCC0DA"/>
        <bgColor rgb="FF000000"/>
      </patternFill>
    </fill>
    <fill>
      <patternFill patternType="solid">
        <fgColor rgb="FFFFFFFF"/>
        <bgColor rgb="FF000000"/>
      </patternFill>
    </fill>
    <fill>
      <patternFill patternType="solid">
        <fgColor rgb="FFD9D9D9"/>
        <bgColor rgb="FF000000"/>
      </patternFill>
    </fill>
    <fill>
      <patternFill patternType="solid">
        <fgColor rgb="FFDDDDDD"/>
        <bgColor rgb="FF000000"/>
      </patternFill>
    </fill>
    <fill>
      <patternFill patternType="solid">
        <fgColor theme="8"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thin">
        <color rgb="FF000000"/>
      </top>
      <bottom style="medium">
        <color rgb="FF000000"/>
      </bottom>
      <diagonal/>
    </border>
    <border>
      <left style="medium">
        <color indexed="64"/>
      </left>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rgb="FF000000"/>
      </bottom>
      <diagonal/>
    </border>
    <border>
      <left/>
      <right style="medium">
        <color indexed="64"/>
      </right>
      <top/>
      <bottom style="thin">
        <color rgb="FF000000"/>
      </bottom>
      <diagonal/>
    </border>
  </borders>
  <cellStyleXfs count="34">
    <xf numFmtId="0" fontId="0" fillId="0" borderId="0"/>
    <xf numFmtId="0" fontId="27" fillId="3" borderId="68" applyNumberFormat="0" applyAlignment="0" applyProtection="0"/>
    <xf numFmtId="49" fontId="29" fillId="0" borderId="0" applyFill="0" applyBorder="0" applyProtection="0">
      <alignment horizontal="left" vertical="center"/>
    </xf>
    <xf numFmtId="0" fontId="30" fillId="4" borderId="69" applyNumberFormat="0" applyFont="0" applyFill="0" applyAlignment="0"/>
    <xf numFmtId="0" fontId="30" fillId="4" borderId="70"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8"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97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73"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7"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31"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9" fontId="27" fillId="0" borderId="2" xfId="28" applyFont="1" applyBorder="1" applyAlignment="1">
      <alignment vertical="center"/>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19" borderId="78" xfId="22" applyFont="1" applyFill="1" applyBorder="1" applyAlignment="1">
      <alignment vertical="center" wrapText="1"/>
    </xf>
    <xf numFmtId="0" fontId="12" fillId="19" borderId="79"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173" fontId="27" fillId="0" borderId="1" xfId="10" applyNumberFormat="1" applyFont="1" applyFill="1" applyBorder="1" applyAlignment="1">
      <alignment vertical="center"/>
    </xf>
    <xf numFmtId="0" fontId="12" fillId="20" borderId="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2" borderId="80" xfId="0" applyFont="1" applyFill="1" applyBorder="1" applyAlignment="1">
      <alignment horizontal="center" vertical="center" wrapText="1"/>
    </xf>
    <xf numFmtId="0" fontId="24" fillId="0" borderId="80" xfId="0" applyFont="1" applyBorder="1" applyAlignment="1">
      <alignment horizontal="center" vertical="center" wrapText="1"/>
    </xf>
    <xf numFmtId="9" fontId="25" fillId="0" borderId="0" xfId="0" applyNumberFormat="1" applyFont="1" applyAlignment="1">
      <alignment horizontal="center" vertical="center"/>
    </xf>
    <xf numFmtId="182" fontId="24" fillId="23" borderId="0" xfId="0" applyNumberFormat="1" applyFont="1" applyFill="1" applyAlignment="1">
      <alignment horizontal="center" vertical="center"/>
    </xf>
    <xf numFmtId="0" fontId="39" fillId="0" borderId="0" xfId="0" applyFont="1" applyAlignment="1">
      <alignment horizontal="justify" vertical="center" wrapText="1"/>
    </xf>
    <xf numFmtId="182" fontId="25" fillId="0" borderId="0" xfId="0" applyNumberFormat="1" applyFont="1" applyAlignment="1">
      <alignment horizontal="justify" vertical="center" wrapText="1"/>
    </xf>
    <xf numFmtId="0" fontId="24" fillId="24" borderId="80" xfId="0" applyFont="1" applyFill="1" applyBorder="1" applyAlignment="1">
      <alignment horizontal="center" vertical="center" wrapText="1"/>
    </xf>
    <xf numFmtId="182" fontId="25" fillId="24" borderId="0" xfId="0" applyNumberFormat="1" applyFont="1" applyFill="1" applyAlignment="1">
      <alignment horizontal="center" vertical="center"/>
    </xf>
    <xf numFmtId="182" fontId="24" fillId="24" borderId="0" xfId="0" applyNumberFormat="1" applyFont="1" applyFill="1" applyAlignment="1">
      <alignment horizontal="center" vertical="center"/>
    </xf>
    <xf numFmtId="182" fontId="39" fillId="0" borderId="0" xfId="0" applyNumberFormat="1" applyFont="1" applyAlignment="1">
      <alignment horizontal="justify" vertical="center" wrapText="1"/>
    </xf>
    <xf numFmtId="0" fontId="24" fillId="24" borderId="81"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82"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82" fontId="25" fillId="0" borderId="0" xfId="0" applyNumberFormat="1" applyFont="1" applyAlignment="1">
      <alignment horizontal="center" vertical="center"/>
    </xf>
    <xf numFmtId="0" fontId="25" fillId="0" borderId="0" xfId="0" applyFont="1" applyAlignment="1">
      <alignment horizontal="center" vertical="center"/>
    </xf>
    <xf numFmtId="0" fontId="25" fillId="25" borderId="0" xfId="0" applyFont="1" applyFill="1" applyAlignment="1">
      <alignment horizontal="center" vertical="center"/>
    </xf>
    <xf numFmtId="183" fontId="24" fillId="25" borderId="0" xfId="0" applyNumberFormat="1" applyFont="1" applyFill="1" applyAlignment="1">
      <alignment horizontal="center" vertical="center"/>
    </xf>
    <xf numFmtId="0" fontId="25" fillId="0" borderId="0" xfId="0" applyFont="1" applyAlignment="1">
      <alignment vertical="center"/>
    </xf>
    <xf numFmtId="0" fontId="24" fillId="26" borderId="0" xfId="0" applyFont="1" applyFill="1" applyAlignment="1">
      <alignment vertical="center"/>
    </xf>
    <xf numFmtId="184" fontId="25" fillId="26" borderId="0" xfId="0" applyNumberFormat="1" applyFont="1" applyFill="1" applyAlignment="1">
      <alignment horizontal="center" vertical="center"/>
    </xf>
    <xf numFmtId="182" fontId="25" fillId="26"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9" borderId="39"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0" fontId="12" fillId="20" borderId="39" xfId="22" applyFont="1" applyFill="1" applyBorder="1" applyAlignment="1">
      <alignment horizontal="center" vertical="center" wrapText="1"/>
    </xf>
    <xf numFmtId="0" fontId="12" fillId="0" borderId="39" xfId="22" applyFont="1" applyBorder="1" applyAlignment="1">
      <alignment horizontal="left" vertical="center" wrapText="1"/>
    </xf>
    <xf numFmtId="0" fontId="12" fillId="9" borderId="42" xfId="22" applyFont="1" applyFill="1" applyBorder="1" applyAlignment="1">
      <alignment horizontal="left" vertical="center" wrapText="1"/>
    </xf>
    <xf numFmtId="0" fontId="12" fillId="0" borderId="9" xfId="22" applyFont="1" applyBorder="1" applyAlignment="1">
      <alignment horizontal="left"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39" xfId="22" applyFont="1" applyFill="1" applyBorder="1" applyAlignment="1">
      <alignment horizontal="left" vertical="center" wrapText="1"/>
    </xf>
    <xf numFmtId="3" fontId="12" fillId="0" borderId="25" xfId="28" applyNumberFormat="1" applyFont="1" applyFill="1" applyBorder="1" applyAlignment="1" applyProtection="1">
      <alignment horizontal="center" vertical="center" wrapText="1"/>
    </xf>
    <xf numFmtId="3" fontId="12" fillId="0" borderId="4" xfId="28"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1" fillId="28" borderId="5" xfId="0" applyFont="1" applyFill="1" applyBorder="1" applyAlignment="1">
      <alignment wrapText="1"/>
    </xf>
    <xf numFmtId="0" fontId="12" fillId="28" borderId="5" xfId="0" applyFont="1" applyFill="1" applyBorder="1" applyAlignment="1">
      <alignment horizontal="center" vertical="center" wrapText="1"/>
    </xf>
    <xf numFmtId="9" fontId="11" fillId="28" borderId="5" xfId="0" applyNumberFormat="1" applyFont="1" applyFill="1" applyBorder="1" applyAlignment="1">
      <alignment horizontal="center" vertical="center" wrapText="1"/>
    </xf>
    <xf numFmtId="0" fontId="12" fillId="0" borderId="25" xfId="0" applyFont="1" applyBorder="1" applyAlignment="1">
      <alignment horizontal="center" vertical="center" wrapText="1"/>
    </xf>
    <xf numFmtId="9" fontId="11" fillId="29" borderId="25" xfId="0" applyNumberFormat="1" applyFont="1" applyFill="1" applyBorder="1" applyAlignment="1">
      <alignment horizontal="center" vertical="center" wrapText="1"/>
    </xf>
    <xf numFmtId="0" fontId="12" fillId="28" borderId="42" xfId="0" applyFont="1" applyFill="1" applyBorder="1" applyAlignment="1">
      <alignment horizontal="center" vertical="center" wrapText="1"/>
    </xf>
    <xf numFmtId="9" fontId="11" fillId="28" borderId="42" xfId="0" applyNumberFormat="1" applyFont="1" applyFill="1" applyBorder="1" applyAlignment="1">
      <alignment horizontal="center" vertical="center" wrapText="1"/>
    </xf>
    <xf numFmtId="174" fontId="11" fillId="29" borderId="25" xfId="0" applyNumberFormat="1" applyFont="1" applyFill="1" applyBorder="1" applyAlignment="1">
      <alignment horizontal="center" vertical="center" wrapText="1"/>
    </xf>
    <xf numFmtId="174" fontId="11" fillId="28" borderId="4" xfId="0" applyNumberFormat="1" applyFont="1" applyFill="1" applyBorder="1" applyAlignment="1">
      <alignment horizontal="center" vertical="center" wrapText="1"/>
    </xf>
    <xf numFmtId="174" fontId="11" fillId="28" borderId="25" xfId="0" applyNumberFormat="1" applyFont="1" applyFill="1" applyBorder="1" applyAlignment="1">
      <alignment horizontal="center" vertical="center" wrapText="1"/>
    </xf>
    <xf numFmtId="174" fontId="11" fillId="28" borderId="40" xfId="0" applyNumberFormat="1" applyFont="1" applyFill="1" applyBorder="1" applyAlignment="1">
      <alignment horizontal="center" vertical="center" wrapText="1"/>
    </xf>
    <xf numFmtId="174" fontId="11" fillId="28" borderId="42" xfId="0" applyNumberFormat="1" applyFont="1" applyFill="1" applyBorder="1" applyAlignment="1">
      <alignment horizontal="center" vertical="center" wrapText="1"/>
    </xf>
    <xf numFmtId="9" fontId="11" fillId="0" borderId="52" xfId="0" applyNumberFormat="1" applyFont="1" applyBorder="1" applyAlignment="1">
      <alignment horizontal="center" vertical="center" wrapText="1"/>
    </xf>
    <xf numFmtId="9" fontId="11" fillId="0" borderId="51" xfId="0" applyNumberFormat="1" applyFont="1" applyBorder="1" applyAlignment="1">
      <alignment horizontal="center" vertical="center" wrapText="1"/>
    </xf>
    <xf numFmtId="9" fontId="11" fillId="28" borderId="4" xfId="0" applyNumberFormat="1" applyFont="1" applyFill="1" applyBorder="1" applyAlignment="1">
      <alignment horizontal="center" vertical="center" wrapText="1"/>
    </xf>
    <xf numFmtId="9" fontId="11" fillId="28" borderId="25"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25" xfId="0" applyNumberFormat="1" applyFont="1" applyBorder="1" applyAlignment="1">
      <alignment horizontal="center" vertical="center" wrapText="1"/>
    </xf>
    <xf numFmtId="9" fontId="43" fillId="28" borderId="25" xfId="0" applyNumberFormat="1" applyFont="1" applyFill="1" applyBorder="1" applyAlignment="1">
      <alignment horizontal="center" vertical="center" wrapText="1"/>
    </xf>
    <xf numFmtId="9" fontId="11" fillId="28" borderId="40" xfId="0" applyNumberFormat="1" applyFont="1" applyFill="1" applyBorder="1" applyAlignment="1">
      <alignment horizontal="center" vertical="center" wrapText="1"/>
    </xf>
    <xf numFmtId="9" fontId="11" fillId="29" borderId="52"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174" fontId="11" fillId="29" borderId="52" xfId="0" applyNumberFormat="1" applyFont="1" applyFill="1" applyBorder="1" applyAlignment="1">
      <alignment horizontal="center" vertical="center" wrapText="1"/>
    </xf>
    <xf numFmtId="174" fontId="11" fillId="29" borderId="51" xfId="0" applyNumberFormat="1" applyFont="1" applyFill="1" applyBorder="1" applyAlignment="1">
      <alignment horizontal="center" vertical="center" wrapText="1"/>
    </xf>
    <xf numFmtId="174" fontId="11" fillId="29" borderId="4" xfId="0" applyNumberFormat="1" applyFont="1" applyFill="1" applyBorder="1" applyAlignment="1">
      <alignment horizontal="center" vertical="center" wrapText="1"/>
    </xf>
    <xf numFmtId="174" fontId="43" fillId="29" borderId="25" xfId="0" applyNumberFormat="1" applyFont="1" applyFill="1" applyBorder="1" applyAlignment="1">
      <alignment horizontal="center" vertical="center" wrapText="1"/>
    </xf>
    <xf numFmtId="9" fontId="11" fillId="29" borderId="51" xfId="0" applyNumberFormat="1" applyFont="1" applyFill="1" applyBorder="1" applyAlignment="1">
      <alignment horizontal="center" vertical="center" wrapText="1"/>
    </xf>
    <xf numFmtId="9" fontId="43" fillId="29" borderId="25" xfId="0" applyNumberFormat="1" applyFont="1" applyFill="1" applyBorder="1" applyAlignment="1">
      <alignment horizontal="center" vertical="center" wrapText="1"/>
    </xf>
    <xf numFmtId="0" fontId="43" fillId="0" borderId="0" xfId="0" applyFont="1"/>
    <xf numFmtId="0" fontId="48" fillId="0" borderId="0" xfId="0" applyFont="1"/>
    <xf numFmtId="0" fontId="12" fillId="28" borderId="19" xfId="0" applyFont="1" applyFill="1" applyBorder="1" applyAlignment="1">
      <alignment horizontal="center" vertical="center" wrapText="1"/>
    </xf>
    <xf numFmtId="0" fontId="12" fillId="28" borderId="39" xfId="0" applyFont="1" applyFill="1" applyBorder="1" applyAlignment="1">
      <alignment horizontal="center" vertical="center" wrapText="1"/>
    </xf>
    <xf numFmtId="0" fontId="12" fillId="28" borderId="23" xfId="0"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8" borderId="4" xfId="0" applyFont="1" applyFill="1" applyBorder="1" applyAlignment="1">
      <alignment wrapText="1"/>
    </xf>
    <xf numFmtId="0" fontId="12" fillId="28" borderId="59" xfId="0" applyFont="1" applyFill="1" applyBorder="1" applyAlignment="1">
      <alignment wrapText="1"/>
    </xf>
    <xf numFmtId="0" fontId="43" fillId="29" borderId="0" xfId="0" applyFont="1" applyFill="1"/>
    <xf numFmtId="0" fontId="12" fillId="28" borderId="2" xfId="0" applyFont="1" applyFill="1" applyBorder="1" applyAlignment="1">
      <alignment wrapText="1"/>
    </xf>
    <xf numFmtId="0" fontId="12" fillId="28" borderId="24" xfId="0" applyFont="1" applyFill="1" applyBorder="1" applyAlignment="1">
      <alignment wrapText="1"/>
    </xf>
    <xf numFmtId="0" fontId="3" fillId="28" borderId="24" xfId="0" applyFont="1" applyFill="1" applyBorder="1" applyAlignment="1">
      <alignment wrapText="1"/>
    </xf>
    <xf numFmtId="0" fontId="3" fillId="28" borderId="25" xfId="0" applyFont="1" applyFill="1" applyBorder="1" applyAlignment="1">
      <alignment wrapText="1"/>
    </xf>
    <xf numFmtId="0" fontId="43" fillId="0" borderId="4" xfId="0" applyFont="1" applyBorder="1"/>
    <xf numFmtId="0" fontId="43" fillId="0" borderId="5" xfId="0" applyFont="1" applyBorder="1"/>
    <xf numFmtId="0" fontId="43" fillId="29" borderId="5" xfId="0" applyFont="1" applyFill="1" applyBorder="1"/>
    <xf numFmtId="0" fontId="43" fillId="30" borderId="5" xfId="0" applyFont="1" applyFill="1" applyBorder="1"/>
    <xf numFmtId="0" fontId="42" fillId="31" borderId="5" xfId="0" applyFont="1" applyFill="1" applyBorder="1"/>
    <xf numFmtId="0" fontId="42" fillId="0" borderId="5" xfId="0" applyFont="1" applyBorder="1"/>
    <xf numFmtId="0" fontId="42" fillId="0" borderId="25" xfId="0" applyFont="1" applyBorder="1"/>
    <xf numFmtId="0" fontId="42" fillId="0" borderId="5" xfId="0" applyFont="1" applyBorder="1" applyAlignment="1">
      <alignment wrapText="1"/>
    </xf>
    <xf numFmtId="0" fontId="43" fillId="0" borderId="25" xfId="0" applyFont="1" applyBorder="1"/>
    <xf numFmtId="0" fontId="43" fillId="29" borderId="25" xfId="0" applyFont="1" applyFill="1" applyBorder="1"/>
    <xf numFmtId="0" fontId="43" fillId="30" borderId="25" xfId="0" applyFont="1" applyFill="1" applyBorder="1"/>
    <xf numFmtId="0" fontId="42" fillId="31" borderId="25" xfId="0" applyFont="1" applyFill="1" applyBorder="1"/>
    <xf numFmtId="0" fontId="42" fillId="31" borderId="4" xfId="0" applyFont="1" applyFill="1" applyBorder="1"/>
    <xf numFmtId="0" fontId="42" fillId="30" borderId="25" xfId="0" applyFont="1" applyFill="1" applyBorder="1"/>
    <xf numFmtId="0" fontId="12" fillId="28" borderId="1" xfId="0" applyFont="1" applyFill="1" applyBorder="1" applyAlignment="1">
      <alignment wrapText="1"/>
    </xf>
    <xf numFmtId="0" fontId="49" fillId="0" borderId="39" xfId="0" applyFont="1" applyBorder="1"/>
    <xf numFmtId="173" fontId="27" fillId="0" borderId="96" xfId="10" applyNumberFormat="1" applyFont="1" applyBorder="1" applyAlignment="1">
      <alignment vertical="center"/>
    </xf>
    <xf numFmtId="173" fontId="27" fillId="0" borderId="18" xfId="10" applyNumberFormat="1" applyFont="1" applyBorder="1" applyAlignment="1">
      <alignment vertical="center"/>
    </xf>
    <xf numFmtId="173" fontId="27" fillId="0" borderId="10" xfId="10" applyNumberFormat="1" applyFont="1" applyBorder="1" applyAlignment="1">
      <alignment vertical="center"/>
    </xf>
    <xf numFmtId="0" fontId="49" fillId="0" borderId="1" xfId="0" applyFont="1" applyBorder="1"/>
    <xf numFmtId="173" fontId="27" fillId="0" borderId="80" xfId="10" applyNumberFormat="1" applyFont="1" applyBorder="1" applyAlignment="1">
      <alignment vertical="center"/>
    </xf>
    <xf numFmtId="173" fontId="27" fillId="0" borderId="58" xfId="10" applyNumberFormat="1" applyFont="1" applyBorder="1" applyAlignment="1">
      <alignment vertical="center"/>
    </xf>
    <xf numFmtId="173" fontId="27" fillId="0" borderId="5" xfId="10" applyNumberFormat="1" applyFont="1" applyBorder="1" applyAlignment="1">
      <alignment vertical="center"/>
    </xf>
    <xf numFmtId="173" fontId="27" fillId="0" borderId="97" xfId="10" applyNumberFormat="1" applyFont="1" applyBorder="1" applyAlignment="1">
      <alignment vertical="center"/>
    </xf>
    <xf numFmtId="173" fontId="27" fillId="0" borderId="6" xfId="10" applyNumberFormat="1" applyFont="1" applyBorder="1" applyAlignment="1">
      <alignment vertical="center"/>
    </xf>
    <xf numFmtId="173" fontId="27" fillId="0" borderId="35" xfId="10" applyNumberFormat="1" applyFont="1" applyBorder="1" applyAlignment="1">
      <alignment vertical="center"/>
    </xf>
    <xf numFmtId="173" fontId="27" fillId="0" borderId="98" xfId="10" applyNumberFormat="1" applyFont="1" applyBorder="1" applyAlignment="1">
      <alignment vertical="center"/>
    </xf>
    <xf numFmtId="173" fontId="27" fillId="0" borderId="99" xfId="10" applyNumberFormat="1" applyFont="1" applyBorder="1" applyAlignment="1">
      <alignment vertical="center"/>
    </xf>
    <xf numFmtId="173" fontId="27" fillId="0" borderId="100" xfId="10" applyNumberFormat="1" applyFont="1" applyBorder="1" applyAlignment="1">
      <alignment vertical="center"/>
    </xf>
    <xf numFmtId="173" fontId="27" fillId="0" borderId="103" xfId="10" applyNumberFormat="1" applyFont="1" applyBorder="1" applyAlignment="1">
      <alignment vertical="center"/>
    </xf>
    <xf numFmtId="173" fontId="27" fillId="0" borderId="104" xfId="10" applyNumberFormat="1" applyFont="1" applyBorder="1" applyAlignment="1">
      <alignment vertical="center"/>
    </xf>
    <xf numFmtId="173" fontId="27" fillId="0" borderId="39" xfId="10" applyNumberFormat="1" applyFont="1" applyBorder="1" applyAlignment="1">
      <alignment vertical="center"/>
    </xf>
    <xf numFmtId="173" fontId="27" fillId="0" borderId="25" xfId="10" applyNumberFormat="1" applyFont="1" applyBorder="1" applyAlignment="1">
      <alignment vertical="center"/>
    </xf>
    <xf numFmtId="173" fontId="27" fillId="0" borderId="81" xfId="10" applyNumberFormat="1" applyFont="1" applyBorder="1" applyAlignment="1">
      <alignment vertical="center"/>
    </xf>
    <xf numFmtId="9" fontId="27" fillId="0" borderId="31" xfId="10" applyNumberFormat="1" applyFont="1" applyBorder="1" applyAlignment="1">
      <alignment vertical="center"/>
    </xf>
    <xf numFmtId="174" fontId="12" fillId="0" borderId="34" xfId="22" applyNumberFormat="1" applyFont="1" applyBorder="1" applyAlignment="1">
      <alignment horizontal="center" vertical="center" wrapText="1"/>
    </xf>
    <xf numFmtId="174" fontId="12" fillId="0" borderId="9" xfId="22" applyNumberFormat="1" applyFont="1" applyBorder="1" applyAlignment="1">
      <alignment horizontal="center" vertical="center" wrapText="1"/>
    </xf>
    <xf numFmtId="10" fontId="11" fillId="28" borderId="42" xfId="0" applyNumberFormat="1" applyFont="1" applyFill="1" applyBorder="1" applyAlignment="1">
      <alignment horizontal="center" vertical="center" wrapText="1"/>
    </xf>
    <xf numFmtId="174" fontId="12" fillId="0" borderId="33" xfId="22" applyNumberFormat="1" applyFont="1" applyBorder="1" applyAlignment="1">
      <alignment horizontal="center" vertical="center" wrapText="1"/>
    </xf>
    <xf numFmtId="10" fontId="12" fillId="0" borderId="41" xfId="22" applyNumberFormat="1" applyFont="1" applyBorder="1" applyAlignment="1">
      <alignment horizontal="center" vertical="center" wrapText="1"/>
    </xf>
    <xf numFmtId="9" fontId="0" fillId="0" borderId="0" xfId="0" applyNumberFormat="1" applyAlignment="1">
      <alignment vertical="center"/>
    </xf>
    <xf numFmtId="174" fontId="0" fillId="0" borderId="0" xfId="0" applyNumberFormat="1" applyAlignment="1">
      <alignment vertical="center"/>
    </xf>
    <xf numFmtId="0" fontId="43" fillId="19" borderId="5" xfId="0" applyFont="1" applyFill="1" applyBorder="1"/>
    <xf numFmtId="0" fontId="43" fillId="19" borderId="25" xfId="0" applyFont="1" applyFill="1" applyBorder="1"/>
    <xf numFmtId="174" fontId="11" fillId="19" borderId="25" xfId="29" applyNumberFormat="1" applyFont="1" applyFill="1" applyBorder="1" applyAlignment="1" applyProtection="1">
      <alignment horizontal="center" vertical="center" wrapText="1"/>
      <protection locked="0"/>
    </xf>
    <xf numFmtId="174" fontId="11" fillId="19" borderId="4" xfId="29" applyNumberFormat="1" applyFont="1" applyFill="1" applyBorder="1" applyAlignment="1" applyProtection="1">
      <alignment horizontal="center" vertical="center" wrapText="1"/>
      <protection locked="0"/>
    </xf>
    <xf numFmtId="174" fontId="12" fillId="28" borderId="39" xfId="0" applyNumberFormat="1" applyFont="1" applyFill="1" applyBorder="1" applyAlignment="1">
      <alignment horizontal="center" vertical="center" wrapText="1"/>
    </xf>
    <xf numFmtId="174" fontId="11" fillId="28" borderId="39" xfId="0" applyNumberFormat="1" applyFont="1" applyFill="1" applyBorder="1" applyAlignment="1">
      <alignment horizontal="center" vertical="center" wrapText="1"/>
    </xf>
    <xf numFmtId="174" fontId="11" fillId="28" borderId="41" xfId="0" applyNumberFormat="1" applyFont="1" applyFill="1" applyBorder="1" applyAlignment="1">
      <alignment horizontal="center" vertical="center" wrapText="1"/>
    </xf>
    <xf numFmtId="9" fontId="41" fillId="9" borderId="1" xfId="28" applyFont="1" applyFill="1" applyBorder="1" applyAlignment="1">
      <alignment vertical="center" wrapText="1"/>
    </xf>
    <xf numFmtId="9" fontId="39" fillId="0" borderId="0" xfId="0" applyNumberFormat="1" applyFont="1" applyAlignment="1">
      <alignment vertical="center"/>
    </xf>
    <xf numFmtId="3" fontId="49" fillId="0" borderId="0" xfId="0" applyNumberFormat="1" applyFont="1"/>
    <xf numFmtId="0" fontId="12" fillId="0" borderId="61" xfId="22" applyFont="1" applyBorder="1" applyAlignment="1">
      <alignment horizontal="center" vertical="center" wrapText="1"/>
    </xf>
    <xf numFmtId="0" fontId="12" fillId="20" borderId="23" xfId="22" applyFont="1" applyFill="1" applyBorder="1" applyAlignment="1">
      <alignment horizontal="center" vertical="center" wrapText="1"/>
    </xf>
    <xf numFmtId="0" fontId="12" fillId="0" borderId="52" xfId="22" applyFont="1" applyBorder="1" applyAlignment="1">
      <alignment horizontal="left" vertical="center" wrapText="1"/>
    </xf>
    <xf numFmtId="0" fontId="12" fillId="0" borderId="112" xfId="22" applyFont="1" applyBorder="1" applyAlignment="1">
      <alignment horizontal="center" vertical="center" wrapText="1"/>
    </xf>
    <xf numFmtId="0" fontId="43" fillId="28" borderId="19" xfId="0" applyFont="1" applyFill="1" applyBorder="1" applyAlignment="1">
      <alignment horizontal="center" vertical="center" wrapText="1"/>
    </xf>
    <xf numFmtId="0" fontId="43" fillId="28" borderId="39" xfId="0" applyFont="1" applyFill="1" applyBorder="1" applyAlignment="1">
      <alignment horizontal="center" vertical="center" wrapText="1"/>
    </xf>
    <xf numFmtId="174" fontId="12" fillId="9" borderId="21" xfId="28" applyNumberFormat="1" applyFont="1" applyFill="1" applyBorder="1" applyAlignment="1" applyProtection="1">
      <alignment vertical="center" wrapText="1"/>
    </xf>
    <xf numFmtId="186" fontId="12" fillId="9" borderId="21" xfId="28" applyNumberFormat="1" applyFont="1" applyFill="1" applyBorder="1" applyAlignment="1" applyProtection="1">
      <alignment horizontal="center" vertical="center" wrapText="1"/>
    </xf>
    <xf numFmtId="0" fontId="12" fillId="20" borderId="10" xfId="22" applyFont="1" applyFill="1" applyBorder="1" applyAlignment="1">
      <alignment horizontal="center" vertical="center" wrapText="1"/>
    </xf>
    <xf numFmtId="0" fontId="12" fillId="0" borderId="51" xfId="22" applyFont="1" applyBorder="1" applyAlignment="1">
      <alignment horizontal="left" vertical="center" wrapText="1"/>
    </xf>
    <xf numFmtId="9" fontId="11" fillId="0" borderId="52" xfId="29" applyFont="1" applyFill="1" applyBorder="1" applyAlignment="1" applyProtection="1">
      <alignment horizontal="center" vertical="center" wrapText="1"/>
      <protection locked="0"/>
    </xf>
    <xf numFmtId="9" fontId="12" fillId="0" borderId="47" xfId="22" applyNumberFormat="1" applyFont="1" applyBorder="1" applyAlignment="1">
      <alignment horizontal="center" vertical="center" wrapText="1"/>
    </xf>
    <xf numFmtId="9" fontId="39" fillId="19" borderId="52" xfId="29" applyFont="1" applyFill="1" applyBorder="1" applyAlignment="1" applyProtection="1">
      <alignment horizontal="center" vertical="center" wrapText="1"/>
      <protection locked="0"/>
    </xf>
    <xf numFmtId="9" fontId="11" fillId="19" borderId="52" xfId="29" applyFont="1" applyFill="1" applyBorder="1" applyAlignment="1" applyProtection="1">
      <alignment horizontal="center" vertical="center" wrapText="1"/>
      <protection locked="0"/>
    </xf>
    <xf numFmtId="174" fontId="12" fillId="0" borderId="53" xfId="22" applyNumberFormat="1" applyFont="1" applyBorder="1" applyAlignment="1">
      <alignment horizontal="center" vertical="center" wrapText="1"/>
    </xf>
    <xf numFmtId="10" fontId="12" fillId="0" borderId="9" xfId="22" applyNumberFormat="1" applyFont="1" applyBorder="1" applyAlignment="1">
      <alignment horizontal="center" vertical="center" wrapText="1"/>
    </xf>
    <xf numFmtId="0" fontId="12" fillId="28" borderId="22" xfId="0" applyFont="1" applyFill="1" applyBorder="1" applyAlignment="1">
      <alignment horizontal="center" vertical="center" wrapText="1"/>
    </xf>
    <xf numFmtId="173" fontId="27" fillId="0" borderId="4" xfId="10" applyNumberFormat="1" applyFont="1" applyFill="1" applyBorder="1" applyAlignment="1">
      <alignment vertical="center"/>
    </xf>
    <xf numFmtId="0" fontId="12" fillId="28" borderId="65" xfId="0" applyFont="1" applyFill="1" applyBorder="1" applyAlignment="1">
      <alignment horizontal="center" vertical="center" wrapText="1"/>
    </xf>
    <xf numFmtId="0" fontId="12" fillId="20" borderId="114" xfId="22" applyFont="1" applyFill="1" applyBorder="1" applyAlignment="1">
      <alignment horizontal="center" vertical="center" wrapText="1"/>
    </xf>
    <xf numFmtId="4" fontId="12" fillId="0" borderId="51" xfId="28" applyNumberFormat="1" applyFont="1" applyFill="1" applyBorder="1" applyAlignment="1" applyProtection="1">
      <alignment horizontal="center" vertical="center" wrapText="1"/>
    </xf>
    <xf numFmtId="4" fontId="12" fillId="0" borderId="52" xfId="28" applyNumberFormat="1" applyFont="1" applyFill="1" applyBorder="1" applyAlignment="1" applyProtection="1">
      <alignment horizontal="center" vertical="center" wrapText="1"/>
    </xf>
    <xf numFmtId="4" fontId="12" fillId="0" borderId="53" xfId="28" applyNumberFormat="1" applyFont="1" applyFill="1" applyBorder="1" applyAlignment="1" applyProtection="1">
      <alignment horizontal="center" vertical="center" wrapText="1"/>
    </xf>
    <xf numFmtId="0" fontId="12" fillId="28" borderId="33" xfId="0" applyFont="1" applyFill="1" applyBorder="1" applyAlignment="1">
      <alignment horizontal="center" vertical="center" wrapText="1"/>
    </xf>
    <xf numFmtId="182" fontId="12" fillId="0" borderId="52" xfId="0" applyNumberFormat="1" applyFont="1" applyBorder="1" applyAlignment="1">
      <alignment horizontal="center" vertical="center" wrapText="1"/>
    </xf>
    <xf numFmtId="2" fontId="12" fillId="0" borderId="53" xfId="0" applyNumberFormat="1" applyFont="1" applyBorder="1" applyAlignment="1">
      <alignment horizontal="center" vertical="center" wrapText="1"/>
    </xf>
    <xf numFmtId="182" fontId="12" fillId="28" borderId="19" xfId="0" applyNumberFormat="1" applyFont="1" applyFill="1" applyBorder="1" applyAlignment="1">
      <alignment horizontal="center" vertical="center" wrapText="1"/>
    </xf>
    <xf numFmtId="2" fontId="12" fillId="28" borderId="33" xfId="0" applyNumberFormat="1" applyFont="1" applyFill="1" applyBorder="1" applyAlignment="1">
      <alignment horizontal="center" vertical="center" wrapText="1"/>
    </xf>
    <xf numFmtId="0" fontId="12" fillId="0" borderId="52" xfId="0" applyFont="1" applyBorder="1" applyAlignment="1">
      <alignment horizontal="center" vertical="center" wrapText="1"/>
    </xf>
    <xf numFmtId="3" fontId="12" fillId="0" borderId="51" xfId="28" applyNumberFormat="1" applyFont="1" applyFill="1" applyBorder="1" applyAlignment="1" applyProtection="1">
      <alignment horizontal="center" vertical="center" wrapText="1"/>
    </xf>
    <xf numFmtId="3" fontId="12" fillId="0" borderId="52" xfId="28" applyNumberFormat="1" applyFont="1" applyFill="1" applyBorder="1" applyAlignment="1" applyProtection="1">
      <alignment horizontal="center" vertical="center" wrapText="1"/>
    </xf>
    <xf numFmtId="3" fontId="12" fillId="0" borderId="53" xfId="28" applyNumberFormat="1" applyFont="1" applyFill="1" applyBorder="1" applyAlignment="1" applyProtection="1">
      <alignment horizontal="center" vertical="center" wrapText="1"/>
    </xf>
    <xf numFmtId="3" fontId="12" fillId="28" borderId="39" xfId="0" applyNumberFormat="1" applyFont="1" applyFill="1" applyBorder="1" applyAlignment="1">
      <alignment horizontal="center" vertical="center" wrapText="1"/>
    </xf>
    <xf numFmtId="168" fontId="12" fillId="0" borderId="0" xfId="11" applyFont="1" applyAlignment="1">
      <alignment vertical="center" wrapText="1"/>
    </xf>
    <xf numFmtId="0" fontId="11" fillId="0" borderId="5" xfId="0" applyFont="1" applyBorder="1"/>
    <xf numFmtId="0" fontId="12" fillId="0" borderId="25" xfId="0" applyFont="1" applyBorder="1"/>
    <xf numFmtId="0" fontId="11" fillId="0" borderId="25" xfId="0" applyFont="1" applyBorder="1"/>
    <xf numFmtId="0" fontId="43" fillId="0" borderId="0" xfId="0" applyFont="1" applyAlignment="1">
      <alignment horizontal="center" vertical="center"/>
    </xf>
    <xf numFmtId="177" fontId="11" fillId="0" borderId="80" xfId="25" applyNumberFormat="1" applyFont="1" applyBorder="1" applyAlignment="1">
      <alignment vertical="top" wrapText="1"/>
    </xf>
    <xf numFmtId="0" fontId="11" fillId="0" borderId="80" xfId="25" applyFont="1" applyBorder="1" applyAlignment="1">
      <alignment vertical="top" wrapText="1"/>
    </xf>
    <xf numFmtId="0" fontId="11" fillId="0" borderId="81" xfId="25" applyFont="1" applyBorder="1" applyAlignment="1">
      <alignment vertical="top" wrapText="1"/>
    </xf>
    <xf numFmtId="178" fontId="11" fillId="0" borderId="80" xfId="25" applyNumberFormat="1" applyFont="1" applyBorder="1" applyAlignment="1">
      <alignment horizontal="center" vertical="center" wrapText="1"/>
    </xf>
    <xf numFmtId="179" fontId="11" fillId="0" borderId="80" xfId="25" applyNumberFormat="1" applyFont="1" applyBorder="1" applyAlignment="1">
      <alignment vertical="top" wrapText="1"/>
    </xf>
    <xf numFmtId="0" fontId="11" fillId="0" borderId="1" xfId="25" applyFont="1" applyBorder="1" applyAlignment="1">
      <alignment vertical="top" wrapText="1"/>
    </xf>
    <xf numFmtId="3" fontId="11" fillId="0" borderId="1" xfId="25" applyNumberFormat="1" applyFont="1" applyBorder="1" applyAlignment="1">
      <alignment vertical="center" wrapText="1"/>
    </xf>
    <xf numFmtId="3" fontId="11" fillId="0" borderId="81" xfId="25" applyNumberFormat="1" applyFont="1" applyBorder="1" applyAlignment="1">
      <alignment vertical="center" wrapText="1"/>
    </xf>
    <xf numFmtId="3" fontId="11" fillId="0" borderId="84" xfId="25" applyNumberFormat="1" applyFont="1" applyBorder="1" applyAlignment="1">
      <alignment vertical="center" wrapText="1"/>
    </xf>
    <xf numFmtId="0" fontId="43" fillId="0" borderId="5" xfId="0" applyFont="1" applyBorder="1" applyAlignment="1">
      <alignment horizontal="center" vertical="center"/>
    </xf>
    <xf numFmtId="0" fontId="11" fillId="0" borderId="5" xfId="0" applyFont="1" applyBorder="1" applyAlignment="1">
      <alignment horizontal="center" vertical="center" wrapText="1"/>
    </xf>
    <xf numFmtId="9" fontId="39" fillId="0" borderId="1" xfId="28" applyFont="1" applyFill="1" applyBorder="1" applyAlignment="1">
      <alignment horizontal="center" vertical="center"/>
    </xf>
    <xf numFmtId="179" fontId="11" fillId="0" borderId="80" xfId="25" applyNumberFormat="1" applyFont="1" applyBorder="1" applyAlignment="1">
      <alignment horizontal="center" vertical="center" wrapText="1"/>
    </xf>
    <xf numFmtId="179" fontId="11" fillId="0" borderId="81" xfId="25" applyNumberFormat="1" applyFont="1" applyBorder="1" applyAlignment="1">
      <alignment horizontal="center" vertical="center" wrapText="1"/>
    </xf>
    <xf numFmtId="179" fontId="11" fillId="0" borderId="82" xfId="25" applyNumberFormat="1" applyFont="1" applyBorder="1" applyAlignment="1">
      <alignment vertical="top" wrapText="1"/>
    </xf>
    <xf numFmtId="181" fontId="11" fillId="0" borderId="1" xfId="25" applyNumberFormat="1" applyFont="1" applyBorder="1" applyAlignment="1">
      <alignment vertical="center" wrapText="1"/>
    </xf>
    <xf numFmtId="0" fontId="43" fillId="0" borderId="25" xfId="0" applyFont="1" applyBorder="1" applyAlignment="1">
      <alignment horizontal="center" vertical="center"/>
    </xf>
    <xf numFmtId="0" fontId="11" fillId="0" borderId="25" xfId="0" applyFont="1" applyBorder="1" applyAlignment="1">
      <alignment horizontal="center" vertical="center" wrapText="1"/>
    </xf>
    <xf numFmtId="178" fontId="11" fillId="0" borderId="82" xfId="25" applyNumberFormat="1" applyFont="1" applyBorder="1" applyAlignment="1">
      <alignment horizontal="center" vertical="center" wrapText="1"/>
    </xf>
    <xf numFmtId="178" fontId="11" fillId="0" borderId="1" xfId="25" applyNumberFormat="1" applyFont="1" applyBorder="1" applyAlignment="1">
      <alignment horizontal="center" vertical="center" wrapText="1"/>
    </xf>
    <xf numFmtId="178" fontId="11" fillId="0" borderId="86" xfId="25" applyNumberFormat="1" applyFont="1" applyBorder="1" applyAlignment="1">
      <alignment horizontal="center" vertical="center" wrapText="1"/>
    </xf>
    <xf numFmtId="0" fontId="11" fillId="0" borderId="87" xfId="25" applyFont="1" applyBorder="1" applyAlignment="1">
      <alignment vertical="top" wrapText="1"/>
    </xf>
    <xf numFmtId="4" fontId="11" fillId="0" borderId="4" xfId="25" applyNumberFormat="1" applyFont="1" applyBorder="1" applyAlignment="1">
      <alignment vertical="center" wrapText="1"/>
    </xf>
    <xf numFmtId="185" fontId="11" fillId="0" borderId="4" xfId="25" applyNumberFormat="1" applyFont="1" applyBorder="1" applyAlignment="1">
      <alignment vertical="center" wrapText="1"/>
    </xf>
    <xf numFmtId="182" fontId="43" fillId="0" borderId="25" xfId="0" applyNumberFormat="1" applyFont="1" applyBorder="1" applyAlignment="1">
      <alignment horizontal="center" vertical="center"/>
    </xf>
    <xf numFmtId="3" fontId="11" fillId="0" borderId="80" xfId="25" applyNumberFormat="1" applyFont="1" applyBorder="1" applyAlignment="1">
      <alignment vertical="top" wrapText="1"/>
    </xf>
    <xf numFmtId="177" fontId="11" fillId="0" borderId="80" xfId="25" applyNumberFormat="1" applyFont="1" applyBorder="1" applyAlignment="1">
      <alignment horizontal="center" vertical="center" wrapText="1"/>
    </xf>
    <xf numFmtId="177" fontId="11" fillId="0" borderId="83" xfId="25" applyNumberFormat="1" applyFont="1" applyBorder="1" applyAlignment="1">
      <alignment horizontal="center" vertical="center" wrapText="1"/>
    </xf>
    <xf numFmtId="0" fontId="11" fillId="0" borderId="82" xfId="25" applyFont="1" applyBorder="1" applyAlignment="1">
      <alignment vertical="top" wrapText="1"/>
    </xf>
    <xf numFmtId="1" fontId="43" fillId="0" borderId="25" xfId="0" applyNumberFormat="1" applyFont="1" applyBorder="1" applyAlignment="1">
      <alignment horizontal="center" vertical="center"/>
    </xf>
    <xf numFmtId="0" fontId="11" fillId="0" borderId="0" xfId="25" applyFont="1" applyAlignment="1">
      <alignment vertical="top" wrapText="1"/>
    </xf>
    <xf numFmtId="0" fontId="11" fillId="0" borderId="85" xfId="25" applyFont="1" applyBorder="1" applyAlignment="1">
      <alignment vertical="top" wrapText="1"/>
    </xf>
    <xf numFmtId="180" fontId="11" fillId="0" borderId="81" xfId="25" applyNumberFormat="1" applyFont="1" applyBorder="1" applyAlignment="1">
      <alignment vertical="top" wrapText="1"/>
    </xf>
    <xf numFmtId="0" fontId="11" fillId="0" borderId="81" xfId="25" applyFont="1" applyBorder="1" applyAlignment="1">
      <alignment horizontal="center" vertical="center" wrapText="1"/>
    </xf>
    <xf numFmtId="0" fontId="11" fillId="0" borderId="84" xfId="25" applyFont="1" applyBorder="1" applyAlignment="1">
      <alignment vertical="top" wrapText="1"/>
    </xf>
    <xf numFmtId="0" fontId="39" fillId="0" borderId="10" xfId="0" applyFont="1" applyBorder="1" applyAlignment="1">
      <alignment vertical="center"/>
    </xf>
    <xf numFmtId="0" fontId="43" fillId="0" borderId="24" xfId="0" applyFont="1" applyBorder="1" applyAlignment="1">
      <alignment horizontal="center" vertical="center"/>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0" fontId="11" fillId="0" borderId="1" xfId="25" applyFont="1" applyBorder="1" applyAlignment="1">
      <alignment horizontal="center" vertical="center" wrapText="1"/>
    </xf>
    <xf numFmtId="9" fontId="11" fillId="0" borderId="1" xfId="25" applyNumberFormat="1" applyFont="1" applyBorder="1" applyAlignment="1">
      <alignment horizontal="center" vertical="center" wrapText="1"/>
    </xf>
    <xf numFmtId="9" fontId="39" fillId="0" borderId="1" xfId="0" applyNumberFormat="1" applyFont="1" applyBorder="1" applyAlignment="1">
      <alignment vertical="center"/>
    </xf>
    <xf numFmtId="9" fontId="43" fillId="0" borderId="5" xfId="0" applyNumberFormat="1" applyFont="1" applyBorder="1" applyAlignment="1">
      <alignment horizontal="center" vertical="center"/>
    </xf>
    <xf numFmtId="9" fontId="43" fillId="0" borderId="25" xfId="0" applyNumberFormat="1" applyFont="1" applyBorder="1" applyAlignment="1">
      <alignment horizontal="center" vertical="center"/>
    </xf>
    <xf numFmtId="10" fontId="11" fillId="0" borderId="59" xfId="0" applyNumberFormat="1" applyFont="1" applyBorder="1" applyAlignment="1">
      <alignment horizontal="center" vertical="center"/>
    </xf>
    <xf numFmtId="174" fontId="39" fillId="0" borderId="1" xfId="28" applyNumberFormat="1" applyFont="1" applyFill="1" applyBorder="1" applyAlignment="1">
      <alignment horizontal="center" vertical="center"/>
    </xf>
    <xf numFmtId="0" fontId="42" fillId="19" borderId="25" xfId="0" applyFont="1" applyFill="1" applyBorder="1"/>
    <xf numFmtId="9" fontId="43" fillId="29" borderId="51" xfId="0" applyNumberFormat="1" applyFont="1" applyFill="1" applyBorder="1" applyAlignment="1">
      <alignment horizontal="center" vertical="center" wrapText="1"/>
    </xf>
    <xf numFmtId="9" fontId="11" fillId="27" borderId="25" xfId="0" applyNumberFormat="1" applyFont="1" applyFill="1" applyBorder="1" applyAlignment="1">
      <alignment horizontal="center" vertical="center" wrapText="1"/>
    </xf>
    <xf numFmtId="9" fontId="11" fillId="28" borderId="41" xfId="0" applyNumberFormat="1" applyFont="1" applyFill="1" applyBorder="1" applyAlignment="1">
      <alignment horizontal="center" vertical="center" wrapText="1"/>
    </xf>
    <xf numFmtId="9" fontId="11" fillId="32" borderId="5" xfId="0" applyNumberFormat="1" applyFont="1" applyFill="1" applyBorder="1" applyAlignment="1">
      <alignment horizontal="center" vertical="center" wrapText="1"/>
    </xf>
    <xf numFmtId="174" fontId="11" fillId="32" borderId="42" xfId="0" applyNumberFormat="1" applyFont="1" applyFill="1" applyBorder="1" applyAlignment="1">
      <alignment horizontal="center" vertical="center" wrapText="1"/>
    </xf>
    <xf numFmtId="0" fontId="43" fillId="32" borderId="39" xfId="0" applyFont="1" applyFill="1" applyBorder="1" applyAlignment="1">
      <alignment horizontal="center" vertical="center" wrapText="1"/>
    </xf>
    <xf numFmtId="9" fontId="11" fillId="32" borderId="21" xfId="28" applyFont="1" applyFill="1" applyBorder="1" applyAlignment="1" applyProtection="1">
      <alignment horizontal="center" vertical="center" wrapText="1"/>
      <protection locked="0"/>
    </xf>
    <xf numFmtId="9" fontId="11" fillId="32" borderId="42" xfId="0" applyNumberFormat="1" applyFont="1" applyFill="1" applyBorder="1" applyAlignment="1">
      <alignment horizontal="center" vertical="center" wrapText="1"/>
    </xf>
    <xf numFmtId="174" fontId="11" fillId="32" borderId="25" xfId="0" applyNumberFormat="1" applyFont="1" applyFill="1" applyBorder="1" applyAlignment="1">
      <alignment horizontal="center" vertical="center" wrapText="1"/>
    </xf>
    <xf numFmtId="174" fontId="11" fillId="32" borderId="41" xfId="0" applyNumberFormat="1" applyFont="1" applyFill="1" applyBorder="1" applyAlignment="1">
      <alignment horizontal="center" vertical="center" wrapText="1"/>
    </xf>
    <xf numFmtId="174" fontId="11" fillId="32" borderId="39" xfId="0" applyNumberFormat="1" applyFont="1" applyFill="1" applyBorder="1" applyAlignment="1">
      <alignment horizontal="center" vertical="center" wrapText="1"/>
    </xf>
    <xf numFmtId="0" fontId="43" fillId="32" borderId="25" xfId="0" applyFont="1" applyFill="1" applyBorder="1"/>
    <xf numFmtId="0" fontId="43" fillId="32" borderId="5" xfId="0" applyFont="1" applyFill="1" applyBorder="1"/>
    <xf numFmtId="9" fontId="11" fillId="32" borderId="25" xfId="0" applyNumberFormat="1" applyFont="1" applyFill="1" applyBorder="1" applyAlignment="1">
      <alignment horizontal="center" vertical="center" wrapText="1"/>
    </xf>
    <xf numFmtId="0" fontId="42" fillId="30" borderId="5" xfId="0" applyFont="1" applyFill="1" applyBorder="1"/>
    <xf numFmtId="0" fontId="50" fillId="32" borderId="1" xfId="0" applyFont="1" applyFill="1" applyBorder="1" applyAlignment="1">
      <alignment vertical="center" wrapText="1"/>
    </xf>
    <xf numFmtId="0" fontId="50" fillId="32" borderId="5" xfId="0" applyFont="1" applyFill="1" applyBorder="1" applyAlignment="1">
      <alignment vertical="center" wrapText="1"/>
    </xf>
    <xf numFmtId="0" fontId="43" fillId="32" borderId="5" xfId="0" applyFont="1" applyFill="1" applyBorder="1" applyAlignment="1">
      <alignment horizontal="center" vertical="center"/>
    </xf>
    <xf numFmtId="0" fontId="59" fillId="32" borderId="1" xfId="0" applyFont="1" applyFill="1" applyBorder="1" applyAlignment="1">
      <alignment vertical="center" wrapText="1"/>
    </xf>
    <xf numFmtId="0" fontId="43" fillId="32" borderId="25" xfId="0" applyFont="1" applyFill="1" applyBorder="1" applyAlignment="1">
      <alignment horizontal="center" vertical="center"/>
    </xf>
    <xf numFmtId="0" fontId="50" fillId="32" borderId="80" xfId="0" applyFont="1" applyFill="1" applyBorder="1" applyAlignment="1">
      <alignment vertical="center" wrapText="1"/>
    </xf>
    <xf numFmtId="0" fontId="50" fillId="32" borderId="5" xfId="0" applyFont="1" applyFill="1" applyBorder="1" applyAlignment="1">
      <alignment vertical="center"/>
    </xf>
    <xf numFmtId="9" fontId="11" fillId="32" borderId="1" xfId="28" applyFont="1" applyFill="1" applyBorder="1" applyAlignment="1" applyProtection="1">
      <alignment horizontal="center" vertical="center" wrapText="1"/>
      <protection locked="0"/>
    </xf>
    <xf numFmtId="9" fontId="11" fillId="32" borderId="2" xfId="28" applyFont="1" applyFill="1" applyBorder="1" applyAlignment="1" applyProtection="1">
      <alignment horizontal="center" vertical="center" wrapText="1"/>
      <protection locked="0"/>
    </xf>
    <xf numFmtId="9" fontId="11" fillId="32" borderId="40" xfId="0" applyNumberFormat="1" applyFont="1" applyFill="1" applyBorder="1" applyAlignment="1">
      <alignment horizontal="center" vertical="center" wrapText="1"/>
    </xf>
    <xf numFmtId="0" fontId="59" fillId="32" borderId="80" xfId="0" applyFont="1" applyFill="1" applyBorder="1" applyAlignment="1">
      <alignment vertical="center" wrapText="1"/>
    </xf>
    <xf numFmtId="0" fontId="59" fillId="32" borderId="86" xfId="0" applyFont="1" applyFill="1" applyBorder="1" applyAlignment="1">
      <alignment vertical="center" wrapText="1"/>
    </xf>
    <xf numFmtId="9" fontId="43" fillId="32" borderId="5" xfId="0" applyNumberFormat="1" applyFont="1" applyFill="1" applyBorder="1" applyAlignment="1">
      <alignment horizontal="center" vertical="center"/>
    </xf>
    <xf numFmtId="0" fontId="59" fillId="32" borderId="93" xfId="0" applyFont="1" applyFill="1" applyBorder="1" applyAlignment="1">
      <alignment vertical="center" wrapText="1"/>
    </xf>
    <xf numFmtId="0" fontId="50" fillId="32" borderId="93" xfId="0" applyFont="1" applyFill="1" applyBorder="1" applyAlignment="1">
      <alignment vertical="center" wrapText="1"/>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2" borderId="81" xfId="0" applyFont="1" applyFill="1" applyBorder="1" applyAlignment="1">
      <alignment horizontal="justify" vertical="center" wrapText="1"/>
    </xf>
    <xf numFmtId="0" fontId="11" fillId="0" borderId="83" xfId="0" applyFont="1" applyBorder="1" applyAlignment="1">
      <alignment horizontal="justify" vertical="center" wrapText="1"/>
    </xf>
    <xf numFmtId="0" fontId="24" fillId="22" borderId="81" xfId="0" applyFont="1" applyFill="1" applyBorder="1" applyAlignment="1">
      <alignment horizontal="center" vertical="center" wrapText="1"/>
    </xf>
    <xf numFmtId="0" fontId="11" fillId="0" borderId="83" xfId="0" applyFont="1" applyBorder="1" applyAlignment="1">
      <alignment vertical="center"/>
    </xf>
    <xf numFmtId="0" fontId="24" fillId="22" borderId="82" xfId="0" applyFont="1" applyFill="1" applyBorder="1" applyAlignment="1">
      <alignment horizontal="center" vertical="center" wrapText="1"/>
    </xf>
    <xf numFmtId="0" fontId="11" fillId="0" borderId="88" xfId="0" applyFont="1" applyBorder="1" applyAlignment="1">
      <alignment vertical="center"/>
    </xf>
    <xf numFmtId="0" fontId="11" fillId="0" borderId="86" xfId="0" applyFont="1" applyBorder="1" applyAlignment="1">
      <alignment vertical="center"/>
    </xf>
    <xf numFmtId="9" fontId="26" fillId="0" borderId="81" xfId="0" applyNumberFormat="1" applyFont="1" applyBorder="1" applyAlignment="1">
      <alignment horizontal="justify" vertical="center" wrapText="1"/>
    </xf>
    <xf numFmtId="9" fontId="26" fillId="0" borderId="83" xfId="0" applyNumberFormat="1" applyFont="1" applyBorder="1" applyAlignment="1">
      <alignment horizontal="justify" vertical="center" wrapText="1"/>
    </xf>
    <xf numFmtId="9" fontId="25" fillId="0" borderId="81" xfId="0" applyNumberFormat="1" applyFont="1" applyBorder="1" applyAlignment="1">
      <alignment horizontal="center" vertical="center" wrapText="1"/>
    </xf>
    <xf numFmtId="9" fontId="11" fillId="0" borderId="83" xfId="0" applyNumberFormat="1" applyFont="1" applyBorder="1" applyAlignment="1">
      <alignment vertical="center"/>
    </xf>
    <xf numFmtId="0" fontId="26" fillId="0" borderId="83" xfId="0" applyFont="1" applyBorder="1" applyAlignment="1">
      <alignment horizontal="justify" vertical="center" wrapText="1"/>
    </xf>
    <xf numFmtId="174" fontId="25" fillId="0" borderId="81" xfId="0" applyNumberFormat="1" applyFont="1" applyBorder="1" applyAlignment="1">
      <alignment horizontal="center" vertical="center" wrapText="1"/>
    </xf>
    <xf numFmtId="174" fontId="11" fillId="0" borderId="83" xfId="0" applyNumberFormat="1" applyFont="1" applyBorder="1" applyAlignment="1">
      <alignment vertical="center"/>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9" fontId="43" fillId="32" borderId="8" xfId="22" applyNumberFormat="1" applyFont="1" applyFill="1" applyBorder="1" applyAlignment="1">
      <alignment horizontal="left" vertical="center" wrapText="1"/>
    </xf>
    <xf numFmtId="9" fontId="43" fillId="32" borderId="1" xfId="22" applyNumberFormat="1" applyFont="1" applyFill="1" applyBorder="1" applyAlignment="1">
      <alignment horizontal="left" vertical="center" wrapText="1"/>
    </xf>
    <xf numFmtId="9" fontId="43" fillId="32" borderId="9" xfId="22" applyNumberFormat="1" applyFont="1" applyFill="1" applyBorder="1" applyAlignment="1">
      <alignment horizontal="left" vertical="center" wrapText="1"/>
    </xf>
    <xf numFmtId="9" fontId="43" fillId="32" borderId="31" xfId="22" applyNumberFormat="1" applyFont="1" applyFill="1" applyBorder="1" applyAlignment="1">
      <alignment horizontal="left" vertical="center" wrapText="1"/>
    </xf>
    <xf numFmtId="9" fontId="43" fillId="32" borderId="19" xfId="22" applyNumberFormat="1" applyFont="1" applyFill="1" applyBorder="1" applyAlignment="1">
      <alignment horizontal="left" vertical="center" wrapText="1"/>
    </xf>
    <xf numFmtId="9" fontId="43" fillId="32" borderId="33" xfId="22" applyNumberFormat="1" applyFont="1" applyFill="1" applyBorder="1" applyAlignment="1">
      <alignment horizontal="left" vertical="center" wrapText="1"/>
    </xf>
    <xf numFmtId="0" fontId="12" fillId="20" borderId="3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0" borderId="54"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65" xfId="22" applyFont="1" applyBorder="1" applyAlignment="1">
      <alignment horizontal="center" vertical="center" wrapText="1"/>
    </xf>
    <xf numFmtId="0" fontId="12" fillId="0" borderId="38" xfId="22" applyFont="1" applyBorder="1" applyAlignment="1">
      <alignment horizontal="center" vertical="center" wrapText="1"/>
    </xf>
    <xf numFmtId="2" fontId="11" fillId="0" borderId="46" xfId="22" applyNumberFormat="1" applyFont="1" applyBorder="1" applyAlignment="1">
      <alignment horizontal="justify" vertical="center" wrapText="1"/>
    </xf>
    <xf numFmtId="9" fontId="11" fillId="0" borderId="52" xfId="22" applyNumberFormat="1" applyFont="1" applyBorder="1" applyAlignment="1">
      <alignment horizontal="center" vertical="center" wrapText="1"/>
    </xf>
    <xf numFmtId="0" fontId="11" fillId="0" borderId="1" xfId="22" applyFont="1" applyBorder="1" applyAlignment="1">
      <alignment horizontal="center" vertical="center" wrapText="1"/>
    </xf>
    <xf numFmtId="0" fontId="43" fillId="32" borderId="36" xfId="0" applyFont="1" applyFill="1" applyBorder="1" applyAlignment="1">
      <alignment vertical="center" wrapText="1"/>
    </xf>
    <xf numFmtId="0" fontId="43" fillId="32" borderId="11" xfId="0" applyFont="1" applyFill="1" applyBorder="1" applyAlignment="1">
      <alignment vertical="center" wrapText="1"/>
    </xf>
    <xf numFmtId="0" fontId="43" fillId="32" borderId="12" xfId="0" applyFont="1" applyFill="1" applyBorder="1" applyAlignment="1">
      <alignment vertical="center" wrapText="1"/>
    </xf>
    <xf numFmtId="0" fontId="43" fillId="32" borderId="6" xfId="0" applyFont="1" applyFill="1" applyBorder="1" applyAlignment="1">
      <alignment vertical="center" wrapText="1"/>
    </xf>
    <xf numFmtId="0" fontId="43" fillId="32" borderId="3" xfId="0" applyFont="1" applyFill="1" applyBorder="1" applyAlignment="1">
      <alignment vertical="center" wrapText="1"/>
    </xf>
    <xf numFmtId="0" fontId="43" fillId="32" borderId="7" xfId="0" applyFont="1" applyFill="1" applyBorder="1" applyAlignment="1">
      <alignment vertical="center" wrapText="1"/>
    </xf>
    <xf numFmtId="0" fontId="12" fillId="0" borderId="8" xfId="22" applyFont="1" applyBorder="1" applyAlignment="1">
      <alignment horizontal="center" vertical="center" wrapText="1"/>
    </xf>
    <xf numFmtId="0" fontId="12" fillId="0" borderId="31" xfId="22" applyFont="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9" xfId="22" applyFont="1" applyBorder="1" applyAlignment="1">
      <alignment horizontal="center" vertical="center" wrapText="1"/>
    </xf>
    <xf numFmtId="0" fontId="43" fillId="32" borderId="58" xfId="0" applyFont="1" applyFill="1" applyBorder="1" applyAlignment="1">
      <alignment horizontal="left" vertical="center" wrapText="1"/>
    </xf>
    <xf numFmtId="0" fontId="43" fillId="32" borderId="22" xfId="0" applyFont="1" applyFill="1" applyBorder="1" applyAlignment="1">
      <alignment horizontal="left" vertical="center" wrapText="1"/>
    </xf>
    <xf numFmtId="0" fontId="43" fillId="32" borderId="105" xfId="0" applyFont="1" applyFill="1" applyBorder="1" applyAlignment="1">
      <alignment horizontal="left" vertical="center" wrapText="1"/>
    </xf>
    <xf numFmtId="0" fontId="43" fillId="32" borderId="106" xfId="0" applyFont="1" applyFill="1" applyBorder="1" applyAlignment="1">
      <alignment horizontal="left" vertical="center" wrapText="1"/>
    </xf>
    <xf numFmtId="0" fontId="43" fillId="32" borderId="107" xfId="0" applyFont="1" applyFill="1" applyBorder="1" applyAlignment="1">
      <alignment horizontal="left" vertical="center" wrapText="1"/>
    </xf>
    <xf numFmtId="0" fontId="43" fillId="32" borderId="109" xfId="0" applyFont="1" applyFill="1" applyBorder="1" applyAlignment="1">
      <alignment horizontal="left" vertical="center" wrapText="1"/>
    </xf>
    <xf numFmtId="0" fontId="43" fillId="32" borderId="89" xfId="0" applyFont="1" applyFill="1" applyBorder="1" applyAlignment="1">
      <alignment horizontal="left" vertical="center" wrapText="1"/>
    </xf>
    <xf numFmtId="0" fontId="43" fillId="32" borderId="108" xfId="0" applyFont="1" applyFill="1" applyBorder="1" applyAlignment="1">
      <alignment horizontal="left" vertical="center" wrapText="1"/>
    </xf>
    <xf numFmtId="0" fontId="50" fillId="32" borderId="22" xfId="0" applyFont="1" applyFill="1" applyBorder="1" applyAlignment="1">
      <alignment horizontal="left" vertical="center" wrapText="1"/>
    </xf>
    <xf numFmtId="0" fontId="50" fillId="32" borderId="89" xfId="0" applyFont="1" applyFill="1" applyBorder="1" applyAlignment="1">
      <alignment horizontal="left" vertical="center" wrapText="1"/>
    </xf>
    <xf numFmtId="0" fontId="50" fillId="32" borderId="107" xfId="0" applyFont="1" applyFill="1" applyBorder="1" applyAlignment="1">
      <alignment horizontal="left" vertical="center" wrapText="1"/>
    </xf>
    <xf numFmtId="0" fontId="50" fillId="32" borderId="108" xfId="0" applyFont="1" applyFill="1" applyBorder="1" applyAlignment="1">
      <alignment horizontal="left" vertical="center" wrapText="1"/>
    </xf>
    <xf numFmtId="3" fontId="12" fillId="0" borderId="58"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60"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2" xfId="22" applyFont="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53"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43"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43" xfId="22" applyFont="1" applyFill="1" applyBorder="1" applyAlignment="1">
      <alignment horizontal="left" vertical="center" wrapText="1"/>
    </xf>
    <xf numFmtId="0" fontId="12" fillId="20" borderId="45" xfId="22" applyFont="1" applyFill="1" applyBorder="1" applyAlignment="1">
      <alignment horizontal="left"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1" fontId="12" fillId="0" borderId="43"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0" fontId="12" fillId="20" borderId="44"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33" xfId="22" applyFont="1" applyBorder="1" applyAlignment="1">
      <alignment horizontal="center" vertical="center" wrapText="1"/>
    </xf>
    <xf numFmtId="0" fontId="46" fillId="0" borderId="39" xfId="0" applyFont="1" applyBorder="1" applyAlignment="1">
      <alignment horizontal="left" vertical="center" wrapText="1"/>
    </xf>
    <xf numFmtId="0" fontId="46" fillId="0" borderId="19" xfId="0" applyFont="1" applyBorder="1" applyAlignment="1">
      <alignment horizontal="left" vertical="center" wrapText="1"/>
    </xf>
    <xf numFmtId="0" fontId="46" fillId="0" borderId="33" xfId="0" applyFont="1" applyBorder="1" applyAlignment="1">
      <alignment horizontal="left" vertical="center" wrapText="1"/>
    </xf>
    <xf numFmtId="0" fontId="0" fillId="0" borderId="57" xfId="0" applyBorder="1" applyAlignment="1">
      <alignment horizontal="center" vertical="center"/>
    </xf>
    <xf numFmtId="0" fontId="0" fillId="0" borderId="38" xfId="0" applyBorder="1" applyAlignment="1">
      <alignment horizontal="center" vertical="center"/>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15" fillId="0" borderId="43" xfId="22" applyFont="1" applyBorder="1" applyAlignment="1">
      <alignment horizontal="center" vertical="center" wrapText="1"/>
    </xf>
    <xf numFmtId="0" fontId="15" fillId="0" borderId="44" xfId="22" applyFont="1" applyBorder="1" applyAlignment="1">
      <alignment horizontal="center" vertical="center" wrapText="1"/>
    </xf>
    <xf numFmtId="0" fontId="15" fillId="0" borderId="4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49" fillId="0" borderId="0" xfId="0" applyFont="1" applyAlignment="1">
      <alignment vertical="top" wrapText="1"/>
    </xf>
    <xf numFmtId="0" fontId="12" fillId="20" borderId="47" xfId="22" applyFont="1" applyFill="1" applyBorder="1" applyAlignment="1">
      <alignment horizontal="center" vertical="center" wrapText="1"/>
    </xf>
    <xf numFmtId="9" fontId="12" fillId="0" borderId="43" xfId="22" applyNumberFormat="1" applyFont="1" applyBorder="1" applyAlignment="1">
      <alignment horizontal="center" vertical="center" wrapText="1"/>
    </xf>
    <xf numFmtId="9" fontId="12" fillId="0" borderId="45" xfId="22" applyNumberFormat="1"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5" fillId="0" borderId="48"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wrapText="1"/>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8" fillId="0" borderId="56"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56" xfId="0" applyBorder="1" applyAlignment="1">
      <alignment horizontal="center" vertical="center"/>
    </xf>
    <xf numFmtId="0" fontId="0" fillId="0" borderId="26" xfId="0" applyBorder="1" applyAlignment="1">
      <alignment horizontal="center" vertical="center"/>
    </xf>
    <xf numFmtId="0" fontId="38" fillId="0" borderId="57" xfId="0" applyFont="1" applyBorder="1" applyAlignment="1">
      <alignment horizontal="center" vertical="center" wrapText="1"/>
    </xf>
    <xf numFmtId="0" fontId="38" fillId="0" borderId="38" xfId="0" applyFont="1" applyBorder="1" applyAlignment="1">
      <alignment horizontal="center" vertical="center" wrapText="1"/>
    </xf>
    <xf numFmtId="14" fontId="44" fillId="0" borderId="36" xfId="0" applyNumberFormat="1" applyFont="1" applyBorder="1" applyAlignment="1">
      <alignment horizontal="center" vertical="center"/>
    </xf>
    <xf numFmtId="0" fontId="12" fillId="20" borderId="101" xfId="22" applyFont="1" applyFill="1" applyBorder="1" applyAlignment="1">
      <alignment horizontal="center" vertical="center" wrapText="1"/>
    </xf>
    <xf numFmtId="0" fontId="12" fillId="20" borderId="102"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1" fillId="20" borderId="19"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9" fontId="43" fillId="32" borderId="52" xfId="30" applyFont="1" applyFill="1" applyBorder="1" applyAlignment="1" applyProtection="1">
      <alignment horizontal="left" vertical="center" wrapText="1"/>
    </xf>
    <xf numFmtId="9" fontId="43" fillId="32" borderId="19" xfId="30" applyFont="1" applyFill="1" applyBorder="1" applyAlignment="1" applyProtection="1">
      <alignment horizontal="left" vertical="center" wrapText="1"/>
    </xf>
    <xf numFmtId="9" fontId="43" fillId="32" borderId="112" xfId="30" applyFont="1" applyFill="1" applyBorder="1" applyAlignment="1" applyProtection="1">
      <alignment horizontal="center" vertical="center" wrapText="1"/>
    </xf>
    <xf numFmtId="9" fontId="43" fillId="32" borderId="11" xfId="30" applyFont="1" applyFill="1" applyBorder="1" applyAlignment="1" applyProtection="1">
      <alignment horizontal="center" vertical="center" wrapText="1"/>
    </xf>
    <xf numFmtId="9" fontId="43" fillId="32" borderId="41" xfId="30" applyFont="1" applyFill="1" applyBorder="1" applyAlignment="1" applyProtection="1">
      <alignment horizontal="center" vertical="center" wrapText="1"/>
    </xf>
    <xf numFmtId="9" fontId="43" fillId="32" borderId="15" xfId="30" applyFont="1" applyFill="1" applyBorder="1" applyAlignment="1" applyProtection="1">
      <alignment horizontal="center" vertical="center" wrapText="1"/>
    </xf>
    <xf numFmtId="0" fontId="12" fillId="20" borderId="6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65"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2" fontId="11" fillId="0" borderId="8" xfId="0" applyNumberFormat="1" applyFont="1" applyBorder="1" applyAlignment="1">
      <alignment horizontal="left" vertical="center" wrapText="1"/>
    </xf>
    <xf numFmtId="0" fontId="20" fillId="0" borderId="8" xfId="0" applyFont="1" applyBorder="1"/>
    <xf numFmtId="9" fontId="43" fillId="32" borderId="58" xfId="22" applyNumberFormat="1" applyFont="1" applyFill="1" applyBorder="1" applyAlignment="1">
      <alignment vertical="center" wrapText="1"/>
    </xf>
    <xf numFmtId="9" fontId="43" fillId="32" borderId="22" xfId="22" applyNumberFormat="1" applyFont="1" applyFill="1" applyBorder="1" applyAlignment="1">
      <alignment vertical="center" wrapText="1"/>
    </xf>
    <xf numFmtId="9" fontId="43" fillId="32" borderId="63" xfId="22" applyNumberFormat="1" applyFont="1" applyFill="1" applyBorder="1" applyAlignment="1">
      <alignment vertical="center" wrapText="1"/>
    </xf>
    <xf numFmtId="9" fontId="43" fillId="32" borderId="66" xfId="22" applyNumberFormat="1" applyFont="1" applyFill="1" applyBorder="1" applyAlignment="1">
      <alignment vertical="center" wrapText="1"/>
    </xf>
    <xf numFmtId="9" fontId="43" fillId="32" borderId="0" xfId="22" applyNumberFormat="1" applyFont="1" applyFill="1" applyAlignment="1">
      <alignment vertical="center" wrapText="1"/>
    </xf>
    <xf numFmtId="9" fontId="43" fillId="32" borderId="14" xfId="22" applyNumberFormat="1" applyFont="1" applyFill="1" applyBorder="1" applyAlignment="1">
      <alignment vertical="center" wrapText="1"/>
    </xf>
    <xf numFmtId="2" fontId="11" fillId="0" borderId="32" xfId="0" applyNumberFormat="1" applyFont="1" applyBorder="1" applyAlignment="1">
      <alignment horizontal="left" vertical="center" wrapText="1"/>
    </xf>
    <xf numFmtId="0" fontId="20" fillId="0" borderId="31" xfId="0" applyFont="1" applyBorder="1"/>
    <xf numFmtId="9" fontId="11" fillId="0" borderId="4" xfId="22" applyNumberFormat="1" applyFont="1" applyBorder="1" applyAlignment="1">
      <alignment horizontal="center" vertical="center" wrapText="1"/>
    </xf>
    <xf numFmtId="9" fontId="43" fillId="32" borderId="41" xfId="22" applyNumberFormat="1" applyFont="1" applyFill="1" applyBorder="1" applyAlignment="1">
      <alignment vertical="center" wrapText="1"/>
    </xf>
    <xf numFmtId="9" fontId="43" fillId="32" borderId="15" xfId="22" applyNumberFormat="1" applyFont="1" applyFill="1" applyBorder="1" applyAlignment="1">
      <alignment vertical="center" wrapText="1"/>
    </xf>
    <xf numFmtId="9" fontId="43" fillId="32" borderId="16" xfId="22" applyNumberFormat="1" applyFont="1" applyFill="1" applyBorder="1" applyAlignment="1">
      <alignment vertical="center" wrapText="1"/>
    </xf>
    <xf numFmtId="2" fontId="11" fillId="0" borderId="46" xfId="0" applyNumberFormat="1" applyFont="1" applyBorder="1" applyAlignment="1">
      <alignment horizontal="left" vertical="center" wrapText="1"/>
    </xf>
    <xf numFmtId="9" fontId="43" fillId="32" borderId="112" xfId="22" applyNumberFormat="1" applyFont="1" applyFill="1" applyBorder="1" applyAlignment="1">
      <alignment vertical="center" wrapText="1"/>
    </xf>
    <xf numFmtId="9" fontId="43" fillId="32" borderId="11" xfId="22" applyNumberFormat="1" applyFont="1" applyFill="1" applyBorder="1" applyAlignment="1">
      <alignment vertical="center" wrapText="1"/>
    </xf>
    <xf numFmtId="9" fontId="43" fillId="32" borderId="12" xfId="22" applyNumberFormat="1" applyFont="1" applyFill="1" applyBorder="1" applyAlignment="1">
      <alignment vertical="center" wrapText="1"/>
    </xf>
    <xf numFmtId="0" fontId="12" fillId="20" borderId="66"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61" xfId="22" applyNumberFormat="1" applyFont="1" applyBorder="1" applyAlignment="1">
      <alignment horizontal="center" vertical="center" wrapText="1"/>
    </xf>
    <xf numFmtId="0" fontId="12" fillId="0" borderId="40" xfId="22" applyFont="1" applyBorder="1" applyAlignment="1">
      <alignment horizontal="center" vertical="center" wrapText="1"/>
    </xf>
    <xf numFmtId="9" fontId="43" fillId="32" borderId="46" xfId="30" applyFont="1" applyFill="1" applyBorder="1" applyAlignment="1" applyProtection="1">
      <alignment horizontal="left" vertical="center" wrapText="1"/>
    </xf>
    <xf numFmtId="9" fontId="43" fillId="32" borderId="31" xfId="30" applyFont="1" applyFill="1" applyBorder="1" applyAlignment="1" applyProtection="1">
      <alignment horizontal="left" vertical="center" wrapText="1"/>
    </xf>
    <xf numFmtId="9" fontId="43" fillId="32" borderId="112" xfId="30" applyFont="1" applyFill="1" applyBorder="1" applyAlignment="1" applyProtection="1">
      <alignment horizontal="left" vertical="center" wrapText="1"/>
    </xf>
    <xf numFmtId="9" fontId="43" fillId="32" borderId="11" xfId="30" applyFont="1" applyFill="1" applyBorder="1" applyAlignment="1" applyProtection="1">
      <alignment horizontal="left" vertical="center" wrapText="1"/>
    </xf>
    <xf numFmtId="9" fontId="43" fillId="32" borderId="113" xfId="30" applyFont="1" applyFill="1" applyBorder="1" applyAlignment="1" applyProtection="1">
      <alignment horizontal="left" vertical="center" wrapText="1"/>
    </xf>
    <xf numFmtId="9" fontId="43" fillId="32" borderId="41" xfId="30" applyFont="1" applyFill="1" applyBorder="1" applyAlignment="1" applyProtection="1">
      <alignment horizontal="left" vertical="center" wrapText="1"/>
    </xf>
    <xf numFmtId="9" fontId="43" fillId="32" borderId="15" xfId="30" applyFont="1" applyFill="1" applyBorder="1" applyAlignment="1" applyProtection="1">
      <alignment horizontal="left" vertical="center" wrapText="1"/>
    </xf>
    <xf numFmtId="9" fontId="43" fillId="32" borderId="42" xfId="30" applyFont="1" applyFill="1" applyBorder="1" applyAlignment="1" applyProtection="1">
      <alignment horizontal="left" vertical="center" wrapText="1"/>
    </xf>
    <xf numFmtId="0" fontId="61" fillId="32" borderId="36" xfId="0" applyFont="1" applyFill="1" applyBorder="1" applyAlignment="1">
      <alignment horizontal="left" vertical="center" wrapText="1"/>
    </xf>
    <xf numFmtId="0" fontId="61" fillId="32" borderId="11" xfId="0" applyFont="1" applyFill="1" applyBorder="1" applyAlignment="1">
      <alignment horizontal="left" vertical="center" wrapText="1"/>
    </xf>
    <xf numFmtId="0" fontId="61" fillId="32" borderId="12" xfId="0" applyFont="1" applyFill="1" applyBorder="1" applyAlignment="1">
      <alignment horizontal="left" vertical="center" wrapText="1"/>
    </xf>
    <xf numFmtId="0" fontId="61" fillId="32" borderId="115" xfId="0" applyFont="1" applyFill="1" applyBorder="1" applyAlignment="1">
      <alignment horizontal="left" vertical="center" wrapText="1"/>
    </xf>
    <xf numFmtId="0" fontId="61" fillId="32" borderId="92" xfId="0" applyFont="1" applyFill="1" applyBorder="1" applyAlignment="1">
      <alignment horizontal="left" vertical="center" wrapText="1"/>
    </xf>
    <xf numFmtId="0" fontId="61" fillId="32" borderId="116" xfId="0" applyFont="1" applyFill="1" applyBorder="1" applyAlignment="1">
      <alignment horizontal="left" vertical="center" wrapText="1"/>
    </xf>
    <xf numFmtId="2" fontId="12" fillId="0" borderId="43" xfId="28" applyNumberFormat="1" applyFont="1" applyFill="1" applyBorder="1" applyAlignment="1" applyProtection="1">
      <alignment horizontal="center" vertical="center" wrapText="1"/>
    </xf>
    <xf numFmtId="2" fontId="12" fillId="0" borderId="45" xfId="28" applyNumberFormat="1" applyFont="1" applyFill="1" applyBorder="1" applyAlignment="1" applyProtection="1">
      <alignment horizontal="center" vertical="center" wrapText="1"/>
    </xf>
    <xf numFmtId="0" fontId="61" fillId="32" borderId="86" xfId="0" applyFont="1" applyFill="1" applyBorder="1" applyAlignment="1">
      <alignment horizontal="left" vertical="center" wrapText="1"/>
    </xf>
    <xf numFmtId="0" fontId="61" fillId="32" borderId="80" xfId="0" applyFont="1" applyFill="1" applyBorder="1" applyAlignment="1">
      <alignment horizontal="left" vertical="center" wrapText="1"/>
    </xf>
    <xf numFmtId="0" fontId="61" fillId="32" borderId="111" xfId="0" applyFont="1" applyFill="1" applyBorder="1" applyAlignment="1">
      <alignment horizontal="left" vertical="center" wrapText="1"/>
    </xf>
    <xf numFmtId="0" fontId="12" fillId="20" borderId="34"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2" fontId="11" fillId="0" borderId="8" xfId="0" applyNumberFormat="1" applyFont="1" applyBorder="1" applyAlignment="1">
      <alignment horizontal="justify" vertical="center" wrapText="1"/>
    </xf>
    <xf numFmtId="0" fontId="20" fillId="0" borderId="8" xfId="0" applyFont="1" applyBorder="1" applyAlignment="1">
      <alignment horizontal="justify" vertical="center" wrapText="1"/>
    </xf>
    <xf numFmtId="0" fontId="61" fillId="32" borderId="13" xfId="0" applyFont="1" applyFill="1" applyBorder="1" applyAlignment="1">
      <alignment horizontal="left" vertical="center" wrapText="1"/>
    </xf>
    <xf numFmtId="0" fontId="61" fillId="32" borderId="0" xfId="0" applyFont="1" applyFill="1" applyAlignment="1">
      <alignment horizontal="left" vertical="center" wrapText="1"/>
    </xf>
    <xf numFmtId="0" fontId="61" fillId="32" borderId="14" xfId="0" applyFont="1" applyFill="1" applyBorder="1" applyAlignment="1">
      <alignment horizontal="left" vertical="center" wrapText="1"/>
    </xf>
    <xf numFmtId="0" fontId="61" fillId="32" borderId="37" xfId="0" applyFont="1" applyFill="1" applyBorder="1" applyAlignment="1">
      <alignment horizontal="left" vertical="center" wrapText="1"/>
    </xf>
    <xf numFmtId="0" fontId="61" fillId="32" borderId="15" xfId="0" applyFont="1" applyFill="1" applyBorder="1" applyAlignment="1">
      <alignment horizontal="left" vertical="center" wrapText="1"/>
    </xf>
    <xf numFmtId="0" fontId="61" fillId="32" borderId="16" xfId="0" applyFont="1" applyFill="1" applyBorder="1" applyAlignment="1">
      <alignment horizontal="left"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2" fontId="11" fillId="0" borderId="46" xfId="0" applyNumberFormat="1" applyFont="1" applyBorder="1" applyAlignment="1">
      <alignment horizontal="justify" vertical="center" wrapText="1"/>
    </xf>
    <xf numFmtId="0" fontId="12" fillId="20" borderId="41"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0" fontId="61" fillId="32" borderId="110" xfId="0" applyFont="1" applyFill="1" applyBorder="1" applyAlignment="1">
      <alignment horizontal="left" vertical="center" wrapText="1"/>
    </xf>
    <xf numFmtId="0" fontId="62" fillId="32" borderId="80" xfId="0" applyFont="1" applyFill="1" applyBorder="1" applyAlignment="1">
      <alignment horizontal="left" vertical="center" wrapText="1"/>
    </xf>
    <xf numFmtId="0" fontId="62" fillId="32" borderId="82" xfId="0" applyFont="1" applyFill="1" applyBorder="1" applyAlignment="1">
      <alignment horizontal="left" vertical="center" wrapText="1"/>
    </xf>
    <xf numFmtId="0" fontId="63" fillId="32" borderId="80" xfId="0" applyFont="1" applyFill="1" applyBorder="1" applyAlignment="1">
      <alignment horizontal="left"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44" fillId="0" borderId="36" xfId="0" applyFont="1" applyBorder="1" applyAlignment="1">
      <alignment horizontal="center" vertical="center"/>
    </xf>
    <xf numFmtId="0" fontId="12" fillId="20" borderId="3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172" fontId="12" fillId="19" borderId="57"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39" xfId="17" applyNumberFormat="1" applyFont="1" applyFill="1" applyBorder="1" applyAlignment="1" applyProtection="1">
      <alignment horizontal="center" vertical="center" wrapText="1"/>
    </xf>
    <xf numFmtId="0" fontId="12" fillId="19" borderId="56" xfId="22" applyFont="1" applyFill="1" applyBorder="1" applyAlignment="1">
      <alignment horizontal="center" vertical="center" wrapText="1"/>
    </xf>
    <xf numFmtId="0" fontId="12" fillId="19" borderId="5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9"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40" fillId="0" borderId="58"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63" xfId="22" applyNumberFormat="1" applyFont="1" applyBorder="1" applyAlignment="1">
      <alignment horizontal="center" vertical="center" wrapText="1"/>
    </xf>
    <xf numFmtId="9" fontId="40" fillId="0" borderId="66"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9" fontId="40" fillId="0" borderId="58"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6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67"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9" fontId="40" fillId="0" borderId="58"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63" xfId="22" applyNumberFormat="1" applyFont="1" applyBorder="1" applyAlignment="1">
      <alignment horizontal="left" vertical="center" wrapText="1"/>
    </xf>
    <xf numFmtId="9" fontId="40" fillId="0" borderId="66"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48" xfId="0" applyFont="1" applyBorder="1" applyAlignment="1">
      <alignment horizontal="center" vertical="center"/>
    </xf>
    <xf numFmtId="0" fontId="44" fillId="0" borderId="50"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40" xfId="22" applyNumberFormat="1" applyFont="1" applyBorder="1" applyAlignment="1">
      <alignment horizontal="center" vertical="center" wrapText="1"/>
    </xf>
    <xf numFmtId="9" fontId="40" fillId="0" borderId="41"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0" fontId="11" fillId="0" borderId="48" xfId="22" applyFont="1" applyBorder="1" applyAlignment="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3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0" fontId="11" fillId="20" borderId="1"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1" fillId="20" borderId="10" xfId="22" applyFont="1" applyFill="1" applyBorder="1" applyAlignment="1">
      <alignment horizontal="center" vertic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43" fillId="32" borderId="0" xfId="22" applyNumberFormat="1" applyFont="1" applyFill="1" applyAlignment="1">
      <alignment horizontal="left" vertical="center" wrapText="1"/>
    </xf>
    <xf numFmtId="9" fontId="43" fillId="32" borderId="14" xfId="22" applyNumberFormat="1" applyFont="1" applyFill="1" applyBorder="1" applyAlignment="1">
      <alignment horizontal="left" vertical="center" wrapText="1"/>
    </xf>
    <xf numFmtId="9" fontId="43" fillId="32" borderId="15" xfId="22" applyNumberFormat="1" applyFont="1" applyFill="1" applyBorder="1" applyAlignment="1">
      <alignment horizontal="left" vertical="center" wrapText="1"/>
    </xf>
    <xf numFmtId="9" fontId="43" fillId="32" borderId="16" xfId="22" applyNumberFormat="1" applyFont="1" applyFill="1" applyBorder="1" applyAlignment="1">
      <alignment horizontal="left" vertical="center" wrapText="1"/>
    </xf>
    <xf numFmtId="0" fontId="12" fillId="20" borderId="42" xfId="22" applyFont="1" applyFill="1" applyBorder="1" applyAlignment="1">
      <alignment horizontal="center" vertical="center" wrapText="1"/>
    </xf>
    <xf numFmtId="0" fontId="12" fillId="0" borderId="46" xfId="22" applyFont="1" applyBorder="1" applyAlignment="1">
      <alignment horizontal="justify" vertical="center" wrapText="1"/>
    </xf>
    <xf numFmtId="9" fontId="12" fillId="0" borderId="52" xfId="22" applyNumberFormat="1" applyFont="1" applyBorder="1" applyAlignment="1">
      <alignment horizontal="center" vertical="center" wrapText="1"/>
    </xf>
    <xf numFmtId="9" fontId="43" fillId="32" borderId="0" xfId="30" applyFont="1" applyFill="1" applyBorder="1" applyAlignment="1" applyProtection="1">
      <alignment horizontal="left" vertical="center" wrapText="1"/>
    </xf>
    <xf numFmtId="9" fontId="43" fillId="32" borderId="24" xfId="30" applyFont="1" applyFill="1" applyBorder="1" applyAlignment="1" applyProtection="1">
      <alignment horizontal="left" vertical="center" wrapText="1"/>
    </xf>
    <xf numFmtId="9" fontId="43" fillId="32" borderId="66" xfId="30" applyFont="1" applyFill="1" applyBorder="1" applyAlignment="1" applyProtection="1">
      <alignment horizontal="left" vertical="center" wrapText="1"/>
    </xf>
    <xf numFmtId="9" fontId="43" fillId="32" borderId="66" xfId="30" applyFont="1" applyFill="1" applyBorder="1" applyAlignment="1" applyProtection="1">
      <alignment horizontal="justify" vertical="center" wrapText="1"/>
    </xf>
    <xf numFmtId="9" fontId="43" fillId="32" borderId="0" xfId="30" applyFont="1" applyFill="1" applyBorder="1" applyAlignment="1" applyProtection="1">
      <alignment horizontal="justify" vertical="center" wrapText="1"/>
    </xf>
    <xf numFmtId="9" fontId="43" fillId="32" borderId="24" xfId="30" applyFont="1" applyFill="1" applyBorder="1" applyAlignment="1" applyProtection="1">
      <alignment horizontal="justify" vertical="center" wrapText="1"/>
    </xf>
    <xf numFmtId="9" fontId="43" fillId="32" borderId="41" xfId="30" applyFont="1" applyFill="1" applyBorder="1" applyAlignment="1" applyProtection="1">
      <alignment horizontal="justify" vertical="center" wrapText="1"/>
    </xf>
    <xf numFmtId="9" fontId="43" fillId="32" borderId="15" xfId="30" applyFont="1" applyFill="1" applyBorder="1" applyAlignment="1" applyProtection="1">
      <alignment horizontal="justify" vertical="center" wrapText="1"/>
    </xf>
    <xf numFmtId="9" fontId="43" fillId="32" borderId="42" xfId="30" applyFont="1" applyFill="1" applyBorder="1" applyAlignment="1" applyProtection="1">
      <alignment horizontal="justify" vertical="center" wrapText="1"/>
    </xf>
    <xf numFmtId="9" fontId="43" fillId="32" borderId="14" xfId="30" applyFont="1" applyFill="1" applyBorder="1" applyAlignment="1" applyProtection="1">
      <alignment horizontal="justify" vertical="center" wrapText="1"/>
    </xf>
    <xf numFmtId="9" fontId="43" fillId="32" borderId="16" xfId="30" applyFont="1" applyFill="1" applyBorder="1" applyAlignment="1" applyProtection="1">
      <alignment horizontal="justify" vertical="center" wrapText="1"/>
    </xf>
    <xf numFmtId="9" fontId="43" fillId="32" borderId="22" xfId="22" applyNumberFormat="1" applyFont="1" applyFill="1" applyBorder="1" applyAlignment="1">
      <alignment horizontal="left" vertical="center" wrapText="1"/>
    </xf>
    <xf numFmtId="9" fontId="43" fillId="32" borderId="63" xfId="22" applyNumberFormat="1" applyFont="1" applyFill="1" applyBorder="1" applyAlignment="1">
      <alignment horizontal="left" vertical="center" wrapText="1"/>
    </xf>
    <xf numFmtId="9" fontId="58" fillId="32" borderId="22" xfId="22" applyNumberFormat="1" applyFont="1" applyFill="1" applyBorder="1" applyAlignment="1">
      <alignment vertical="center" wrapText="1" readingOrder="1"/>
    </xf>
    <xf numFmtId="2" fontId="11" fillId="0" borderId="32" xfId="0" applyNumberFormat="1" applyFont="1" applyBorder="1" applyAlignment="1">
      <alignment horizontal="justify" vertical="center" wrapText="1"/>
    </xf>
    <xf numFmtId="0" fontId="11" fillId="20" borderId="114" xfId="22" applyFont="1" applyFill="1" applyBorder="1" applyAlignment="1">
      <alignment horizontal="center" vertical="center" wrapText="1"/>
    </xf>
    <xf numFmtId="9" fontId="57" fillId="32" borderId="5" xfId="30" applyFont="1" applyFill="1" applyBorder="1" applyAlignment="1" applyProtection="1">
      <alignment horizontal="left" vertical="center" wrapText="1"/>
    </xf>
    <xf numFmtId="9" fontId="43" fillId="32" borderId="1" xfId="30" applyFont="1" applyFill="1" applyBorder="1" applyAlignment="1" applyProtection="1">
      <alignment horizontal="left" vertical="center" wrapText="1"/>
    </xf>
    <xf numFmtId="9" fontId="43" fillId="32" borderId="39" xfId="30" applyFont="1" applyFill="1" applyBorder="1" applyAlignment="1" applyProtection="1">
      <alignment horizontal="left" vertical="center" wrapText="1"/>
    </xf>
    <xf numFmtId="9" fontId="43" fillId="32" borderId="1" xfId="30" applyFont="1" applyFill="1" applyBorder="1" applyAlignment="1" applyProtection="1">
      <alignment horizontal="justify" vertical="center" wrapText="1"/>
    </xf>
    <xf numFmtId="9" fontId="43" fillId="32" borderId="9" xfId="30" applyFont="1" applyFill="1" applyBorder="1" applyAlignment="1" applyProtection="1">
      <alignment horizontal="justify" vertical="center" wrapText="1"/>
    </xf>
    <xf numFmtId="9" fontId="43" fillId="32" borderId="19" xfId="30" applyFont="1" applyFill="1" applyBorder="1" applyAlignment="1" applyProtection="1">
      <alignment horizontal="justify" vertical="center" wrapText="1"/>
    </xf>
    <xf numFmtId="9" fontId="43" fillId="32" borderId="33" xfId="30" applyFont="1" applyFill="1" applyBorder="1" applyAlignment="1" applyProtection="1">
      <alignment horizontal="justify" vertical="center" wrapText="1"/>
    </xf>
    <xf numFmtId="9" fontId="43" fillId="32" borderId="30" xfId="22" applyNumberFormat="1" applyFont="1" applyFill="1" applyBorder="1" applyAlignment="1">
      <alignment horizontal="left" vertical="center" wrapText="1"/>
    </xf>
    <xf numFmtId="9" fontId="43" fillId="32" borderId="37" xfId="22" applyNumberFormat="1" applyFont="1" applyFill="1" applyBorder="1" applyAlignment="1">
      <alignment horizontal="left" vertical="center" wrapText="1"/>
    </xf>
    <xf numFmtId="0" fontId="12" fillId="20" borderId="56" xfId="22" applyFont="1" applyFill="1" applyBorder="1" applyAlignment="1">
      <alignment horizontal="center" vertical="center" wrapText="1"/>
    </xf>
    <xf numFmtId="0" fontId="20" fillId="0" borderId="8" xfId="0" applyFont="1" applyBorder="1" applyAlignment="1">
      <alignment vertical="center"/>
    </xf>
    <xf numFmtId="9" fontId="43" fillId="32" borderId="13" xfId="22" applyNumberFormat="1" applyFont="1" applyFill="1" applyBorder="1" applyAlignment="1">
      <alignment horizontal="left" vertical="center" wrapText="1"/>
    </xf>
    <xf numFmtId="9" fontId="43" fillId="32" borderId="1" xfId="30" applyFont="1" applyFill="1" applyBorder="1" applyAlignment="1" applyProtection="1">
      <alignment horizontal="center" vertical="center" wrapText="1"/>
    </xf>
    <xf numFmtId="9" fontId="43" fillId="32" borderId="19" xfId="30" applyFont="1" applyFill="1" applyBorder="1" applyAlignment="1" applyProtection="1">
      <alignment horizontal="center" vertical="center" wrapText="1"/>
    </xf>
    <xf numFmtId="9" fontId="40" fillId="32" borderId="0" xfId="30" applyFont="1" applyFill="1" applyBorder="1" applyAlignment="1" applyProtection="1">
      <alignment horizontal="justify" vertical="center" wrapText="1"/>
    </xf>
    <xf numFmtId="9" fontId="40" fillId="32" borderId="24" xfId="30" applyFont="1" applyFill="1" applyBorder="1" applyAlignment="1" applyProtection="1">
      <alignment horizontal="justify" vertical="center" wrapText="1"/>
    </xf>
    <xf numFmtId="9" fontId="40" fillId="32" borderId="41" xfId="30" applyFont="1" applyFill="1" applyBorder="1" applyAlignment="1" applyProtection="1">
      <alignment horizontal="justify" vertical="center" wrapText="1"/>
    </xf>
    <xf numFmtId="9" fontId="40" fillId="32" borderId="15" xfId="30" applyFont="1" applyFill="1" applyBorder="1" applyAlignment="1" applyProtection="1">
      <alignment horizontal="justify" vertical="center" wrapText="1"/>
    </xf>
    <xf numFmtId="9" fontId="40" fillId="32" borderId="42" xfId="30" applyFont="1" applyFill="1" applyBorder="1" applyAlignment="1" applyProtection="1">
      <alignment horizontal="justify" vertical="center" wrapText="1"/>
    </xf>
    <xf numFmtId="9" fontId="57" fillId="32" borderId="66" xfId="30" applyFont="1" applyFill="1" applyBorder="1" applyAlignment="1" applyProtection="1">
      <alignment horizontal="left" vertical="center" wrapText="1"/>
    </xf>
    <xf numFmtId="9" fontId="40" fillId="32" borderId="0" xfId="30" applyFont="1" applyFill="1" applyBorder="1" applyAlignment="1" applyProtection="1">
      <alignment horizontal="left" vertical="center" wrapText="1"/>
    </xf>
    <xf numFmtId="9" fontId="40" fillId="32" borderId="14" xfId="30" applyFont="1" applyFill="1" applyBorder="1" applyAlignment="1" applyProtection="1">
      <alignment horizontal="left" vertical="center" wrapText="1"/>
    </xf>
    <xf numFmtId="9" fontId="40" fillId="32" borderId="41" xfId="30" applyFont="1" applyFill="1" applyBorder="1" applyAlignment="1" applyProtection="1">
      <alignment horizontal="left" vertical="center" wrapText="1"/>
    </xf>
    <xf numFmtId="9" fontId="40" fillId="32" borderId="15" xfId="30" applyFont="1" applyFill="1" applyBorder="1" applyAlignment="1" applyProtection="1">
      <alignment horizontal="left" vertical="center" wrapText="1"/>
    </xf>
    <xf numFmtId="9" fontId="40" fillId="32" borderId="16" xfId="30" applyFont="1" applyFill="1" applyBorder="1" applyAlignment="1" applyProtection="1">
      <alignment horizontal="left" vertical="center" wrapText="1"/>
    </xf>
    <xf numFmtId="0" fontId="12" fillId="20" borderId="22"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9" fontId="57" fillId="32" borderId="0" xfId="22" applyNumberFormat="1" applyFont="1" applyFill="1" applyAlignment="1">
      <alignment horizontal="left" vertical="center" wrapText="1"/>
    </xf>
    <xf numFmtId="9" fontId="57" fillId="32" borderId="22" xfId="22" applyNumberFormat="1" applyFont="1" applyFill="1" applyBorder="1" applyAlignment="1">
      <alignment horizontal="left" vertical="top" wrapText="1"/>
    </xf>
    <xf numFmtId="9" fontId="40" fillId="32" borderId="22" xfId="22" applyNumberFormat="1" applyFont="1" applyFill="1" applyBorder="1" applyAlignment="1">
      <alignment horizontal="left" vertical="top" wrapText="1"/>
    </xf>
    <xf numFmtId="9" fontId="40" fillId="32" borderId="63" xfId="22" applyNumberFormat="1" applyFont="1" applyFill="1" applyBorder="1" applyAlignment="1">
      <alignment horizontal="left" vertical="top" wrapText="1"/>
    </xf>
    <xf numFmtId="9" fontId="40" fillId="32" borderId="15" xfId="22" applyNumberFormat="1" applyFont="1" applyFill="1" applyBorder="1" applyAlignment="1">
      <alignment horizontal="left" vertical="top" wrapText="1"/>
    </xf>
    <xf numFmtId="9" fontId="40" fillId="32" borderId="16" xfId="22" applyNumberFormat="1" applyFont="1" applyFill="1" applyBorder="1" applyAlignment="1">
      <alignment horizontal="left" vertical="top" wrapText="1"/>
    </xf>
    <xf numFmtId="9" fontId="57" fillId="32" borderId="80" xfId="22" applyNumberFormat="1" applyFont="1" applyFill="1" applyBorder="1" applyAlignment="1">
      <alignment horizontal="left" vertical="center" wrapText="1"/>
    </xf>
    <xf numFmtId="9" fontId="43" fillId="32" borderId="80" xfId="22" applyNumberFormat="1" applyFont="1" applyFill="1" applyBorder="1" applyAlignment="1">
      <alignment horizontal="left" vertical="center" wrapText="1"/>
    </xf>
    <xf numFmtId="9" fontId="57" fillId="32" borderId="0" xfId="30" applyFont="1" applyFill="1" applyBorder="1" applyAlignment="1" applyProtection="1">
      <alignment horizontal="left" vertical="center" wrapText="1"/>
    </xf>
    <xf numFmtId="9" fontId="57" fillId="32" borderId="112" xfId="30" applyFont="1" applyFill="1" applyBorder="1" applyAlignment="1" applyProtection="1">
      <alignment horizontal="left" vertical="center" wrapText="1"/>
    </xf>
    <xf numFmtId="9" fontId="11" fillId="32" borderId="11" xfId="30" applyFont="1" applyFill="1" applyBorder="1" applyAlignment="1" applyProtection="1">
      <alignment horizontal="left" vertical="center" wrapText="1"/>
    </xf>
    <xf numFmtId="9" fontId="11" fillId="32" borderId="113" xfId="30" applyFont="1" applyFill="1" applyBorder="1" applyAlignment="1" applyProtection="1">
      <alignment horizontal="left" vertical="center" wrapText="1"/>
    </xf>
    <xf numFmtId="9" fontId="11" fillId="32" borderId="41" xfId="30" applyFont="1" applyFill="1" applyBorder="1" applyAlignment="1" applyProtection="1">
      <alignment horizontal="left" vertical="center" wrapText="1"/>
    </xf>
    <xf numFmtId="9" fontId="11" fillId="32" borderId="15" xfId="30" applyFont="1" applyFill="1" applyBorder="1" applyAlignment="1" applyProtection="1">
      <alignment horizontal="left" vertical="center" wrapText="1"/>
    </xf>
    <xf numFmtId="9" fontId="11" fillId="32" borderId="42" xfId="30" applyFont="1" applyFill="1" applyBorder="1" applyAlignment="1" applyProtection="1">
      <alignment horizontal="left" vertical="center" wrapText="1"/>
    </xf>
    <xf numFmtId="0" fontId="41" fillId="9" borderId="2" xfId="0" applyFont="1" applyFill="1" applyBorder="1" applyAlignment="1">
      <alignment horizontal="center" vertical="center"/>
    </xf>
    <xf numFmtId="0" fontId="41" fillId="9" borderId="59"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41" fillId="9" borderId="58"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6"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59"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9" borderId="22" xfId="0" applyFont="1" applyFill="1" applyBorder="1" applyAlignment="1">
      <alignment horizontal="center" vertical="center"/>
    </xf>
    <xf numFmtId="0" fontId="41" fillId="9" borderId="0" xfId="0" applyFont="1" applyFill="1" applyAlignment="1">
      <alignment horizontal="center" vertical="center"/>
    </xf>
    <xf numFmtId="0" fontId="41" fillId="9" borderId="3" xfId="0" applyFont="1" applyFill="1" applyBorder="1" applyAlignment="1">
      <alignment horizontal="center" vertical="center"/>
    </xf>
    <xf numFmtId="0" fontId="41" fillId="9" borderId="3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9" xfId="0" applyFont="1" applyBorder="1" applyAlignment="1">
      <alignment horizontal="center" vertical="center"/>
    </xf>
    <xf numFmtId="0" fontId="41" fillId="0" borderId="5" xfId="0" applyFont="1" applyBorder="1" applyAlignment="1">
      <alignment horizontal="center" vertical="center"/>
    </xf>
    <xf numFmtId="0" fontId="41" fillId="0" borderId="58"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9" borderId="2" xfId="0" applyFont="1" applyFill="1" applyBorder="1" applyAlignment="1">
      <alignment horizontal="left" vertical="center"/>
    </xf>
    <xf numFmtId="0" fontId="41" fillId="9" borderId="59" xfId="0" applyFont="1" applyFill="1" applyBorder="1" applyAlignment="1">
      <alignment horizontal="left" vertical="center"/>
    </xf>
    <xf numFmtId="0" fontId="41" fillId="9" borderId="5" xfId="0" applyFont="1" applyFill="1" applyBorder="1" applyAlignment="1">
      <alignment horizontal="left" vertical="center"/>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9"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xf>
    <xf numFmtId="0" fontId="12" fillId="30" borderId="58" xfId="0" applyFont="1" applyFill="1" applyBorder="1" applyAlignment="1">
      <alignment wrapText="1"/>
    </xf>
    <xf numFmtId="0" fontId="12" fillId="30" borderId="22" xfId="0" applyFont="1" applyFill="1" applyBorder="1" applyAlignment="1">
      <alignment wrapText="1"/>
    </xf>
    <xf numFmtId="0" fontId="12" fillId="30" borderId="89" xfId="0" applyFont="1" applyFill="1" applyBorder="1" applyAlignment="1">
      <alignment wrapText="1"/>
    </xf>
    <xf numFmtId="0" fontId="12" fillId="30" borderId="66" xfId="0" applyFont="1" applyFill="1" applyBorder="1" applyAlignment="1">
      <alignment wrapText="1"/>
    </xf>
    <xf numFmtId="0" fontId="12" fillId="30" borderId="0" xfId="0" applyFont="1" applyFill="1" applyAlignment="1">
      <alignment wrapText="1"/>
    </xf>
    <xf numFmtId="0" fontId="12" fillId="30" borderId="90" xfId="0" applyFont="1" applyFill="1" applyBorder="1" applyAlignment="1">
      <alignment wrapText="1"/>
    </xf>
    <xf numFmtId="0" fontId="12" fillId="30" borderId="91" xfId="0" applyFont="1" applyFill="1" applyBorder="1" applyAlignment="1">
      <alignment wrapText="1"/>
    </xf>
    <xf numFmtId="0" fontId="12" fillId="30" borderId="92" xfId="0" applyFont="1" applyFill="1" applyBorder="1" applyAlignment="1">
      <alignment wrapText="1"/>
    </xf>
    <xf numFmtId="0" fontId="12" fillId="30" borderId="93" xfId="0" applyFont="1" applyFill="1" applyBorder="1" applyAlignment="1">
      <alignment wrapText="1"/>
    </xf>
    <xf numFmtId="0" fontId="11" fillId="29" borderId="59" xfId="0" applyFont="1" applyFill="1" applyBorder="1" applyAlignment="1">
      <alignment wrapText="1"/>
    </xf>
    <xf numFmtId="0" fontId="11" fillId="29" borderId="94" xfId="0" applyFont="1" applyFill="1" applyBorder="1" applyAlignment="1">
      <alignment wrapText="1"/>
    </xf>
    <xf numFmtId="0" fontId="12" fillId="29" borderId="59" xfId="0" applyFont="1" applyFill="1" applyBorder="1" applyAlignment="1">
      <alignment wrapText="1"/>
    </xf>
    <xf numFmtId="0" fontId="12" fillId="29" borderId="94" xfId="0" applyFont="1" applyFill="1" applyBorder="1" applyAlignment="1">
      <alignment wrapText="1"/>
    </xf>
    <xf numFmtId="0" fontId="42" fillId="30" borderId="58" xfId="0" applyFont="1" applyFill="1" applyBorder="1" applyAlignment="1">
      <alignment wrapText="1"/>
    </xf>
    <xf numFmtId="0" fontId="42" fillId="30" borderId="22" xfId="0" applyFont="1" applyFill="1" applyBorder="1" applyAlignment="1">
      <alignment wrapText="1"/>
    </xf>
    <xf numFmtId="0" fontId="42" fillId="30" borderId="89" xfId="0" applyFont="1" applyFill="1" applyBorder="1" applyAlignment="1">
      <alignment wrapText="1"/>
    </xf>
    <xf numFmtId="0" fontId="42" fillId="30" borderId="66" xfId="0" applyFont="1" applyFill="1" applyBorder="1" applyAlignment="1">
      <alignment wrapText="1"/>
    </xf>
    <xf numFmtId="0" fontId="42" fillId="30" borderId="0" xfId="0" applyFont="1" applyFill="1" applyAlignment="1">
      <alignment wrapText="1"/>
    </xf>
    <xf numFmtId="0" fontId="42" fillId="30" borderId="90" xfId="0" applyFont="1" applyFill="1" applyBorder="1" applyAlignment="1">
      <alignment wrapText="1"/>
    </xf>
    <xf numFmtId="0" fontId="42" fillId="30" borderId="91" xfId="0" applyFont="1" applyFill="1" applyBorder="1" applyAlignment="1">
      <alignment wrapText="1"/>
    </xf>
    <xf numFmtId="0" fontId="42" fillId="30" borderId="92" xfId="0" applyFont="1" applyFill="1" applyBorder="1" applyAlignment="1">
      <alignment wrapText="1"/>
    </xf>
    <xf numFmtId="0" fontId="42" fillId="30" borderId="93" xfId="0" applyFont="1" applyFill="1" applyBorder="1" applyAlignment="1">
      <alignment wrapText="1"/>
    </xf>
    <xf numFmtId="0" fontId="42" fillId="0" borderId="22" xfId="0" applyFont="1" applyBorder="1" applyAlignment="1">
      <alignment wrapText="1"/>
    </xf>
    <xf numFmtId="0" fontId="42" fillId="0" borderId="89" xfId="0" applyFont="1" applyBorder="1" applyAlignment="1">
      <alignment wrapText="1"/>
    </xf>
    <xf numFmtId="0" fontId="42" fillId="0" borderId="2" xfId="0" applyFont="1" applyBorder="1"/>
    <xf numFmtId="0" fontId="42" fillId="0" borderId="59" xfId="0" applyFont="1" applyBorder="1"/>
    <xf numFmtId="0" fontId="42" fillId="0" borderId="5" xfId="0" applyFont="1" applyBorder="1"/>
    <xf numFmtId="0" fontId="12" fillId="0" borderId="59" xfId="0" applyFont="1" applyBorder="1" applyAlignment="1">
      <alignment wrapText="1"/>
    </xf>
    <xf numFmtId="0" fontId="12" fillId="0" borderId="5" xfId="0" applyFont="1" applyBorder="1" applyAlignment="1">
      <alignment wrapText="1"/>
    </xf>
    <xf numFmtId="0" fontId="42" fillId="29" borderId="20" xfId="0" applyFont="1" applyFill="1" applyBorder="1"/>
    <xf numFmtId="0" fontId="42" fillId="29" borderId="3" xfId="0" applyFont="1" applyFill="1" applyBorder="1"/>
    <xf numFmtId="0" fontId="42" fillId="29" borderId="25" xfId="0" applyFont="1" applyFill="1" applyBorder="1"/>
    <xf numFmtId="0" fontId="12" fillId="28" borderId="10" xfId="0" applyFont="1" applyFill="1" applyBorder="1" applyAlignment="1">
      <alignment wrapText="1"/>
    </xf>
    <xf numFmtId="0" fontId="12" fillId="28" borderId="95" xfId="0" applyFont="1" applyFill="1" applyBorder="1" applyAlignment="1">
      <alignment wrapText="1"/>
    </xf>
    <xf numFmtId="0" fontId="12" fillId="28" borderId="2" xfId="0" applyFont="1" applyFill="1" applyBorder="1" applyAlignment="1">
      <alignment wrapText="1"/>
    </xf>
    <xf numFmtId="0" fontId="12" fillId="28" borderId="94" xfId="0" applyFont="1" applyFill="1" applyBorder="1" applyAlignment="1">
      <alignment wrapText="1"/>
    </xf>
    <xf numFmtId="0" fontId="12" fillId="28" borderId="59" xfId="0" applyFont="1" applyFill="1" applyBorder="1"/>
    <xf numFmtId="0" fontId="12" fillId="28" borderId="5" xfId="0" applyFont="1" applyFill="1" applyBorder="1"/>
    <xf numFmtId="0" fontId="12" fillId="28" borderId="59" xfId="0" applyFont="1" applyFill="1" applyBorder="1" applyAlignment="1">
      <alignment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41" fontId="39" fillId="0" borderId="58" xfId="12" applyFont="1" applyFill="1" applyBorder="1" applyAlignment="1">
      <alignment horizontal="left" vertical="center"/>
    </xf>
    <xf numFmtId="41" fontId="39" fillId="0" borderId="66"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43" name="Picture 47">
          <a:extLst>
            <a:ext uri="{FF2B5EF4-FFF2-40B4-BE49-F238E27FC236}">
              <a16:creationId xmlns:a16="http://schemas.microsoft.com/office/drawing/2014/main" id="{CB3DEE94-C5A2-2BD5-C8A1-4C8E54F90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62" name="Picture 47">
          <a:extLst>
            <a:ext uri="{FF2B5EF4-FFF2-40B4-BE49-F238E27FC236}">
              <a16:creationId xmlns:a16="http://schemas.microsoft.com/office/drawing/2014/main" id="{F09A9C9B-2D80-8A1B-4F93-C058F4468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90" name="Picture 47">
          <a:extLst>
            <a:ext uri="{FF2B5EF4-FFF2-40B4-BE49-F238E27FC236}">
              <a16:creationId xmlns:a16="http://schemas.microsoft.com/office/drawing/2014/main" id="{1BE7A931-400E-4C6F-0079-2706E209C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149" name="Picture 47">
          <a:extLst>
            <a:ext uri="{FF2B5EF4-FFF2-40B4-BE49-F238E27FC236}">
              <a16:creationId xmlns:a16="http://schemas.microsoft.com/office/drawing/2014/main" id="{793AFF25-9893-2244-E48E-C0727E849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92" name="Picture 47">
          <a:extLst>
            <a:ext uri="{FF2B5EF4-FFF2-40B4-BE49-F238E27FC236}">
              <a16:creationId xmlns:a16="http://schemas.microsoft.com/office/drawing/2014/main" id="{DAC3C0C0-255F-61F0-0DA8-0A4CACF34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310" name="Picture 47">
          <a:extLst>
            <a:ext uri="{FF2B5EF4-FFF2-40B4-BE49-F238E27FC236}">
              <a16:creationId xmlns:a16="http://schemas.microsoft.com/office/drawing/2014/main" id="{AF6DF754-05F4-1ED0-907D-0C61EA585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62" name="Picture 47">
          <a:extLst>
            <a:ext uri="{FF2B5EF4-FFF2-40B4-BE49-F238E27FC236}">
              <a16:creationId xmlns:a16="http://schemas.microsoft.com/office/drawing/2014/main" id="{99279F8A-80CC-578C-3A46-CA7C010F8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39" name="Picture 47">
          <a:extLst>
            <a:ext uri="{FF2B5EF4-FFF2-40B4-BE49-F238E27FC236}">
              <a16:creationId xmlns:a16="http://schemas.microsoft.com/office/drawing/2014/main" id="{4DD48F4C-B60A-2697-0AD5-BFE3815CA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fael Eduardo Ronderos Garcia" id="{B499C60E-B7DA-444E-B6A7-51FEC43B2CA3}" userId="S::rronderos@sdmujer.gov.co::11ffafaa-e56d-449e-a801-7bda2e1a5100" providerId="AD"/>
  <person displayName="Claudia Marcela Rodríguez Pinzón" id="{255F74F3-24A5-44D6-A834-F4089F140C95}" userId="S::crodriguez@sdmujer.gov.co::0e091bfe-d9ae-4209-831b-021dbda4d96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9" dT="2023-11-03T22:22:09.93" personId="{255F74F3-24A5-44D6-A834-F4089F140C95}" id="{9A8B20AA-4A7B-4999-BD31-90FD8A9F590A}">
    <text xml:space="preserve">
NOTA: Para efectos de los porcentajes nos queda una sesión extraordinaria y una ordinaria de la Comisión.</text>
  </threadedComment>
  <threadedComment ref="M41" dT="2023-11-03T22:23:12.34" personId="{255F74F3-24A5-44D6-A834-F4089F140C95}" id="{B15428C6-2F61-4D91-8A93-18939A4C9159}">
    <text xml:space="preserve">
NOTA: Para efectos de los porcentajes, las sesiones de la UTA son mensuales ahora según el Decreto 415 de 2023, por lo que debemos reportar en noviembre y diciembre, y es lineamiento inaugurar una  manzana No. 21</text>
  </threadedComment>
  <threadedComment ref="M43" dT="2023-11-03T22:23:47.48" personId="{255F74F3-24A5-44D6-A834-F4089F140C95}" id="{39833A42-EB5A-4237-BD09-960B42798585}">
    <text xml:space="preserve">
NOTA: Para efectos de los porcentajes nos queda una sesión del Mecanismo porque ahora las sesiones no son semestrales, sino trimestrales según el Decreto 415 de 2023. </text>
  </threadedComment>
</ThreadedComments>
</file>

<file path=xl/threadedComments/threadedComment2.xml><?xml version="1.0" encoding="utf-8"?>
<ThreadedComments xmlns="http://schemas.microsoft.com/office/spreadsheetml/2018/threadedcomments" xmlns:x="http://schemas.openxmlformats.org/spreadsheetml/2006/main">
  <threadedComment ref="Q34" dT="2023-11-03T17:01:29.03" personId="{B499C60E-B7DA-444E-B6A7-51FEC43B2CA3}" id="{D2B2A0DE-BDFC-45CC-A3A9-46C9567640A7}">
    <text xml:space="preserve">Se hace la salvedad de que esta información no tiene los filtros correspondientes realizados por el equipo de la Dirección de Gestión del conocimiento, sino que es el reporte directo de Simisional.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O85"/>
  <sheetViews>
    <sheetView showGridLines="0" tabSelected="1" topLeftCell="A17" zoomScale="55" zoomScaleNormal="55" workbookViewId="0">
      <selection activeCell="I7" sqref="I7:J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28" width="16.140625" style="50" customWidth="1"/>
    <col min="29" max="29" width="19.140625" style="50" customWidth="1"/>
    <col min="30" max="30" width="13"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89"/>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1"/>
      <c r="AB1" s="566" t="s">
        <v>1</v>
      </c>
      <c r="AC1" s="567"/>
      <c r="AD1" s="568"/>
    </row>
    <row r="2" spans="1:30" ht="30.75" customHeight="1" thickBot="1" x14ac:dyDescent="0.3">
      <c r="A2" s="590"/>
      <c r="B2" s="569" t="s">
        <v>2</v>
      </c>
      <c r="C2" s="570"/>
      <c r="D2" s="570"/>
      <c r="E2" s="570"/>
      <c r="F2" s="570"/>
      <c r="G2" s="570"/>
      <c r="H2" s="570"/>
      <c r="I2" s="570"/>
      <c r="J2" s="570"/>
      <c r="K2" s="570"/>
      <c r="L2" s="570"/>
      <c r="M2" s="570"/>
      <c r="N2" s="570"/>
      <c r="O2" s="570"/>
      <c r="P2" s="570"/>
      <c r="Q2" s="570"/>
      <c r="R2" s="570"/>
      <c r="S2" s="570"/>
      <c r="T2" s="570"/>
      <c r="U2" s="570"/>
      <c r="V2" s="570"/>
      <c r="W2" s="570"/>
      <c r="X2" s="570"/>
      <c r="Y2" s="570"/>
      <c r="Z2" s="570"/>
      <c r="AA2" s="571"/>
      <c r="AB2" s="572" t="s">
        <v>3</v>
      </c>
      <c r="AC2" s="573"/>
      <c r="AD2" s="574"/>
    </row>
    <row r="3" spans="1:30" ht="24" customHeight="1" x14ac:dyDescent="0.25">
      <c r="A3" s="590"/>
      <c r="B3" s="575" t="s">
        <v>4</v>
      </c>
      <c r="C3" s="576"/>
      <c r="D3" s="576"/>
      <c r="E3" s="576"/>
      <c r="F3" s="576"/>
      <c r="G3" s="576"/>
      <c r="H3" s="576"/>
      <c r="I3" s="576"/>
      <c r="J3" s="576"/>
      <c r="K3" s="576"/>
      <c r="L3" s="576"/>
      <c r="M3" s="576"/>
      <c r="N3" s="576"/>
      <c r="O3" s="576"/>
      <c r="P3" s="576"/>
      <c r="Q3" s="576"/>
      <c r="R3" s="576"/>
      <c r="S3" s="576"/>
      <c r="T3" s="576"/>
      <c r="U3" s="576"/>
      <c r="V3" s="576"/>
      <c r="W3" s="576"/>
      <c r="X3" s="576"/>
      <c r="Y3" s="576"/>
      <c r="Z3" s="576"/>
      <c r="AA3" s="577"/>
      <c r="AB3" s="572" t="s">
        <v>5</v>
      </c>
      <c r="AC3" s="573"/>
      <c r="AD3" s="574"/>
    </row>
    <row r="4" spans="1:30" ht="21.95" customHeight="1" thickBot="1" x14ac:dyDescent="0.3">
      <c r="A4" s="591"/>
      <c r="B4" s="500"/>
      <c r="C4" s="502"/>
      <c r="D4" s="502"/>
      <c r="E4" s="502"/>
      <c r="F4" s="502"/>
      <c r="G4" s="502"/>
      <c r="H4" s="502"/>
      <c r="I4" s="502"/>
      <c r="J4" s="502"/>
      <c r="K4" s="502"/>
      <c r="L4" s="502"/>
      <c r="M4" s="502"/>
      <c r="N4" s="502"/>
      <c r="O4" s="502"/>
      <c r="P4" s="502"/>
      <c r="Q4" s="502"/>
      <c r="R4" s="502"/>
      <c r="S4" s="502"/>
      <c r="T4" s="502"/>
      <c r="U4" s="502"/>
      <c r="V4" s="502"/>
      <c r="W4" s="502"/>
      <c r="X4" s="502"/>
      <c r="Y4" s="502"/>
      <c r="Z4" s="502"/>
      <c r="AA4" s="578"/>
      <c r="AB4" s="579" t="s">
        <v>6</v>
      </c>
      <c r="AC4" s="580"/>
      <c r="AD4" s="581"/>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96" t="s">
        <v>7</v>
      </c>
      <c r="B7" s="597"/>
      <c r="C7" s="602" t="s">
        <v>8</v>
      </c>
      <c r="D7" s="596" t="s">
        <v>9</v>
      </c>
      <c r="E7" s="614"/>
      <c r="F7" s="614"/>
      <c r="G7" s="614"/>
      <c r="H7" s="597"/>
      <c r="I7" s="617" t="s">
        <v>573</v>
      </c>
      <c r="J7" s="618"/>
      <c r="K7" s="596" t="s">
        <v>10</v>
      </c>
      <c r="L7" s="597"/>
      <c r="M7" s="584" t="s">
        <v>11</v>
      </c>
      <c r="N7" s="585"/>
      <c r="O7" s="623"/>
      <c r="P7" s="624"/>
      <c r="Q7" s="54"/>
      <c r="R7" s="54"/>
      <c r="S7" s="54"/>
      <c r="T7" s="54"/>
      <c r="U7" s="54"/>
      <c r="V7" s="54"/>
      <c r="W7" s="54"/>
      <c r="X7" s="54"/>
      <c r="Y7" s="54"/>
      <c r="Z7" s="55"/>
      <c r="AA7" s="54"/>
      <c r="AB7" s="54"/>
      <c r="AC7" s="60"/>
      <c r="AD7" s="61"/>
    </row>
    <row r="8" spans="1:30" ht="15" customHeight="1" x14ac:dyDescent="0.25">
      <c r="A8" s="598"/>
      <c r="B8" s="599"/>
      <c r="C8" s="603"/>
      <c r="D8" s="598"/>
      <c r="E8" s="615"/>
      <c r="F8" s="615"/>
      <c r="G8" s="615"/>
      <c r="H8" s="599"/>
      <c r="I8" s="619"/>
      <c r="J8" s="620"/>
      <c r="K8" s="598"/>
      <c r="L8" s="599"/>
      <c r="M8" s="625" t="s">
        <v>12</v>
      </c>
      <c r="N8" s="626"/>
      <c r="O8" s="627"/>
      <c r="P8" s="628"/>
      <c r="Q8" s="54"/>
      <c r="R8" s="54"/>
      <c r="S8" s="54"/>
      <c r="T8" s="54"/>
      <c r="U8" s="54"/>
      <c r="V8" s="54"/>
      <c r="W8" s="54"/>
      <c r="X8" s="54"/>
      <c r="Y8" s="54"/>
      <c r="Z8" s="55"/>
      <c r="AA8" s="54"/>
      <c r="AB8" s="54"/>
      <c r="AC8" s="60"/>
      <c r="AD8" s="61"/>
    </row>
    <row r="9" spans="1:30" ht="15.75" customHeight="1" thickBot="1" x14ac:dyDescent="0.3">
      <c r="A9" s="600"/>
      <c r="B9" s="601"/>
      <c r="C9" s="604"/>
      <c r="D9" s="600"/>
      <c r="E9" s="616"/>
      <c r="F9" s="616"/>
      <c r="G9" s="616"/>
      <c r="H9" s="601"/>
      <c r="I9" s="621"/>
      <c r="J9" s="622"/>
      <c r="K9" s="600"/>
      <c r="L9" s="601"/>
      <c r="M9" s="629" t="s">
        <v>13</v>
      </c>
      <c r="N9" s="630"/>
      <c r="O9" s="582" t="s">
        <v>14</v>
      </c>
      <c r="P9" s="583"/>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596" t="s">
        <v>15</v>
      </c>
      <c r="B11" s="597"/>
      <c r="C11" s="605" t="s">
        <v>16</v>
      </c>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7"/>
    </row>
    <row r="12" spans="1:30" ht="15" customHeight="1" x14ac:dyDescent="0.25">
      <c r="A12" s="598"/>
      <c r="B12" s="599"/>
      <c r="C12" s="608"/>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10"/>
    </row>
    <row r="13" spans="1:30" ht="15" customHeight="1" thickBot="1" x14ac:dyDescent="0.3">
      <c r="A13" s="600"/>
      <c r="B13" s="601"/>
      <c r="C13" s="611"/>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47" t="s">
        <v>17</v>
      </c>
      <c r="B15" s="548"/>
      <c r="C15" s="586" t="s">
        <v>18</v>
      </c>
      <c r="D15" s="587"/>
      <c r="E15" s="587"/>
      <c r="F15" s="587"/>
      <c r="G15" s="587"/>
      <c r="H15" s="587"/>
      <c r="I15" s="587"/>
      <c r="J15" s="587"/>
      <c r="K15" s="588"/>
      <c r="L15" s="555" t="s">
        <v>19</v>
      </c>
      <c r="M15" s="559"/>
      <c r="N15" s="559"/>
      <c r="O15" s="559"/>
      <c r="P15" s="559"/>
      <c r="Q15" s="556"/>
      <c r="R15" s="552" t="s">
        <v>20</v>
      </c>
      <c r="S15" s="553"/>
      <c r="T15" s="553"/>
      <c r="U15" s="553"/>
      <c r="V15" s="553"/>
      <c r="W15" s="553"/>
      <c r="X15" s="554"/>
      <c r="Y15" s="555" t="s">
        <v>21</v>
      </c>
      <c r="Z15" s="556"/>
      <c r="AA15" s="543" t="s">
        <v>22</v>
      </c>
      <c r="AB15" s="544"/>
      <c r="AC15" s="544"/>
      <c r="AD15" s="545"/>
    </row>
    <row r="16" spans="1:30" ht="9" customHeight="1" thickBot="1" x14ac:dyDescent="0.3">
      <c r="A16" s="59"/>
      <c r="B16" s="54"/>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73"/>
      <c r="AD16" s="74"/>
    </row>
    <row r="17" spans="1:41" s="76" customFormat="1" ht="37.5" customHeight="1" thickBot="1" x14ac:dyDescent="0.3">
      <c r="A17" s="547" t="s">
        <v>23</v>
      </c>
      <c r="B17" s="548"/>
      <c r="C17" s="549" t="s">
        <v>24</v>
      </c>
      <c r="D17" s="550"/>
      <c r="E17" s="550"/>
      <c r="F17" s="550"/>
      <c r="G17" s="550"/>
      <c r="H17" s="550"/>
      <c r="I17" s="550"/>
      <c r="J17" s="550"/>
      <c r="K17" s="550"/>
      <c r="L17" s="550"/>
      <c r="M17" s="550"/>
      <c r="N17" s="550"/>
      <c r="O17" s="550"/>
      <c r="P17" s="550"/>
      <c r="Q17" s="551"/>
      <c r="R17" s="555" t="s">
        <v>25</v>
      </c>
      <c r="S17" s="559"/>
      <c r="T17" s="559"/>
      <c r="U17" s="559"/>
      <c r="V17" s="556"/>
      <c r="W17" s="557">
        <v>1</v>
      </c>
      <c r="X17" s="558"/>
      <c r="Y17" s="559" t="s">
        <v>26</v>
      </c>
      <c r="Z17" s="559"/>
      <c r="AA17" s="559"/>
      <c r="AB17" s="556"/>
      <c r="AC17" s="594">
        <v>0.1</v>
      </c>
      <c r="AD17" s="59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AF18" s="334">
        <f>AC22+'Meta 2'!AC22+'Meta 3'!AC22+'Meta 4'!AC22+'Meta 5'!AC22+'Meta 6'!AC22+'Meta 7'!AC22</f>
        <v>9963958143</v>
      </c>
    </row>
    <row r="19" spans="1:41" ht="32.1" customHeight="1" thickBot="1" x14ac:dyDescent="0.3">
      <c r="A19" s="555" t="s">
        <v>27</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6"/>
      <c r="AE19" s="83"/>
      <c r="AF19" s="334">
        <f>AC23+'Meta 2'!AC23+'Meta 3'!AC23+'Meta 4'!AC23+'Meta 5'!AC23+'Meta 6'!AC23+'Meta 7'!AC23</f>
        <v>9746644204</v>
      </c>
    </row>
    <row r="20" spans="1:41" ht="32.1" customHeight="1" thickBot="1" x14ac:dyDescent="0.3">
      <c r="A20" s="82"/>
      <c r="B20" s="60"/>
      <c r="C20" s="563" t="s">
        <v>28</v>
      </c>
      <c r="D20" s="564"/>
      <c r="E20" s="564"/>
      <c r="F20" s="564"/>
      <c r="G20" s="564"/>
      <c r="H20" s="564"/>
      <c r="I20" s="564"/>
      <c r="J20" s="564"/>
      <c r="K20" s="564"/>
      <c r="L20" s="564"/>
      <c r="M20" s="564"/>
      <c r="N20" s="564"/>
      <c r="O20" s="564"/>
      <c r="P20" s="565"/>
      <c r="Q20" s="560" t="s">
        <v>29</v>
      </c>
      <c r="R20" s="561"/>
      <c r="S20" s="561"/>
      <c r="T20" s="561"/>
      <c r="U20" s="561"/>
      <c r="V20" s="561"/>
      <c r="W20" s="561"/>
      <c r="X20" s="561"/>
      <c r="Y20" s="561"/>
      <c r="Z20" s="561"/>
      <c r="AA20" s="561"/>
      <c r="AB20" s="561"/>
      <c r="AC20" s="561"/>
      <c r="AD20" s="562"/>
      <c r="AE20" s="83"/>
      <c r="AF20" s="334">
        <f>AC24+'Meta 2'!AC24+'Meta 3'!AC24+'Meta 4'!AC24+'Meta 5'!AC24+'Meta 6'!AC24+'Meta 7'!AC24</f>
        <v>9963958143</v>
      </c>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8</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8</v>
      </c>
      <c r="AB21" s="147" t="s">
        <v>40</v>
      </c>
      <c r="AC21" s="147" t="s">
        <v>41</v>
      </c>
      <c r="AD21" s="148" t="s">
        <v>42</v>
      </c>
      <c r="AE21" s="3"/>
      <c r="AF21" s="334">
        <f>AC25+'Meta 2'!AC25+'Meta 3'!AC25+'Meta 4'!AC25+'Meta 5'!AC25+'Meta 6'!AC25+'Meta 7'!AC25</f>
        <v>7427227508</v>
      </c>
    </row>
    <row r="22" spans="1:41" ht="32.1" customHeight="1" x14ac:dyDescent="0.25">
      <c r="A22" s="522" t="s">
        <v>43</v>
      </c>
      <c r="B22" s="593"/>
      <c r="C22" s="168"/>
      <c r="D22" s="166"/>
      <c r="E22" s="166"/>
      <c r="F22" s="166"/>
      <c r="G22" s="166"/>
      <c r="H22" s="166"/>
      <c r="I22" s="166"/>
      <c r="J22" s="166"/>
      <c r="K22" s="166"/>
      <c r="L22" s="166"/>
      <c r="M22" s="166"/>
      <c r="N22" s="166"/>
      <c r="O22" s="166">
        <f>SUM(C22:N22)</f>
        <v>0</v>
      </c>
      <c r="P22" s="169"/>
      <c r="Q22" s="168">
        <v>270886100</v>
      </c>
      <c r="R22" s="308"/>
      <c r="S22" s="166"/>
      <c r="T22" s="166">
        <v>21559511</v>
      </c>
      <c r="U22" s="166"/>
      <c r="V22" s="166">
        <f>2139478+34249272-13570647</f>
        <v>22818103</v>
      </c>
      <c r="W22" s="166"/>
      <c r="X22" s="166"/>
      <c r="Y22" s="166"/>
      <c r="Z22" s="166">
        <v>-21404801</v>
      </c>
      <c r="AA22" s="166"/>
      <c r="AB22" s="166"/>
      <c r="AC22" s="352">
        <f>SUM(Q22:AB22)</f>
        <v>293858913</v>
      </c>
      <c r="AD22" s="173"/>
      <c r="AE22" s="3"/>
      <c r="AF22" s="592" t="s">
        <v>44</v>
      </c>
      <c r="AG22" s="592"/>
      <c r="AH22" s="592"/>
      <c r="AI22" s="592"/>
      <c r="AJ22" s="592"/>
      <c r="AK22" s="592"/>
      <c r="AL22" s="592"/>
      <c r="AM22" s="592"/>
    </row>
    <row r="23" spans="1:41" ht="32.1" customHeight="1" x14ac:dyDescent="0.25">
      <c r="A23" s="523" t="s">
        <v>45</v>
      </c>
      <c r="B23" s="535"/>
      <c r="C23" s="163"/>
      <c r="D23" s="162"/>
      <c r="E23" s="301"/>
      <c r="F23" s="301"/>
      <c r="G23" s="301"/>
      <c r="H23" s="301"/>
      <c r="I23" s="301"/>
      <c r="J23" s="301"/>
      <c r="K23" s="301"/>
      <c r="L23" s="162"/>
      <c r="M23" s="162"/>
      <c r="N23" s="162"/>
      <c r="O23" s="162">
        <f>SUM(C23:N23)</f>
        <v>0</v>
      </c>
      <c r="P23" s="174" t="str">
        <f>IFERROR(O23/(SUMIF(C23:N23,"&gt;0",C22:N22))," ")</f>
        <v xml:space="preserve"> </v>
      </c>
      <c r="Q23" s="307">
        <v>42119000</v>
      </c>
      <c r="R23" s="303">
        <v>143641483</v>
      </c>
      <c r="S23" s="303">
        <v>72012067</v>
      </c>
      <c r="T23" s="303">
        <v>-5686083</v>
      </c>
      <c r="U23" s="303">
        <v>21983446</v>
      </c>
      <c r="V23" s="303">
        <v>11200000</v>
      </c>
      <c r="W23" s="303" t="s">
        <v>46</v>
      </c>
      <c r="X23" s="303" t="s">
        <v>46</v>
      </c>
      <c r="Y23" s="303" t="s">
        <v>46</v>
      </c>
      <c r="Z23" s="303">
        <v>1260000</v>
      </c>
      <c r="AA23" s="162">
        <v>1701000</v>
      </c>
      <c r="AB23" s="162"/>
      <c r="AC23" s="184">
        <f>SUM(Q23:AB23)</f>
        <v>288230913</v>
      </c>
      <c r="AD23" s="171">
        <f>+AC23/AC22</f>
        <v>0.98084795202383401</v>
      </c>
      <c r="AE23" s="3"/>
      <c r="AF23" s="592"/>
      <c r="AG23" s="592"/>
      <c r="AH23" s="592"/>
      <c r="AI23" s="592"/>
      <c r="AJ23" s="592"/>
      <c r="AK23" s="592"/>
      <c r="AL23" s="592"/>
      <c r="AM23" s="592"/>
    </row>
    <row r="24" spans="1:41" ht="32.1" customHeight="1" x14ac:dyDescent="0.25">
      <c r="A24" s="523" t="s">
        <v>47</v>
      </c>
      <c r="B24" s="535"/>
      <c r="C24" s="300">
        <v>19304536</v>
      </c>
      <c r="D24" s="304">
        <f>1+1+3347500+1081500+432600+475860+4505045</f>
        <v>9842507</v>
      </c>
      <c r="E24" s="303" t="s">
        <v>48</v>
      </c>
      <c r="F24" s="303" t="s">
        <v>48</v>
      </c>
      <c r="G24" s="303" t="s">
        <v>48</v>
      </c>
      <c r="H24" s="303">
        <v>-3467667</v>
      </c>
      <c r="I24" s="303" t="s">
        <v>49</v>
      </c>
      <c r="J24" s="303" t="s">
        <v>49</v>
      </c>
      <c r="K24" s="303">
        <v>-10127</v>
      </c>
      <c r="L24" s="305"/>
      <c r="M24" s="162"/>
      <c r="N24" s="162"/>
      <c r="O24" s="184">
        <f>SUM(C24:N24)</f>
        <v>25669249</v>
      </c>
      <c r="P24" s="167"/>
      <c r="Q24" s="163"/>
      <c r="R24" s="308">
        <v>11387300</v>
      </c>
      <c r="S24" s="162">
        <v>23590800</v>
      </c>
      <c r="T24" s="162">
        <v>23590800</v>
      </c>
      <c r="U24" s="162">
        <f>23590800+21559511</f>
        <v>45150311</v>
      </c>
      <c r="V24" s="162">
        <f>23590800-13570647</f>
        <v>10020153</v>
      </c>
      <c r="W24" s="162">
        <f>23590800+2139478+11416424</f>
        <v>37146702</v>
      </c>
      <c r="X24" s="162">
        <v>23590800</v>
      </c>
      <c r="Y24" s="162">
        <f>23590800+11416424</f>
        <v>35007224</v>
      </c>
      <c r="Z24" s="162">
        <f>23590800-21404801</f>
        <v>2185999</v>
      </c>
      <c r="AA24" s="162">
        <f>23590800+11416424</f>
        <v>35007224</v>
      </c>
      <c r="AB24" s="162">
        <v>47181600</v>
      </c>
      <c r="AC24" s="162">
        <f>SUM(Q24:AB24)</f>
        <v>293858913</v>
      </c>
      <c r="AD24" s="171"/>
      <c r="AE24" s="3"/>
      <c r="AF24" s="592"/>
      <c r="AG24" s="592"/>
      <c r="AH24" s="592"/>
      <c r="AI24" s="592"/>
      <c r="AJ24" s="592"/>
      <c r="AK24" s="592"/>
      <c r="AL24" s="592"/>
      <c r="AM24" s="592"/>
    </row>
    <row r="25" spans="1:41" ht="32.1" customHeight="1" x14ac:dyDescent="0.25">
      <c r="A25" s="479" t="s">
        <v>50</v>
      </c>
      <c r="B25" s="542"/>
      <c r="C25" s="299">
        <v>1437194</v>
      </c>
      <c r="D25" s="299">
        <v>18698717</v>
      </c>
      <c r="E25" s="306" t="s">
        <v>51</v>
      </c>
      <c r="F25" s="306">
        <v>5151217</v>
      </c>
      <c r="G25" s="306" t="s">
        <v>49</v>
      </c>
      <c r="H25" s="306">
        <v>382121</v>
      </c>
      <c r="I25" s="306" t="s">
        <v>49</v>
      </c>
      <c r="J25" s="306" t="s">
        <v>49</v>
      </c>
      <c r="K25" s="306" t="s">
        <v>49</v>
      </c>
      <c r="L25" s="165">
        <v>0</v>
      </c>
      <c r="M25" s="165">
        <v>0</v>
      </c>
      <c r="N25" s="165"/>
      <c r="O25" s="165">
        <f>SUM(C25:N25)</f>
        <v>25669249</v>
      </c>
      <c r="P25" s="170">
        <f>IFERROR(O25/(SUMIF(C25:N25,"&gt;0",C24:N24))," ")</f>
        <v>0.99960563683478909</v>
      </c>
      <c r="Q25" s="164"/>
      <c r="R25" s="309">
        <v>944066</v>
      </c>
      <c r="S25" s="309">
        <v>6845767</v>
      </c>
      <c r="T25" s="309">
        <v>20800384</v>
      </c>
      <c r="U25" s="309">
        <v>24932000</v>
      </c>
      <c r="V25" s="309">
        <v>24884866</v>
      </c>
      <c r="W25" s="309">
        <v>50189230</v>
      </c>
      <c r="X25" s="309">
        <v>25436400</v>
      </c>
      <c r="Y25" s="309">
        <v>21724200</v>
      </c>
      <c r="Z25" s="309">
        <v>20789000</v>
      </c>
      <c r="AA25" s="165">
        <v>29343100</v>
      </c>
      <c r="AB25" s="165"/>
      <c r="AC25" s="165">
        <f>SUM(Q25:AB25)</f>
        <v>225889013</v>
      </c>
      <c r="AD25" s="172">
        <f>+AC25/AC24</f>
        <v>0.76869886536332488</v>
      </c>
      <c r="AE25" s="3"/>
      <c r="AF25" s="592"/>
      <c r="AG25" s="592"/>
      <c r="AH25" s="592"/>
      <c r="AI25" s="592"/>
      <c r="AJ25" s="592"/>
      <c r="AK25" s="592"/>
      <c r="AL25" s="592"/>
      <c r="AM25" s="592"/>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38" t="s">
        <v>52</v>
      </c>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1"/>
    </row>
    <row r="28" spans="1:41" ht="15" customHeight="1" x14ac:dyDescent="0.25">
      <c r="A28" s="531" t="s">
        <v>53</v>
      </c>
      <c r="B28" s="533" t="s">
        <v>54</v>
      </c>
      <c r="C28" s="534"/>
      <c r="D28" s="535" t="s">
        <v>55</v>
      </c>
      <c r="E28" s="536"/>
      <c r="F28" s="536"/>
      <c r="G28" s="536"/>
      <c r="H28" s="536"/>
      <c r="I28" s="536"/>
      <c r="J28" s="536"/>
      <c r="K28" s="536"/>
      <c r="L28" s="536"/>
      <c r="M28" s="536"/>
      <c r="N28" s="536"/>
      <c r="O28" s="530"/>
      <c r="P28" s="524" t="s">
        <v>41</v>
      </c>
      <c r="Q28" s="524" t="s">
        <v>56</v>
      </c>
      <c r="R28" s="524"/>
      <c r="S28" s="524"/>
      <c r="T28" s="524"/>
      <c r="U28" s="524"/>
      <c r="V28" s="524"/>
      <c r="W28" s="524"/>
      <c r="X28" s="524"/>
      <c r="Y28" s="524"/>
      <c r="Z28" s="524"/>
      <c r="AA28" s="524"/>
      <c r="AB28" s="524"/>
      <c r="AC28" s="524"/>
      <c r="AD28" s="537"/>
    </row>
    <row r="29" spans="1:41" ht="27" customHeight="1" x14ac:dyDescent="0.25">
      <c r="A29" s="532"/>
      <c r="B29" s="527"/>
      <c r="C29" s="482"/>
      <c r="D29" s="88" t="s">
        <v>30</v>
      </c>
      <c r="E29" s="88" t="s">
        <v>31</v>
      </c>
      <c r="F29" s="88" t="s">
        <v>32</v>
      </c>
      <c r="G29" s="88" t="s">
        <v>33</v>
      </c>
      <c r="H29" s="88" t="s">
        <v>34</v>
      </c>
      <c r="I29" s="88" t="s">
        <v>35</v>
      </c>
      <c r="J29" s="88" t="s">
        <v>36</v>
      </c>
      <c r="K29" s="88" t="s">
        <v>37</v>
      </c>
      <c r="L29" s="88" t="s">
        <v>38</v>
      </c>
      <c r="M29" s="88" t="s">
        <v>39</v>
      </c>
      <c r="N29" s="88" t="s">
        <v>8</v>
      </c>
      <c r="O29" s="88" t="s">
        <v>40</v>
      </c>
      <c r="P29" s="530"/>
      <c r="Q29" s="524"/>
      <c r="R29" s="524"/>
      <c r="S29" s="524"/>
      <c r="T29" s="524"/>
      <c r="U29" s="524"/>
      <c r="V29" s="524"/>
      <c r="W29" s="524"/>
      <c r="X29" s="524"/>
      <c r="Y29" s="524"/>
      <c r="Z29" s="524"/>
      <c r="AA29" s="524"/>
      <c r="AB29" s="524"/>
      <c r="AC29" s="524"/>
      <c r="AD29" s="537"/>
    </row>
    <row r="30" spans="1:41" ht="68.25" customHeight="1" thickBot="1" x14ac:dyDescent="0.3">
      <c r="A30" s="85" t="s">
        <v>57</v>
      </c>
      <c r="B30" s="515"/>
      <c r="C30" s="516"/>
      <c r="D30" s="89"/>
      <c r="E30" s="89"/>
      <c r="F30" s="89"/>
      <c r="G30" s="89"/>
      <c r="H30" s="89"/>
      <c r="I30" s="89"/>
      <c r="J30" s="89"/>
      <c r="K30" s="89"/>
      <c r="L30" s="89"/>
      <c r="M30" s="89"/>
      <c r="N30" s="89"/>
      <c r="O30" s="89"/>
      <c r="P30" s="86">
        <f>SUM(D30:O30)</f>
        <v>0</v>
      </c>
      <c r="Q30" s="517"/>
      <c r="R30" s="517"/>
      <c r="S30" s="517"/>
      <c r="T30" s="517"/>
      <c r="U30" s="517"/>
      <c r="V30" s="517"/>
      <c r="W30" s="517"/>
      <c r="X30" s="517"/>
      <c r="Y30" s="517"/>
      <c r="Z30" s="517"/>
      <c r="AA30" s="517"/>
      <c r="AB30" s="517"/>
      <c r="AC30" s="517"/>
      <c r="AD30" s="518"/>
    </row>
    <row r="31" spans="1:41" ht="45" customHeight="1" thickBot="1" x14ac:dyDescent="0.3">
      <c r="A31" s="519" t="s">
        <v>58</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1"/>
    </row>
    <row r="32" spans="1:41" ht="23.1" customHeight="1" x14ac:dyDescent="0.25">
      <c r="A32" s="522" t="s">
        <v>59</v>
      </c>
      <c r="B32" s="480" t="s">
        <v>60</v>
      </c>
      <c r="C32" s="483" t="s">
        <v>54</v>
      </c>
      <c r="D32" s="526" t="s">
        <v>61</v>
      </c>
      <c r="E32" s="480"/>
      <c r="F32" s="480"/>
      <c r="G32" s="480"/>
      <c r="H32" s="480"/>
      <c r="I32" s="480"/>
      <c r="J32" s="480"/>
      <c r="K32" s="480"/>
      <c r="L32" s="480"/>
      <c r="M32" s="480"/>
      <c r="N32" s="480"/>
      <c r="O32" s="480"/>
      <c r="P32" s="483"/>
      <c r="Q32" s="526" t="s">
        <v>62</v>
      </c>
      <c r="R32" s="480"/>
      <c r="S32" s="480"/>
      <c r="T32" s="480"/>
      <c r="U32" s="480"/>
      <c r="V32" s="480"/>
      <c r="W32" s="480"/>
      <c r="X32" s="480"/>
      <c r="Y32" s="480"/>
      <c r="Z32" s="480"/>
      <c r="AA32" s="480"/>
      <c r="AB32" s="480"/>
      <c r="AC32" s="480"/>
      <c r="AD32" s="483"/>
      <c r="AG32" s="87"/>
      <c r="AH32" s="87"/>
      <c r="AI32" s="87"/>
      <c r="AJ32" s="87"/>
      <c r="AK32" s="87"/>
      <c r="AL32" s="87"/>
      <c r="AM32" s="87"/>
      <c r="AN32" s="87"/>
      <c r="AO32" s="87"/>
    </row>
    <row r="33" spans="1:41" ht="27" customHeight="1" x14ac:dyDescent="0.25">
      <c r="A33" s="523"/>
      <c r="B33" s="524"/>
      <c r="C33" s="525"/>
      <c r="D33" s="232" t="s">
        <v>30</v>
      </c>
      <c r="E33" s="226" t="s">
        <v>31</v>
      </c>
      <c r="F33" s="226" t="s">
        <v>32</v>
      </c>
      <c r="G33" s="226" t="s">
        <v>33</v>
      </c>
      <c r="H33" s="226" t="s">
        <v>34</v>
      </c>
      <c r="I33" s="226" t="s">
        <v>35</v>
      </c>
      <c r="J33" s="226" t="s">
        <v>36</v>
      </c>
      <c r="K33" s="226" t="s">
        <v>37</v>
      </c>
      <c r="L33" s="226" t="s">
        <v>38</v>
      </c>
      <c r="M33" s="226" t="s">
        <v>39</v>
      </c>
      <c r="N33" s="226" t="s">
        <v>8</v>
      </c>
      <c r="O33" s="226" t="s">
        <v>40</v>
      </c>
      <c r="P33" s="227" t="s">
        <v>41</v>
      </c>
      <c r="Q33" s="530" t="s">
        <v>63</v>
      </c>
      <c r="R33" s="524"/>
      <c r="S33" s="524"/>
      <c r="T33" s="524" t="s">
        <v>64</v>
      </c>
      <c r="U33" s="524"/>
      <c r="V33" s="524"/>
      <c r="W33" s="527" t="s">
        <v>65</v>
      </c>
      <c r="X33" s="528"/>
      <c r="Y33" s="528"/>
      <c r="Z33" s="482"/>
      <c r="AA33" s="527" t="s">
        <v>66</v>
      </c>
      <c r="AB33" s="528"/>
      <c r="AC33" s="528"/>
      <c r="AD33" s="529"/>
      <c r="AG33" s="87"/>
      <c r="AH33" s="87"/>
      <c r="AI33" s="87"/>
      <c r="AJ33" s="87"/>
      <c r="AK33" s="87"/>
      <c r="AL33" s="87"/>
      <c r="AM33" s="87"/>
      <c r="AN33" s="87"/>
      <c r="AO33" s="87"/>
    </row>
    <row r="34" spans="1:41" ht="171.95" customHeight="1" x14ac:dyDescent="0.25">
      <c r="A34" s="499" t="s">
        <v>57</v>
      </c>
      <c r="B34" s="501">
        <v>0.1</v>
      </c>
      <c r="C34" s="235" t="s">
        <v>67</v>
      </c>
      <c r="D34" s="236">
        <f>D69</f>
        <v>6.5120361083249756E-2</v>
      </c>
      <c r="E34" s="220">
        <f t="shared" ref="E34:O34" si="0">E69</f>
        <v>8.512036108324976E-2</v>
      </c>
      <c r="F34" s="220">
        <f t="shared" si="0"/>
        <v>8.6624874623871626E-2</v>
      </c>
      <c r="G34" s="220">
        <f t="shared" si="0"/>
        <v>8.6624874623871626E-2</v>
      </c>
      <c r="H34" s="220">
        <f t="shared" si="0"/>
        <v>8.6624874623871626E-2</v>
      </c>
      <c r="I34" s="220">
        <f t="shared" si="0"/>
        <v>8.6624874623871626E-2</v>
      </c>
      <c r="J34" s="220">
        <f t="shared" si="0"/>
        <v>8.6624874623871626E-2</v>
      </c>
      <c r="K34" s="220">
        <f t="shared" si="0"/>
        <v>8.6624874623871626E-2</v>
      </c>
      <c r="L34" s="220">
        <f t="shared" si="0"/>
        <v>8.6624874623871626E-2</v>
      </c>
      <c r="M34" s="220">
        <f t="shared" si="0"/>
        <v>8.6624874623871626E-2</v>
      </c>
      <c r="N34" s="220">
        <f t="shared" si="0"/>
        <v>8.6624874623871626E-2</v>
      </c>
      <c r="O34" s="220">
        <f t="shared" si="0"/>
        <v>7.0135406218655966E-2</v>
      </c>
      <c r="P34" s="220">
        <f>SUM(D34:O34)</f>
        <v>1</v>
      </c>
      <c r="Q34" s="503" t="s">
        <v>68</v>
      </c>
      <c r="R34" s="504"/>
      <c r="S34" s="509"/>
      <c r="T34" s="511" t="s">
        <v>69</v>
      </c>
      <c r="U34" s="511"/>
      <c r="V34" s="512"/>
      <c r="W34" s="503" t="s">
        <v>70</v>
      </c>
      <c r="X34" s="504"/>
      <c r="Y34" s="504"/>
      <c r="Z34" s="505"/>
      <c r="AA34" s="503" t="s">
        <v>71</v>
      </c>
      <c r="AB34" s="504"/>
      <c r="AC34" s="504"/>
      <c r="AD34" s="505"/>
      <c r="AG34" s="87"/>
      <c r="AH34" s="87"/>
      <c r="AI34" s="87"/>
      <c r="AJ34" s="87"/>
      <c r="AK34" s="87"/>
      <c r="AL34" s="87"/>
      <c r="AM34" s="87"/>
      <c r="AN34" s="87"/>
      <c r="AO34" s="87"/>
    </row>
    <row r="35" spans="1:41" ht="171.95" customHeight="1" x14ac:dyDescent="0.25">
      <c r="A35" s="500"/>
      <c r="B35" s="502"/>
      <c r="C35" s="229" t="s">
        <v>72</v>
      </c>
      <c r="D35" s="228">
        <f>D66</f>
        <v>6.5120361083249756E-2</v>
      </c>
      <c r="E35" s="221">
        <f t="shared" ref="E35:M35" si="1">E66</f>
        <v>8.512036108324976E-2</v>
      </c>
      <c r="F35" s="221">
        <f t="shared" si="1"/>
        <v>8.6624874623871626E-2</v>
      </c>
      <c r="G35" s="221">
        <f t="shared" si="1"/>
        <v>8.6624874623871626E-2</v>
      </c>
      <c r="H35" s="221">
        <f t="shared" si="1"/>
        <v>8.6624874623871626E-2</v>
      </c>
      <c r="I35" s="221">
        <f t="shared" si="1"/>
        <v>8.6624874623871626E-2</v>
      </c>
      <c r="J35" s="221">
        <f t="shared" si="1"/>
        <v>8.6624874623871626E-2</v>
      </c>
      <c r="K35" s="221">
        <f t="shared" si="1"/>
        <v>8.6624874623871626E-2</v>
      </c>
      <c r="L35" s="221">
        <f t="shared" si="1"/>
        <v>8.6624874623871626E-2</v>
      </c>
      <c r="M35" s="221">
        <f t="shared" si="1"/>
        <v>8.6624874623871626E-2</v>
      </c>
      <c r="N35" s="273">
        <v>0</v>
      </c>
      <c r="O35" s="273">
        <v>0</v>
      </c>
      <c r="P35" s="222">
        <f>SUM(D35:O35)</f>
        <v>0.84323971915747242</v>
      </c>
      <c r="Q35" s="506"/>
      <c r="R35" s="507"/>
      <c r="S35" s="510"/>
      <c r="T35" s="513"/>
      <c r="U35" s="513"/>
      <c r="V35" s="514"/>
      <c r="W35" s="506"/>
      <c r="X35" s="507"/>
      <c r="Y35" s="507"/>
      <c r="Z35" s="508"/>
      <c r="AA35" s="506"/>
      <c r="AB35" s="507"/>
      <c r="AC35" s="507"/>
      <c r="AD35" s="508"/>
      <c r="AE35" s="49"/>
      <c r="AG35" s="87"/>
      <c r="AH35" s="87"/>
      <c r="AI35" s="87"/>
      <c r="AJ35" s="87"/>
      <c r="AK35" s="87"/>
      <c r="AL35" s="87"/>
      <c r="AM35" s="87"/>
      <c r="AN35" s="87"/>
      <c r="AO35" s="87"/>
    </row>
    <row r="36" spans="1:41" ht="26.1" customHeight="1" x14ac:dyDescent="0.25">
      <c r="A36" s="478" t="s">
        <v>73</v>
      </c>
      <c r="B36" s="480" t="s">
        <v>74</v>
      </c>
      <c r="C36" s="482" t="s">
        <v>75</v>
      </c>
      <c r="D36" s="480"/>
      <c r="E36" s="480"/>
      <c r="F36" s="480"/>
      <c r="G36" s="480"/>
      <c r="H36" s="480"/>
      <c r="I36" s="480"/>
      <c r="J36" s="480"/>
      <c r="K36" s="480"/>
      <c r="L36" s="480"/>
      <c r="M36" s="480"/>
      <c r="N36" s="480"/>
      <c r="O36" s="480"/>
      <c r="P36" s="483"/>
      <c r="Q36" s="484" t="s">
        <v>76</v>
      </c>
      <c r="R36" s="485"/>
      <c r="S36" s="485"/>
      <c r="T36" s="485"/>
      <c r="U36" s="485"/>
      <c r="V36" s="485"/>
      <c r="W36" s="485"/>
      <c r="X36" s="485"/>
      <c r="Y36" s="485"/>
      <c r="Z36" s="485"/>
      <c r="AA36" s="485"/>
      <c r="AB36" s="485"/>
      <c r="AC36" s="485"/>
      <c r="AD36" s="486"/>
      <c r="AG36" s="87"/>
      <c r="AH36" s="87"/>
      <c r="AI36" s="87"/>
      <c r="AJ36" s="87"/>
      <c r="AK36" s="87"/>
      <c r="AL36" s="87"/>
      <c r="AM36" s="87"/>
      <c r="AN36" s="87"/>
      <c r="AO36" s="87"/>
    </row>
    <row r="37" spans="1:41" ht="42" customHeight="1" x14ac:dyDescent="0.25">
      <c r="A37" s="479"/>
      <c r="B37" s="481"/>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487" t="s">
        <v>91</v>
      </c>
      <c r="R37" s="488"/>
      <c r="S37" s="488"/>
      <c r="T37" s="488"/>
      <c r="U37" s="488"/>
      <c r="V37" s="488"/>
      <c r="W37" s="488"/>
      <c r="X37" s="488"/>
      <c r="Y37" s="488"/>
      <c r="Z37" s="488"/>
      <c r="AA37" s="488"/>
      <c r="AB37" s="488"/>
      <c r="AC37" s="488"/>
      <c r="AD37" s="489"/>
      <c r="AG37" s="94"/>
      <c r="AH37" s="94"/>
      <c r="AI37" s="94"/>
      <c r="AJ37" s="94"/>
      <c r="AK37" s="94"/>
      <c r="AL37" s="94"/>
      <c r="AM37" s="94"/>
      <c r="AN37" s="94"/>
      <c r="AO37" s="94"/>
    </row>
    <row r="38" spans="1:41" ht="81" customHeight="1" x14ac:dyDescent="0.25">
      <c r="A38" s="490" t="s">
        <v>92</v>
      </c>
      <c r="B38" s="491">
        <v>0.05</v>
      </c>
      <c r="C38" s="344" t="s">
        <v>67</v>
      </c>
      <c r="D38" s="347">
        <v>0.05</v>
      </c>
      <c r="E38" s="348">
        <v>0.09</v>
      </c>
      <c r="F38" s="348">
        <v>0.09</v>
      </c>
      <c r="G38" s="348">
        <v>0.09</v>
      </c>
      <c r="H38" s="348">
        <v>0.09</v>
      </c>
      <c r="I38" s="348">
        <v>0.09</v>
      </c>
      <c r="J38" s="348">
        <v>0.09</v>
      </c>
      <c r="K38" s="348">
        <v>0.09</v>
      </c>
      <c r="L38" s="348">
        <v>0.09</v>
      </c>
      <c r="M38" s="348">
        <v>0.09</v>
      </c>
      <c r="N38" s="348">
        <v>0.09</v>
      </c>
      <c r="O38" s="348">
        <v>0.05</v>
      </c>
      <c r="P38" s="346">
        <f>SUM(D38:O38)</f>
        <v>0.99999999999999989</v>
      </c>
      <c r="Q38" s="493" t="s">
        <v>93</v>
      </c>
      <c r="R38" s="494"/>
      <c r="S38" s="494"/>
      <c r="T38" s="494"/>
      <c r="U38" s="494"/>
      <c r="V38" s="494"/>
      <c r="W38" s="494"/>
      <c r="X38" s="494"/>
      <c r="Y38" s="494"/>
      <c r="Z38" s="494"/>
      <c r="AA38" s="494"/>
      <c r="AB38" s="494"/>
      <c r="AC38" s="494"/>
      <c r="AD38" s="495"/>
      <c r="AE38" s="97"/>
      <c r="AG38" s="98"/>
      <c r="AH38" s="98"/>
      <c r="AI38" s="98"/>
      <c r="AJ38" s="98"/>
      <c r="AK38" s="98"/>
      <c r="AL38" s="98"/>
      <c r="AM38" s="98"/>
      <c r="AN38" s="98"/>
      <c r="AO38" s="98"/>
    </row>
    <row r="39" spans="1:41" ht="81" customHeight="1" x14ac:dyDescent="0.25">
      <c r="A39" s="468"/>
      <c r="B39" s="492"/>
      <c r="C39" s="243" t="s">
        <v>72</v>
      </c>
      <c r="D39" s="244">
        <v>0.05</v>
      </c>
      <c r="E39" s="244">
        <v>0.09</v>
      </c>
      <c r="F39" s="244">
        <v>0.09</v>
      </c>
      <c r="G39" s="244">
        <v>0.09</v>
      </c>
      <c r="H39" s="244">
        <v>0.09</v>
      </c>
      <c r="I39" s="244">
        <v>0.09</v>
      </c>
      <c r="J39" s="244">
        <v>0.09</v>
      </c>
      <c r="K39" s="244">
        <v>0.09</v>
      </c>
      <c r="L39" s="244">
        <v>0.09</v>
      </c>
      <c r="M39" s="244">
        <v>0.09</v>
      </c>
      <c r="N39" s="423">
        <v>0.09</v>
      </c>
      <c r="O39" s="242" t="s">
        <v>48</v>
      </c>
      <c r="P39" s="101">
        <f>SUM(D39:O39)</f>
        <v>0.94999999999999984</v>
      </c>
      <c r="Q39" s="496"/>
      <c r="R39" s="497"/>
      <c r="S39" s="497"/>
      <c r="T39" s="497"/>
      <c r="U39" s="497"/>
      <c r="V39" s="497"/>
      <c r="W39" s="497"/>
      <c r="X39" s="497"/>
      <c r="Y39" s="497"/>
      <c r="Z39" s="497"/>
      <c r="AA39" s="497"/>
      <c r="AB39" s="497"/>
      <c r="AC39" s="497"/>
      <c r="AD39" s="498"/>
      <c r="AE39" s="97"/>
    </row>
    <row r="40" spans="1:41" ht="84" customHeight="1" x14ac:dyDescent="0.25">
      <c r="A40" s="468" t="s">
        <v>94</v>
      </c>
      <c r="B40" s="470">
        <v>0.05</v>
      </c>
      <c r="C40" s="245" t="s">
        <v>67</v>
      </c>
      <c r="D40" s="249">
        <v>0.08</v>
      </c>
      <c r="E40" s="249">
        <v>0.08</v>
      </c>
      <c r="F40" s="249">
        <v>8.3000000000000004E-2</v>
      </c>
      <c r="G40" s="249">
        <v>8.3000000000000004E-2</v>
      </c>
      <c r="H40" s="249">
        <v>8.3000000000000004E-2</v>
      </c>
      <c r="I40" s="249">
        <v>8.3000000000000004E-2</v>
      </c>
      <c r="J40" s="249">
        <v>8.3000000000000004E-2</v>
      </c>
      <c r="K40" s="249">
        <v>8.3000000000000004E-2</v>
      </c>
      <c r="L40" s="249">
        <v>8.3000000000000004E-2</v>
      </c>
      <c r="M40" s="249">
        <v>8.3000000000000004E-2</v>
      </c>
      <c r="N40" s="246">
        <v>8.3000000000000004E-2</v>
      </c>
      <c r="O40" s="246">
        <v>0.09</v>
      </c>
      <c r="P40" s="101">
        <f>SUM(D40:O40)</f>
        <v>0.99699999999999989</v>
      </c>
      <c r="Q40" s="472" t="s">
        <v>95</v>
      </c>
      <c r="R40" s="473"/>
      <c r="S40" s="473"/>
      <c r="T40" s="473"/>
      <c r="U40" s="473"/>
      <c r="V40" s="473"/>
      <c r="W40" s="473"/>
      <c r="X40" s="473"/>
      <c r="Y40" s="473"/>
      <c r="Z40" s="473"/>
      <c r="AA40" s="473"/>
      <c r="AB40" s="473"/>
      <c r="AC40" s="473"/>
      <c r="AD40" s="474"/>
      <c r="AE40" s="97"/>
    </row>
    <row r="41" spans="1:41" ht="126.75" customHeight="1" x14ac:dyDescent="0.25">
      <c r="A41" s="469"/>
      <c r="B41" s="471"/>
      <c r="C41" s="247" t="s">
        <v>72</v>
      </c>
      <c r="D41" s="253">
        <v>0.08</v>
      </c>
      <c r="E41" s="253">
        <v>0.08</v>
      </c>
      <c r="F41" s="253">
        <v>8.3000000000000004E-2</v>
      </c>
      <c r="G41" s="253">
        <v>8.3000000000000004E-2</v>
      </c>
      <c r="H41" s="253">
        <v>8.3000000000000004E-2</v>
      </c>
      <c r="I41" s="253">
        <v>8.3000000000000004E-2</v>
      </c>
      <c r="J41" s="253">
        <v>8.3000000000000004E-2</v>
      </c>
      <c r="K41" s="253">
        <v>8.3000000000000004E-2</v>
      </c>
      <c r="L41" s="253">
        <v>8.3000000000000004E-2</v>
      </c>
      <c r="M41" s="253">
        <v>8.3000000000000004E-2</v>
      </c>
      <c r="N41" s="424">
        <v>8.3000000000000004E-2</v>
      </c>
      <c r="O41" s="422"/>
      <c r="P41" s="107">
        <f>SUM(D41:O41)</f>
        <v>0.90699999999999992</v>
      </c>
      <c r="Q41" s="475"/>
      <c r="R41" s="476"/>
      <c r="S41" s="476"/>
      <c r="T41" s="476"/>
      <c r="U41" s="476"/>
      <c r="V41" s="476"/>
      <c r="W41" s="476"/>
      <c r="X41" s="476"/>
      <c r="Y41" s="476"/>
      <c r="Z41" s="476"/>
      <c r="AA41" s="476"/>
      <c r="AB41" s="476"/>
      <c r="AC41" s="476"/>
      <c r="AD41" s="477"/>
      <c r="AE41" s="97"/>
    </row>
    <row r="42" spans="1:41" x14ac:dyDescent="0.25">
      <c r="A42" s="50" t="s">
        <v>96</v>
      </c>
    </row>
    <row r="55" spans="1:30" x14ac:dyDescent="0.25">
      <c r="A55" s="454" t="s">
        <v>97</v>
      </c>
      <c r="B55" s="456" t="s">
        <v>74</v>
      </c>
      <c r="C55" s="458" t="s">
        <v>75</v>
      </c>
      <c r="D55" s="459"/>
      <c r="E55" s="459"/>
      <c r="F55" s="459"/>
      <c r="G55" s="459"/>
      <c r="H55" s="459"/>
      <c r="I55" s="459"/>
      <c r="J55" s="459"/>
      <c r="K55" s="459"/>
      <c r="L55" s="459"/>
      <c r="M55" s="459"/>
      <c r="N55" s="459"/>
      <c r="O55" s="459"/>
      <c r="P55" s="460"/>
      <c r="Q55" s="191"/>
      <c r="R55" s="191"/>
      <c r="S55" s="192"/>
      <c r="T55" s="192"/>
      <c r="U55" s="192"/>
      <c r="V55" s="192"/>
      <c r="W55" s="192"/>
      <c r="X55" s="192"/>
      <c r="Y55" s="192"/>
      <c r="Z55" s="192"/>
      <c r="AA55" s="192"/>
      <c r="AB55" s="192"/>
      <c r="AC55" s="192"/>
      <c r="AD55" s="192"/>
    </row>
    <row r="56" spans="1:30" ht="21" x14ac:dyDescent="0.25">
      <c r="A56" s="455"/>
      <c r="B56" s="457"/>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461" t="str">
        <f>A38</f>
        <v xml:space="preserve">1. Socializar los lineamientos técnicos del Sistema Distrital de Cuidado con espacios e instancias de participación y ciudadanía en general. </v>
      </c>
      <c r="B57" s="463">
        <f>B38</f>
        <v>0.05</v>
      </c>
      <c r="C57" s="194" t="s">
        <v>67</v>
      </c>
      <c r="D57" s="195">
        <f>D38*$B$38/$P$38</f>
        <v>2.5000000000000009E-3</v>
      </c>
      <c r="E57" s="195">
        <f t="shared" ref="D57:O58" si="2">E38*$B$38/$P$38</f>
        <v>4.5000000000000005E-3</v>
      </c>
      <c r="F57" s="195">
        <f t="shared" si="2"/>
        <v>4.5000000000000005E-3</v>
      </c>
      <c r="G57" s="195">
        <f t="shared" si="2"/>
        <v>4.5000000000000005E-3</v>
      </c>
      <c r="H57" s="195">
        <f t="shared" si="2"/>
        <v>4.5000000000000005E-3</v>
      </c>
      <c r="I57" s="195">
        <f t="shared" si="2"/>
        <v>4.5000000000000005E-3</v>
      </c>
      <c r="J57" s="195">
        <f t="shared" si="2"/>
        <v>4.5000000000000005E-3</v>
      </c>
      <c r="K57" s="195">
        <f t="shared" si="2"/>
        <v>4.5000000000000005E-3</v>
      </c>
      <c r="L57" s="195">
        <f t="shared" si="2"/>
        <v>4.5000000000000005E-3</v>
      </c>
      <c r="M57" s="195">
        <f t="shared" si="2"/>
        <v>4.5000000000000005E-3</v>
      </c>
      <c r="N57" s="195">
        <f t="shared" si="2"/>
        <v>4.5000000000000005E-3</v>
      </c>
      <c r="O57" s="195">
        <f t="shared" si="2"/>
        <v>2.5000000000000009E-3</v>
      </c>
      <c r="P57" s="196">
        <f>SUM(D57:O57)</f>
        <v>5.0000000000000017E-2</v>
      </c>
      <c r="Q57" s="197">
        <v>0.05</v>
      </c>
      <c r="R57" s="198">
        <f t="shared" ref="R57:R65" si="3">+P57-Q57</f>
        <v>0</v>
      </c>
      <c r="S57" s="192"/>
      <c r="T57" s="192"/>
      <c r="U57" s="192"/>
      <c r="V57" s="192"/>
      <c r="W57" s="192"/>
      <c r="X57" s="192"/>
      <c r="Y57" s="192"/>
      <c r="Z57" s="192"/>
      <c r="AA57" s="192"/>
      <c r="AB57" s="192"/>
      <c r="AC57" s="192"/>
      <c r="AD57" s="192"/>
    </row>
    <row r="58" spans="1:30" x14ac:dyDescent="0.25">
      <c r="A58" s="462"/>
      <c r="B58" s="464"/>
      <c r="C58" s="199" t="s">
        <v>72</v>
      </c>
      <c r="D58" s="200">
        <f t="shared" si="2"/>
        <v>2.5000000000000009E-3</v>
      </c>
      <c r="E58" s="200">
        <f t="shared" si="2"/>
        <v>4.5000000000000005E-3</v>
      </c>
      <c r="F58" s="200">
        <f t="shared" si="2"/>
        <v>4.5000000000000005E-3</v>
      </c>
      <c r="G58" s="200">
        <f t="shared" si="2"/>
        <v>4.5000000000000005E-3</v>
      </c>
      <c r="H58" s="200">
        <f t="shared" si="2"/>
        <v>4.5000000000000005E-3</v>
      </c>
      <c r="I58" s="200">
        <f t="shared" si="2"/>
        <v>4.5000000000000005E-3</v>
      </c>
      <c r="J58" s="200">
        <f t="shared" si="2"/>
        <v>4.5000000000000005E-3</v>
      </c>
      <c r="K58" s="200">
        <f t="shared" si="2"/>
        <v>4.5000000000000005E-3</v>
      </c>
      <c r="L58" s="200">
        <f t="shared" si="2"/>
        <v>4.5000000000000005E-3</v>
      </c>
      <c r="M58" s="200">
        <f t="shared" si="2"/>
        <v>4.5000000000000005E-3</v>
      </c>
      <c r="N58" s="200">
        <f t="shared" si="2"/>
        <v>4.5000000000000005E-3</v>
      </c>
      <c r="O58" s="200" t="e">
        <f t="shared" si="2"/>
        <v>#VALUE!</v>
      </c>
      <c r="P58" s="201" t="e">
        <f>SUM(D58:O58)</f>
        <v>#VALUE!</v>
      </c>
      <c r="Q58" s="202" t="e">
        <f>+P58</f>
        <v>#VALUE!</v>
      </c>
      <c r="R58" s="198" t="e">
        <f t="shared" si="3"/>
        <v>#VALUE!</v>
      </c>
      <c r="S58" s="192"/>
      <c r="T58" s="192"/>
      <c r="U58" s="192"/>
      <c r="V58" s="192"/>
      <c r="W58" s="192"/>
      <c r="X58" s="192"/>
      <c r="Y58" s="192"/>
      <c r="Z58" s="192"/>
      <c r="AA58" s="192"/>
      <c r="AB58" s="192"/>
      <c r="AC58" s="192"/>
      <c r="AD58" s="192"/>
    </row>
    <row r="59" spans="1:30" x14ac:dyDescent="0.25">
      <c r="A59" s="461"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466">
        <f>B40</f>
        <v>0.05</v>
      </c>
      <c r="C59" s="194" t="s">
        <v>67</v>
      </c>
      <c r="D59" s="195">
        <f t="shared" ref="D59:O60" si="4">D40*$B$40/$P$40</f>
        <v>4.0120361083249758E-3</v>
      </c>
      <c r="E59" s="195">
        <f t="shared" si="4"/>
        <v>4.0120361083249758E-3</v>
      </c>
      <c r="F59" s="195">
        <f t="shared" si="4"/>
        <v>4.1624874623871619E-3</v>
      </c>
      <c r="G59" s="195">
        <f t="shared" si="4"/>
        <v>4.1624874623871619E-3</v>
      </c>
      <c r="H59" s="195">
        <f t="shared" si="4"/>
        <v>4.1624874623871619E-3</v>
      </c>
      <c r="I59" s="195">
        <f t="shared" si="4"/>
        <v>4.1624874623871619E-3</v>
      </c>
      <c r="J59" s="195">
        <f t="shared" si="4"/>
        <v>4.1624874623871619E-3</v>
      </c>
      <c r="K59" s="195">
        <f t="shared" si="4"/>
        <v>4.1624874623871619E-3</v>
      </c>
      <c r="L59" s="195">
        <f t="shared" si="4"/>
        <v>4.1624874623871619E-3</v>
      </c>
      <c r="M59" s="195">
        <f t="shared" si="4"/>
        <v>4.1624874623871619E-3</v>
      </c>
      <c r="N59" s="195">
        <f t="shared" si="4"/>
        <v>4.1624874623871619E-3</v>
      </c>
      <c r="O59" s="195">
        <f t="shared" si="4"/>
        <v>4.5135406218655971E-3</v>
      </c>
      <c r="P59" s="196">
        <f>SUM(D59:O59)</f>
        <v>5.000000000000001E-2</v>
      </c>
      <c r="Q59" s="197">
        <v>2.5000000000000001E-2</v>
      </c>
      <c r="R59" s="198">
        <f t="shared" si="3"/>
        <v>2.5000000000000008E-2</v>
      </c>
      <c r="S59" s="192"/>
      <c r="T59" s="192"/>
      <c r="U59" s="192"/>
      <c r="V59" s="192"/>
      <c r="W59" s="192"/>
      <c r="X59" s="192"/>
      <c r="Y59" s="192"/>
      <c r="Z59" s="192"/>
      <c r="AA59" s="192"/>
      <c r="AB59" s="192"/>
      <c r="AC59" s="192"/>
      <c r="AD59" s="192"/>
    </row>
    <row r="60" spans="1:30" x14ac:dyDescent="0.25">
      <c r="A60" s="465"/>
      <c r="B60" s="467"/>
      <c r="C60" s="203" t="s">
        <v>72</v>
      </c>
      <c r="D60" s="200">
        <f t="shared" si="4"/>
        <v>4.0120361083249758E-3</v>
      </c>
      <c r="E60" s="200">
        <f t="shared" si="4"/>
        <v>4.0120361083249758E-3</v>
      </c>
      <c r="F60" s="200">
        <f t="shared" si="4"/>
        <v>4.1624874623871619E-3</v>
      </c>
      <c r="G60" s="200">
        <f t="shared" si="4"/>
        <v>4.1624874623871619E-3</v>
      </c>
      <c r="H60" s="200">
        <f t="shared" si="4"/>
        <v>4.1624874623871619E-3</v>
      </c>
      <c r="I60" s="200">
        <f t="shared" si="4"/>
        <v>4.1624874623871619E-3</v>
      </c>
      <c r="J60" s="200">
        <f t="shared" si="4"/>
        <v>4.1624874623871619E-3</v>
      </c>
      <c r="K60" s="200">
        <f t="shared" si="4"/>
        <v>4.1624874623871619E-3</v>
      </c>
      <c r="L60" s="200">
        <f t="shared" si="4"/>
        <v>4.1624874623871619E-3</v>
      </c>
      <c r="M60" s="200">
        <f t="shared" si="4"/>
        <v>4.1624874623871619E-3</v>
      </c>
      <c r="N60" s="200">
        <f t="shared" si="4"/>
        <v>4.1624874623871619E-3</v>
      </c>
      <c r="O60" s="200">
        <f t="shared" si="4"/>
        <v>0</v>
      </c>
      <c r="P60" s="201">
        <f>SUM(D60:O60)</f>
        <v>4.5486459378134413E-2</v>
      </c>
      <c r="Q60" s="202">
        <f>+P60</f>
        <v>4.5486459378134413E-2</v>
      </c>
      <c r="R60" s="198">
        <f t="shared" si="3"/>
        <v>0</v>
      </c>
      <c r="S60" s="192"/>
      <c r="T60" s="192"/>
      <c r="U60" s="192"/>
      <c r="V60" s="192"/>
      <c r="W60" s="192"/>
      <c r="X60" s="192"/>
      <c r="Y60" s="192"/>
      <c r="Z60" s="192"/>
      <c r="AA60" s="192"/>
      <c r="AB60" s="192"/>
      <c r="AC60" s="192"/>
      <c r="AD60" s="192"/>
    </row>
    <row r="61" spans="1:30" x14ac:dyDescent="0.25">
      <c r="A61" s="450"/>
      <c r="B61" s="452"/>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5">
      <c r="A62" s="451"/>
      <c r="B62" s="453"/>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f>
        <v>6.5120361083249763E-3</v>
      </c>
      <c r="E65" s="213">
        <f t="shared" ref="E65:O65" si="5">E58+E60</f>
        <v>8.5120361083249763E-3</v>
      </c>
      <c r="F65" s="213">
        <f t="shared" si="5"/>
        <v>8.6624874623871632E-3</v>
      </c>
      <c r="G65" s="213">
        <f t="shared" si="5"/>
        <v>8.6624874623871632E-3</v>
      </c>
      <c r="H65" s="213">
        <f t="shared" si="5"/>
        <v>8.6624874623871632E-3</v>
      </c>
      <c r="I65" s="213">
        <f t="shared" si="5"/>
        <v>8.6624874623871632E-3</v>
      </c>
      <c r="J65" s="213">
        <f t="shared" si="5"/>
        <v>8.6624874623871632E-3</v>
      </c>
      <c r="K65" s="213">
        <f t="shared" si="5"/>
        <v>8.6624874623871632E-3</v>
      </c>
      <c r="L65" s="213">
        <f t="shared" si="5"/>
        <v>8.6624874623871632E-3</v>
      </c>
      <c r="M65" s="213">
        <f t="shared" si="5"/>
        <v>8.6624874623871632E-3</v>
      </c>
      <c r="N65" s="213">
        <f t="shared" si="5"/>
        <v>8.6624874623871632E-3</v>
      </c>
      <c r="O65" s="213" t="e">
        <f t="shared" si="5"/>
        <v>#VALUE!</v>
      </c>
      <c r="P65" s="213" t="e">
        <f>P58+P60+P62</f>
        <v>#VALUE!</v>
      </c>
      <c r="Q65" s="191"/>
      <c r="R65" s="198" t="e">
        <f t="shared" si="3"/>
        <v>#VALUE!</v>
      </c>
      <c r="S65" s="192"/>
      <c r="T65" s="192"/>
      <c r="U65" s="192"/>
      <c r="V65" s="192"/>
      <c r="W65" s="192"/>
      <c r="X65" s="192"/>
      <c r="Y65" s="192"/>
      <c r="Z65" s="192"/>
      <c r="AA65" s="192"/>
      <c r="AB65" s="192"/>
      <c r="AC65" s="192"/>
      <c r="AD65" s="192"/>
    </row>
    <row r="66" spans="1:30" x14ac:dyDescent="0.25">
      <c r="A66" s="191"/>
      <c r="B66" s="214"/>
      <c r="C66" s="215" t="s">
        <v>72</v>
      </c>
      <c r="D66" s="216">
        <f>D65*$W$17/$B$34</f>
        <v>6.5120361083249756E-2</v>
      </c>
      <c r="E66" s="216">
        <f t="shared" ref="E66:O66" si="6">E65*$W$17/$B$34</f>
        <v>8.512036108324976E-2</v>
      </c>
      <c r="F66" s="216">
        <f t="shared" si="6"/>
        <v>8.6624874623871626E-2</v>
      </c>
      <c r="G66" s="216">
        <f t="shared" si="6"/>
        <v>8.6624874623871626E-2</v>
      </c>
      <c r="H66" s="216">
        <f t="shared" si="6"/>
        <v>8.6624874623871626E-2</v>
      </c>
      <c r="I66" s="216">
        <f t="shared" si="6"/>
        <v>8.6624874623871626E-2</v>
      </c>
      <c r="J66" s="216">
        <f t="shared" si="6"/>
        <v>8.6624874623871626E-2</v>
      </c>
      <c r="K66" s="216">
        <f t="shared" si="6"/>
        <v>8.6624874623871626E-2</v>
      </c>
      <c r="L66" s="216">
        <f t="shared" si="6"/>
        <v>8.6624874623871626E-2</v>
      </c>
      <c r="M66" s="216">
        <f t="shared" si="6"/>
        <v>8.6624874623871626E-2</v>
      </c>
      <c r="N66" s="216">
        <f t="shared" si="6"/>
        <v>8.6624874623871626E-2</v>
      </c>
      <c r="O66" s="216" t="e">
        <f t="shared" si="6"/>
        <v>#VALUE!</v>
      </c>
      <c r="P66" s="217" t="e">
        <f>SUM(D66:O66)</f>
        <v>#VALUE!</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+D57+D59</f>
        <v>6.5120361083249763E-3</v>
      </c>
      <c r="E68" s="213">
        <f t="shared" ref="E68:O68" si="7">+E57+E59</f>
        <v>8.5120361083249763E-3</v>
      </c>
      <c r="F68" s="213">
        <f t="shared" si="7"/>
        <v>8.6624874623871632E-3</v>
      </c>
      <c r="G68" s="213">
        <f t="shared" si="7"/>
        <v>8.6624874623871632E-3</v>
      </c>
      <c r="H68" s="213">
        <f t="shared" si="7"/>
        <v>8.6624874623871632E-3</v>
      </c>
      <c r="I68" s="213">
        <f t="shared" si="7"/>
        <v>8.6624874623871632E-3</v>
      </c>
      <c r="J68" s="213">
        <f t="shared" si="7"/>
        <v>8.6624874623871632E-3</v>
      </c>
      <c r="K68" s="213">
        <f t="shared" si="7"/>
        <v>8.6624874623871632E-3</v>
      </c>
      <c r="L68" s="213">
        <f t="shared" si="7"/>
        <v>8.6624874623871632E-3</v>
      </c>
      <c r="M68" s="213">
        <f t="shared" si="7"/>
        <v>8.6624874623871632E-3</v>
      </c>
      <c r="N68" s="213">
        <f t="shared" si="7"/>
        <v>8.6624874623871632E-3</v>
      </c>
      <c r="O68" s="213">
        <f t="shared" si="7"/>
        <v>7.0135406218655976E-3</v>
      </c>
      <c r="P68" s="213">
        <f>+P57+P59+P61</f>
        <v>0.10000000000000003</v>
      </c>
      <c r="Q68" s="197"/>
      <c r="R68" s="197"/>
      <c r="S68" s="192"/>
      <c r="T68" s="192"/>
      <c r="U68" s="192"/>
      <c r="V68" s="192"/>
      <c r="W68" s="192"/>
      <c r="X68" s="192"/>
      <c r="Y68" s="192"/>
      <c r="Z68" s="192"/>
      <c r="AA68" s="192"/>
      <c r="AB68" s="192"/>
      <c r="AC68" s="192"/>
      <c r="AD68" s="192"/>
    </row>
    <row r="69" spans="1:30" x14ac:dyDescent="0.25">
      <c r="A69" s="197"/>
      <c r="B69" s="108"/>
      <c r="C69" s="215" t="s">
        <v>67</v>
      </c>
      <c r="D69" s="216">
        <f>D68*$W$17/$B$34</f>
        <v>6.5120361083249756E-2</v>
      </c>
      <c r="E69" s="216">
        <f t="shared" ref="E69:O69" si="8">E68*$W$17/$B$34</f>
        <v>8.512036108324976E-2</v>
      </c>
      <c r="F69" s="216">
        <f t="shared" si="8"/>
        <v>8.6624874623871626E-2</v>
      </c>
      <c r="G69" s="216">
        <f t="shared" si="8"/>
        <v>8.6624874623871626E-2</v>
      </c>
      <c r="H69" s="216">
        <f t="shared" si="8"/>
        <v>8.6624874623871626E-2</v>
      </c>
      <c r="I69" s="216">
        <f t="shared" si="8"/>
        <v>8.6624874623871626E-2</v>
      </c>
      <c r="J69" s="216">
        <f t="shared" si="8"/>
        <v>8.6624874623871626E-2</v>
      </c>
      <c r="K69" s="216">
        <f t="shared" si="8"/>
        <v>8.6624874623871626E-2</v>
      </c>
      <c r="L69" s="216">
        <f t="shared" si="8"/>
        <v>8.6624874623871626E-2</v>
      </c>
      <c r="M69" s="216">
        <f t="shared" si="8"/>
        <v>8.6624874623871626E-2</v>
      </c>
      <c r="N69" s="216">
        <f t="shared" si="8"/>
        <v>8.6624874623871626E-2</v>
      </c>
      <c r="O69" s="216">
        <f t="shared" si="8"/>
        <v>7.0135406218655966E-2</v>
      </c>
      <c r="P69" s="217">
        <f>SUM(D69:O69)</f>
        <v>1</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row r="73" spans="1:30" x14ac:dyDescent="0.25">
      <c r="A73" s="192"/>
      <c r="Q73" s="192"/>
      <c r="R73" s="192"/>
      <c r="S73" s="192"/>
      <c r="T73" s="192"/>
      <c r="U73" s="192"/>
      <c r="V73" s="192"/>
      <c r="W73" s="192"/>
      <c r="X73" s="192"/>
      <c r="Y73" s="192"/>
      <c r="Z73" s="192"/>
      <c r="AA73" s="192"/>
      <c r="AB73" s="192"/>
      <c r="AC73" s="192"/>
      <c r="AD73" s="192"/>
    </row>
    <row r="74" spans="1:30" x14ac:dyDescent="0.25">
      <c r="A74" s="192"/>
      <c r="Q74" s="192"/>
      <c r="R74" s="192"/>
      <c r="S74" s="192"/>
      <c r="T74" s="192"/>
      <c r="U74" s="192"/>
      <c r="V74" s="192"/>
      <c r="W74" s="192"/>
      <c r="X74" s="192"/>
      <c r="Y74" s="192"/>
      <c r="Z74" s="192"/>
      <c r="AA74" s="192"/>
      <c r="AB74" s="192"/>
      <c r="AC74" s="192"/>
      <c r="AD74" s="192"/>
    </row>
    <row r="75" spans="1:30" x14ac:dyDescent="0.25">
      <c r="A75" s="192"/>
      <c r="Q75" s="192"/>
      <c r="R75" s="192"/>
      <c r="S75" s="192"/>
      <c r="T75" s="192"/>
      <c r="U75" s="192"/>
      <c r="V75" s="192"/>
      <c r="W75" s="192"/>
      <c r="X75" s="192"/>
      <c r="Y75" s="192"/>
      <c r="Z75" s="192"/>
      <c r="AA75" s="192"/>
      <c r="AB75" s="192"/>
      <c r="AC75" s="192"/>
      <c r="AD75" s="192"/>
    </row>
    <row r="76" spans="1:30" x14ac:dyDescent="0.25">
      <c r="A76" s="192"/>
      <c r="Q76" s="192"/>
      <c r="R76" s="192"/>
      <c r="S76" s="192"/>
      <c r="T76" s="192"/>
      <c r="U76" s="192"/>
      <c r="V76" s="192"/>
      <c r="W76" s="192"/>
      <c r="X76" s="192"/>
      <c r="Y76" s="192"/>
      <c r="Z76" s="192"/>
      <c r="AA76" s="192"/>
      <c r="AB76" s="192"/>
      <c r="AC76" s="192"/>
      <c r="AD76" s="192"/>
    </row>
    <row r="77" spans="1:30" x14ac:dyDescent="0.25">
      <c r="A77" s="192"/>
      <c r="Q77" s="192"/>
      <c r="R77" s="192"/>
      <c r="S77" s="192"/>
      <c r="T77" s="192"/>
      <c r="U77" s="192"/>
      <c r="V77" s="192"/>
      <c r="W77" s="192"/>
      <c r="X77" s="192"/>
      <c r="Y77" s="192"/>
      <c r="Z77" s="192"/>
      <c r="AA77" s="192"/>
      <c r="AB77" s="192"/>
      <c r="AC77" s="192"/>
      <c r="AD77" s="192"/>
    </row>
    <row r="78" spans="1:30" x14ac:dyDescent="0.25">
      <c r="A78" s="192"/>
      <c r="Q78" s="192"/>
      <c r="R78" s="192"/>
      <c r="S78" s="192"/>
      <c r="T78" s="192"/>
      <c r="U78" s="192"/>
      <c r="V78" s="192"/>
      <c r="W78" s="192"/>
      <c r="X78" s="192"/>
      <c r="Y78" s="192"/>
      <c r="Z78" s="192"/>
      <c r="AA78" s="192"/>
      <c r="AB78" s="192"/>
      <c r="AC78" s="192"/>
      <c r="AD78" s="192"/>
    </row>
    <row r="79" spans="1:30" x14ac:dyDescent="0.25">
      <c r="A79" s="192"/>
      <c r="Q79" s="192"/>
      <c r="R79" s="192"/>
      <c r="S79" s="192"/>
      <c r="T79" s="192"/>
      <c r="U79" s="192"/>
      <c r="V79" s="192"/>
      <c r="W79" s="192"/>
      <c r="X79" s="192"/>
      <c r="Y79" s="192"/>
      <c r="Z79" s="192"/>
      <c r="AA79" s="192"/>
      <c r="AB79" s="192"/>
      <c r="AC79" s="192"/>
      <c r="AD79" s="192"/>
    </row>
    <row r="80" spans="1:30" x14ac:dyDescent="0.25">
      <c r="A80" s="192"/>
      <c r="Q80" s="192"/>
      <c r="R80" s="192"/>
      <c r="S80" s="192"/>
      <c r="T80" s="192"/>
      <c r="U80" s="192"/>
      <c r="V80" s="192"/>
      <c r="W80" s="192"/>
      <c r="X80" s="192"/>
      <c r="Y80" s="192"/>
      <c r="Z80" s="192"/>
      <c r="AA80" s="192"/>
      <c r="AB80" s="192"/>
      <c r="AC80" s="192"/>
      <c r="AD80" s="192"/>
    </row>
    <row r="81" spans="1:30" x14ac:dyDescent="0.25">
      <c r="A81" s="192"/>
      <c r="Q81" s="192"/>
      <c r="R81" s="192"/>
      <c r="S81" s="192"/>
      <c r="T81" s="192"/>
      <c r="U81" s="192"/>
      <c r="V81" s="192"/>
      <c r="W81" s="192"/>
      <c r="X81" s="192"/>
      <c r="Y81" s="192"/>
      <c r="Z81" s="192"/>
      <c r="AA81" s="192"/>
      <c r="AB81" s="192"/>
      <c r="AC81" s="192"/>
      <c r="AD81" s="192"/>
    </row>
    <row r="82" spans="1:30" x14ac:dyDescent="0.25">
      <c r="A82" s="192"/>
      <c r="Q82" s="192"/>
      <c r="R82" s="192"/>
      <c r="S82" s="192"/>
      <c r="T82" s="192"/>
      <c r="U82" s="192"/>
      <c r="V82" s="192"/>
      <c r="W82" s="192"/>
      <c r="X82" s="192"/>
      <c r="Y82" s="192"/>
      <c r="Z82" s="192"/>
      <c r="AA82" s="192"/>
      <c r="AB82" s="192"/>
      <c r="AC82" s="192"/>
      <c r="AD82" s="192"/>
    </row>
    <row r="83" spans="1:30" x14ac:dyDescent="0.25">
      <c r="A83" s="192"/>
      <c r="Q83" s="192"/>
      <c r="R83" s="192"/>
      <c r="S83" s="192"/>
      <c r="T83" s="192"/>
      <c r="U83" s="192"/>
      <c r="V83" s="192"/>
      <c r="W83" s="192"/>
      <c r="X83" s="192"/>
      <c r="Y83" s="192"/>
      <c r="Z83" s="192"/>
      <c r="AA83" s="192"/>
      <c r="AB83" s="192"/>
      <c r="AC83" s="192"/>
      <c r="AD83" s="192"/>
    </row>
    <row r="84" spans="1:30" x14ac:dyDescent="0.25">
      <c r="A84" s="192"/>
      <c r="Q84" s="192"/>
      <c r="R84" s="192"/>
      <c r="S84" s="192"/>
      <c r="T84" s="192"/>
      <c r="U84" s="192"/>
      <c r="V84" s="192"/>
      <c r="W84" s="192"/>
      <c r="X84" s="192"/>
      <c r="Y84" s="192"/>
      <c r="Z84" s="192"/>
      <c r="AA84" s="192"/>
      <c r="AB84" s="192"/>
      <c r="AC84" s="192"/>
      <c r="AD84" s="192"/>
    </row>
    <row r="85" spans="1:30" x14ac:dyDescent="0.25">
      <c r="A85" s="192"/>
      <c r="Q85" s="192"/>
      <c r="R85" s="192"/>
      <c r="S85" s="192"/>
      <c r="T85" s="192"/>
      <c r="U85" s="192"/>
      <c r="V85" s="192"/>
      <c r="W85" s="192"/>
      <c r="X85" s="192"/>
      <c r="Y85" s="192"/>
      <c r="Z85" s="192"/>
      <c r="AA85" s="192"/>
      <c r="AB85" s="192"/>
      <c r="AC85" s="192"/>
      <c r="AD85" s="192"/>
    </row>
  </sheetData>
  <mergeCells count="86">
    <mergeCell ref="AF22:AM25"/>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Q33:S33"/>
    <mergeCell ref="T33:V33"/>
    <mergeCell ref="A34:A35"/>
    <mergeCell ref="B34:B35"/>
    <mergeCell ref="W34:Z35"/>
    <mergeCell ref="AA34:AD35"/>
    <mergeCell ref="Q34:S35"/>
    <mergeCell ref="T34:V35"/>
    <mergeCell ref="A40:A41"/>
    <mergeCell ref="B40:B41"/>
    <mergeCell ref="Q40:AD41"/>
    <mergeCell ref="A36:A37"/>
    <mergeCell ref="B36:B37"/>
    <mergeCell ref="C36:P36"/>
    <mergeCell ref="Q36:AD36"/>
    <mergeCell ref="Q37:AD37"/>
    <mergeCell ref="A38:A39"/>
    <mergeCell ref="B38:B39"/>
    <mergeCell ref="Q38:AD39"/>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W34 AA34 Q34 Q38: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dataValidations>
  <pageMargins left="0.25" right="0.25" top="0.75" bottom="0.75" header="0.3" footer="0.3"/>
  <pageSetup scale="22"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44"/>
  <sheetViews>
    <sheetView showGridLines="0" topLeftCell="A18" zoomScale="60" zoomScaleNormal="60" workbookViewId="0">
      <selection activeCell="I10" sqref="I10"/>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3.28515625" style="50" customWidth="1"/>
    <col min="20" max="22" width="22.28515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89"/>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1"/>
      <c r="AB1" s="566" t="s">
        <v>1</v>
      </c>
      <c r="AC1" s="567"/>
      <c r="AD1" s="568"/>
    </row>
    <row r="2" spans="1:30" ht="30.75" customHeight="1" thickBot="1" x14ac:dyDescent="0.3">
      <c r="A2" s="590"/>
      <c r="B2" s="569" t="s">
        <v>2</v>
      </c>
      <c r="C2" s="570"/>
      <c r="D2" s="570"/>
      <c r="E2" s="570"/>
      <c r="F2" s="570"/>
      <c r="G2" s="570"/>
      <c r="H2" s="570"/>
      <c r="I2" s="570"/>
      <c r="J2" s="570"/>
      <c r="K2" s="570"/>
      <c r="L2" s="570"/>
      <c r="M2" s="570"/>
      <c r="N2" s="570"/>
      <c r="O2" s="570"/>
      <c r="P2" s="570"/>
      <c r="Q2" s="570"/>
      <c r="R2" s="570"/>
      <c r="S2" s="570"/>
      <c r="T2" s="570"/>
      <c r="U2" s="570"/>
      <c r="V2" s="570"/>
      <c r="W2" s="570"/>
      <c r="X2" s="570"/>
      <c r="Y2" s="570"/>
      <c r="Z2" s="570"/>
      <c r="AA2" s="571"/>
      <c r="AB2" s="572" t="s">
        <v>3</v>
      </c>
      <c r="AC2" s="573"/>
      <c r="AD2" s="574"/>
    </row>
    <row r="3" spans="1:30" ht="24" customHeight="1" x14ac:dyDescent="0.25">
      <c r="A3" s="590"/>
      <c r="B3" s="575" t="s">
        <v>4</v>
      </c>
      <c r="C3" s="576"/>
      <c r="D3" s="576"/>
      <c r="E3" s="576"/>
      <c r="F3" s="576"/>
      <c r="G3" s="576"/>
      <c r="H3" s="576"/>
      <c r="I3" s="576"/>
      <c r="J3" s="576"/>
      <c r="K3" s="576"/>
      <c r="L3" s="576"/>
      <c r="M3" s="576"/>
      <c r="N3" s="576"/>
      <c r="O3" s="576"/>
      <c r="P3" s="576"/>
      <c r="Q3" s="576"/>
      <c r="R3" s="576"/>
      <c r="S3" s="576"/>
      <c r="T3" s="576"/>
      <c r="U3" s="576"/>
      <c r="V3" s="576"/>
      <c r="W3" s="576"/>
      <c r="X3" s="576"/>
      <c r="Y3" s="576"/>
      <c r="Z3" s="576"/>
      <c r="AA3" s="577"/>
      <c r="AB3" s="572" t="s">
        <v>5</v>
      </c>
      <c r="AC3" s="573"/>
      <c r="AD3" s="574"/>
    </row>
    <row r="4" spans="1:30" ht="21.95" customHeight="1" thickBot="1" x14ac:dyDescent="0.3">
      <c r="A4" s="591"/>
      <c r="B4" s="500"/>
      <c r="C4" s="502"/>
      <c r="D4" s="502"/>
      <c r="E4" s="502"/>
      <c r="F4" s="502"/>
      <c r="G4" s="502"/>
      <c r="H4" s="502"/>
      <c r="I4" s="502"/>
      <c r="J4" s="502"/>
      <c r="K4" s="502"/>
      <c r="L4" s="502"/>
      <c r="M4" s="502"/>
      <c r="N4" s="502"/>
      <c r="O4" s="502"/>
      <c r="P4" s="502"/>
      <c r="Q4" s="502"/>
      <c r="R4" s="502"/>
      <c r="S4" s="502"/>
      <c r="T4" s="502"/>
      <c r="U4" s="502"/>
      <c r="V4" s="502"/>
      <c r="W4" s="502"/>
      <c r="X4" s="502"/>
      <c r="Y4" s="502"/>
      <c r="Z4" s="502"/>
      <c r="AA4" s="578"/>
      <c r="AB4" s="579" t="s">
        <v>6</v>
      </c>
      <c r="AC4" s="580"/>
      <c r="AD4" s="581"/>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96" t="s">
        <v>7</v>
      </c>
      <c r="B7" s="597"/>
      <c r="C7" s="602" t="s">
        <v>8</v>
      </c>
      <c r="D7" s="596" t="s">
        <v>9</v>
      </c>
      <c r="E7" s="614"/>
      <c r="F7" s="614"/>
      <c r="G7" s="614"/>
      <c r="H7" s="597"/>
      <c r="I7" s="631">
        <v>45265</v>
      </c>
      <c r="J7" s="618"/>
      <c r="K7" s="596" t="s">
        <v>10</v>
      </c>
      <c r="L7" s="597"/>
      <c r="M7" s="584" t="s">
        <v>11</v>
      </c>
      <c r="N7" s="585"/>
      <c r="O7" s="623"/>
      <c r="P7" s="624"/>
      <c r="Q7" s="54"/>
      <c r="R7" s="54"/>
      <c r="S7" s="54"/>
      <c r="T7" s="54"/>
      <c r="U7" s="54"/>
      <c r="V7" s="54"/>
      <c r="W7" s="54"/>
      <c r="X7" s="54"/>
      <c r="Y7" s="54"/>
      <c r="Z7" s="55"/>
      <c r="AA7" s="54"/>
      <c r="AB7" s="54"/>
      <c r="AC7" s="60"/>
      <c r="AD7" s="61"/>
    </row>
    <row r="8" spans="1:30" ht="15" customHeight="1" x14ac:dyDescent="0.25">
      <c r="A8" s="598"/>
      <c r="B8" s="599"/>
      <c r="C8" s="603"/>
      <c r="D8" s="598"/>
      <c r="E8" s="615"/>
      <c r="F8" s="615"/>
      <c r="G8" s="615"/>
      <c r="H8" s="599"/>
      <c r="I8" s="619"/>
      <c r="J8" s="620"/>
      <c r="K8" s="598"/>
      <c r="L8" s="599"/>
      <c r="M8" s="625" t="s">
        <v>12</v>
      </c>
      <c r="N8" s="626"/>
      <c r="O8" s="627"/>
      <c r="P8" s="628"/>
      <c r="Q8" s="54"/>
      <c r="R8" s="54"/>
      <c r="S8" s="54"/>
      <c r="T8" s="54"/>
      <c r="U8" s="54"/>
      <c r="V8" s="54"/>
      <c r="W8" s="54"/>
      <c r="X8" s="54"/>
      <c r="Y8" s="54"/>
      <c r="Z8" s="55"/>
      <c r="AA8" s="54"/>
      <c r="AB8" s="54"/>
      <c r="AC8" s="60"/>
      <c r="AD8" s="61"/>
    </row>
    <row r="9" spans="1:30" ht="15.75" customHeight="1" x14ac:dyDescent="0.25">
      <c r="A9" s="600"/>
      <c r="B9" s="601"/>
      <c r="C9" s="604"/>
      <c r="D9" s="600"/>
      <c r="E9" s="616"/>
      <c r="F9" s="616"/>
      <c r="G9" s="616"/>
      <c r="H9" s="601"/>
      <c r="I9" s="621"/>
      <c r="J9" s="622"/>
      <c r="K9" s="600"/>
      <c r="L9" s="601"/>
      <c r="M9" s="629" t="s">
        <v>13</v>
      </c>
      <c r="N9" s="630"/>
      <c r="O9" s="582" t="s">
        <v>14</v>
      </c>
      <c r="P9" s="583"/>
      <c r="Q9" s="54"/>
      <c r="R9" s="54"/>
      <c r="S9" s="54"/>
      <c r="T9" s="54"/>
      <c r="U9" s="54"/>
      <c r="V9" s="54"/>
      <c r="W9" s="54"/>
      <c r="X9" s="54"/>
      <c r="Y9" s="54"/>
      <c r="Z9" s="55"/>
      <c r="AA9" s="54"/>
      <c r="AB9" s="54"/>
      <c r="AC9" s="60"/>
      <c r="AD9" s="61"/>
    </row>
    <row r="10" spans="1:30" ht="15" customHeight="1" x14ac:dyDescent="0.25">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596" t="s">
        <v>15</v>
      </c>
      <c r="B11" s="597"/>
      <c r="C11" s="605" t="s">
        <v>16</v>
      </c>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7"/>
    </row>
    <row r="12" spans="1:30" ht="15" customHeight="1" x14ac:dyDescent="0.25">
      <c r="A12" s="598"/>
      <c r="B12" s="599"/>
      <c r="C12" s="608"/>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10"/>
    </row>
    <row r="13" spans="1:30" ht="15" customHeight="1" thickBot="1" x14ac:dyDescent="0.3">
      <c r="A13" s="600"/>
      <c r="B13" s="601"/>
      <c r="C13" s="611"/>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47" t="s">
        <v>17</v>
      </c>
      <c r="B15" s="548"/>
      <c r="C15" s="586" t="s">
        <v>18</v>
      </c>
      <c r="D15" s="587"/>
      <c r="E15" s="587"/>
      <c r="F15" s="587"/>
      <c r="G15" s="587"/>
      <c r="H15" s="587"/>
      <c r="I15" s="587"/>
      <c r="J15" s="587"/>
      <c r="K15" s="588"/>
      <c r="L15" s="555" t="s">
        <v>19</v>
      </c>
      <c r="M15" s="559"/>
      <c r="N15" s="559"/>
      <c r="O15" s="559"/>
      <c r="P15" s="559"/>
      <c r="Q15" s="556"/>
      <c r="R15" s="552" t="s">
        <v>20</v>
      </c>
      <c r="S15" s="553"/>
      <c r="T15" s="553"/>
      <c r="U15" s="553"/>
      <c r="V15" s="553"/>
      <c r="W15" s="553"/>
      <c r="X15" s="554"/>
      <c r="Y15" s="555" t="s">
        <v>21</v>
      </c>
      <c r="Z15" s="556"/>
      <c r="AA15" s="543" t="s">
        <v>22</v>
      </c>
      <c r="AB15" s="544"/>
      <c r="AC15" s="544"/>
      <c r="AD15" s="545"/>
    </row>
    <row r="16" spans="1:30" ht="9" customHeight="1" thickBot="1" x14ac:dyDescent="0.3">
      <c r="A16" s="59"/>
      <c r="B16" s="54"/>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73"/>
      <c r="AD16" s="74"/>
    </row>
    <row r="17" spans="1:41" s="76" customFormat="1" ht="37.5" customHeight="1" thickBot="1" x14ac:dyDescent="0.3">
      <c r="A17" s="547" t="s">
        <v>23</v>
      </c>
      <c r="B17" s="548"/>
      <c r="C17" s="549" t="s">
        <v>98</v>
      </c>
      <c r="D17" s="550"/>
      <c r="E17" s="550"/>
      <c r="F17" s="550"/>
      <c r="G17" s="550"/>
      <c r="H17" s="550"/>
      <c r="I17" s="550"/>
      <c r="J17" s="550"/>
      <c r="K17" s="550"/>
      <c r="L17" s="550"/>
      <c r="M17" s="550"/>
      <c r="N17" s="550"/>
      <c r="O17" s="550"/>
      <c r="P17" s="550"/>
      <c r="Q17" s="551"/>
      <c r="R17" s="555" t="s">
        <v>25</v>
      </c>
      <c r="S17" s="559"/>
      <c r="T17" s="559"/>
      <c r="U17" s="559"/>
      <c r="V17" s="556"/>
      <c r="W17" s="557">
        <v>13</v>
      </c>
      <c r="X17" s="558"/>
      <c r="Y17" s="559" t="s">
        <v>26</v>
      </c>
      <c r="Z17" s="559"/>
      <c r="AA17" s="559"/>
      <c r="AB17" s="556"/>
      <c r="AC17" s="594">
        <v>0.15</v>
      </c>
      <c r="AD17" s="59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55"/>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6"/>
      <c r="AE19" s="83"/>
      <c r="AF19" s="83"/>
    </row>
    <row r="20" spans="1:41" ht="32.1" customHeight="1" x14ac:dyDescent="0.25">
      <c r="A20" s="182"/>
      <c r="B20" s="58"/>
      <c r="C20" s="563" t="s">
        <v>28</v>
      </c>
      <c r="D20" s="564"/>
      <c r="E20" s="564"/>
      <c r="F20" s="564"/>
      <c r="G20" s="564"/>
      <c r="H20" s="564"/>
      <c r="I20" s="564"/>
      <c r="J20" s="564"/>
      <c r="K20" s="564"/>
      <c r="L20" s="564"/>
      <c r="M20" s="564"/>
      <c r="N20" s="564"/>
      <c r="O20" s="564"/>
      <c r="P20" s="565"/>
      <c r="Q20" s="560" t="s">
        <v>29</v>
      </c>
      <c r="R20" s="561"/>
      <c r="S20" s="561"/>
      <c r="T20" s="561"/>
      <c r="U20" s="561"/>
      <c r="V20" s="561"/>
      <c r="W20" s="561"/>
      <c r="X20" s="561"/>
      <c r="Y20" s="561"/>
      <c r="Z20" s="561"/>
      <c r="AA20" s="561"/>
      <c r="AB20" s="561"/>
      <c r="AC20" s="561"/>
      <c r="AD20" s="562"/>
      <c r="AE20" s="83"/>
      <c r="AF20" s="83"/>
    </row>
    <row r="21" spans="1:41" ht="32.1" customHeight="1" x14ac:dyDescent="0.25">
      <c r="A21" s="183"/>
      <c r="B21" s="74"/>
      <c r="C21" s="146" t="s">
        <v>30</v>
      </c>
      <c r="D21" s="147" t="s">
        <v>31</v>
      </c>
      <c r="E21" s="147" t="s">
        <v>32</v>
      </c>
      <c r="F21" s="147" t="s">
        <v>33</v>
      </c>
      <c r="G21" s="147" t="s">
        <v>34</v>
      </c>
      <c r="H21" s="147" t="s">
        <v>35</v>
      </c>
      <c r="I21" s="147" t="s">
        <v>36</v>
      </c>
      <c r="J21" s="147" t="s">
        <v>37</v>
      </c>
      <c r="K21" s="275" t="s">
        <v>38</v>
      </c>
      <c r="L21" s="275" t="s">
        <v>39</v>
      </c>
      <c r="M21" s="147" t="s">
        <v>8</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8</v>
      </c>
      <c r="AB21" s="147" t="s">
        <v>40</v>
      </c>
      <c r="AC21" s="147" t="s">
        <v>41</v>
      </c>
      <c r="AD21" s="148" t="s">
        <v>42</v>
      </c>
      <c r="AE21" s="3"/>
      <c r="AF21" s="3"/>
    </row>
    <row r="22" spans="1:41" ht="32.1" customHeight="1" x14ac:dyDescent="0.25">
      <c r="A22" s="522" t="s">
        <v>43</v>
      </c>
      <c r="B22" s="593"/>
      <c r="C22" s="168"/>
      <c r="D22" s="166"/>
      <c r="E22" s="166"/>
      <c r="F22" s="166"/>
      <c r="G22" s="166"/>
      <c r="H22" s="166"/>
      <c r="I22" s="166"/>
      <c r="J22" s="169"/>
      <c r="K22" s="303"/>
      <c r="L22" s="303"/>
      <c r="M22" s="315"/>
      <c r="N22" s="166"/>
      <c r="O22" s="166">
        <f>SUM(C22:N22)</f>
        <v>0</v>
      </c>
      <c r="P22" s="169"/>
      <c r="Q22" s="168">
        <v>187995600</v>
      </c>
      <c r="R22" s="308"/>
      <c r="S22" s="166"/>
      <c r="T22" s="166">
        <v>21559511</v>
      </c>
      <c r="U22" s="166"/>
      <c r="V22" s="166">
        <f>2445118+34249272-3569820</f>
        <v>33124570</v>
      </c>
      <c r="W22" s="166"/>
      <c r="X22" s="166"/>
      <c r="Y22" s="166"/>
      <c r="Z22" s="166">
        <v>-17843918</v>
      </c>
      <c r="AA22" s="166"/>
      <c r="AB22" s="166"/>
      <c r="AC22" s="166">
        <f>SUM(Q22:AB22)</f>
        <v>224835763</v>
      </c>
      <c r="AD22" s="173"/>
      <c r="AE22" s="3"/>
      <c r="AF22" s="592" t="s">
        <v>99</v>
      </c>
      <c r="AG22" s="592"/>
      <c r="AH22" s="592"/>
      <c r="AI22" s="592"/>
      <c r="AJ22" s="592"/>
      <c r="AK22" s="592"/>
      <c r="AL22" s="592"/>
      <c r="AM22" s="592"/>
    </row>
    <row r="23" spans="1:41" ht="32.1" customHeight="1" x14ac:dyDescent="0.25">
      <c r="A23" s="523" t="s">
        <v>45</v>
      </c>
      <c r="B23" s="535"/>
      <c r="C23" s="163"/>
      <c r="D23" s="162"/>
      <c r="E23" s="162"/>
      <c r="F23" s="162"/>
      <c r="G23" s="162"/>
      <c r="H23" s="162"/>
      <c r="I23" s="162"/>
      <c r="J23" s="167"/>
      <c r="K23" s="303"/>
      <c r="L23" s="303"/>
      <c r="M23" s="305"/>
      <c r="N23" s="162"/>
      <c r="O23" s="162">
        <f>SUM(C23:N23)</f>
        <v>0</v>
      </c>
      <c r="P23" s="174" t="str">
        <f>IFERROR(O23/(SUMIF(C23:N23,"&gt;0",C22:N22))," ")</f>
        <v xml:space="preserve"> </v>
      </c>
      <c r="Q23" s="307">
        <v>48136000</v>
      </c>
      <c r="R23" s="303">
        <v>106411067</v>
      </c>
      <c r="S23" s="303">
        <v>29070932</v>
      </c>
      <c r="T23" s="303">
        <v>-3221999</v>
      </c>
      <c r="U23" s="303">
        <v>23423763</v>
      </c>
      <c r="V23" s="303">
        <v>11200000</v>
      </c>
      <c r="W23" s="303" t="s">
        <v>100</v>
      </c>
      <c r="X23" s="303" t="s">
        <v>100</v>
      </c>
      <c r="Y23" s="303" t="s">
        <v>100</v>
      </c>
      <c r="Z23" s="303">
        <v>1440000</v>
      </c>
      <c r="AA23" s="162">
        <v>1944000</v>
      </c>
      <c r="AB23" s="162"/>
      <c r="AC23" s="162">
        <f>SUM(Q23:AB23)</f>
        <v>218403763</v>
      </c>
      <c r="AD23" s="171">
        <f>+AC23/AC22</f>
        <v>0.97139245147579123</v>
      </c>
      <c r="AE23" s="3"/>
      <c r="AF23" s="592"/>
      <c r="AG23" s="592"/>
      <c r="AH23" s="592"/>
      <c r="AI23" s="592"/>
      <c r="AJ23" s="592"/>
      <c r="AK23" s="592"/>
      <c r="AL23" s="592"/>
      <c r="AM23" s="592"/>
    </row>
    <row r="24" spans="1:41" ht="32.1" customHeight="1" thickBot="1" x14ac:dyDescent="0.3">
      <c r="A24" s="634" t="s">
        <v>47</v>
      </c>
      <c r="B24" s="533"/>
      <c r="C24" s="300">
        <v>19304538</v>
      </c>
      <c r="D24" s="301">
        <f>494400+543840+4505045</f>
        <v>5543285</v>
      </c>
      <c r="E24" s="162"/>
      <c r="F24" s="162"/>
      <c r="G24" s="162"/>
      <c r="H24" s="162">
        <v>-1</v>
      </c>
      <c r="I24" s="162">
        <v>0</v>
      </c>
      <c r="J24" s="167">
        <v>0</v>
      </c>
      <c r="K24" s="316">
        <v>-10127</v>
      </c>
      <c r="L24" s="316"/>
      <c r="M24" s="305"/>
      <c r="N24" s="162"/>
      <c r="O24" s="162">
        <f>SUM(C24:N24)</f>
        <v>24837695</v>
      </c>
      <c r="P24" s="167"/>
      <c r="Q24" s="163"/>
      <c r="R24" s="308">
        <v>7727600</v>
      </c>
      <c r="S24" s="162">
        <v>16388000</v>
      </c>
      <c r="T24" s="162">
        <v>16388000</v>
      </c>
      <c r="U24" s="162">
        <f>16388000+21559511</f>
        <v>37947511</v>
      </c>
      <c r="V24" s="162">
        <f>16388000-3569820</f>
        <v>12818180</v>
      </c>
      <c r="W24" s="162">
        <f>16388000+2445118+11416424</f>
        <v>30249542</v>
      </c>
      <c r="X24" s="162">
        <v>16388000</v>
      </c>
      <c r="Y24" s="162">
        <f>16388000+11416424</f>
        <v>27804424</v>
      </c>
      <c r="Z24" s="162">
        <f>16388000-17843918</f>
        <v>-1455918</v>
      </c>
      <c r="AA24" s="162">
        <f>16388000+11416424</f>
        <v>27804424</v>
      </c>
      <c r="AB24" s="162">
        <v>32776000</v>
      </c>
      <c r="AC24" s="162">
        <f>SUM(Q24:AB24)</f>
        <v>224835763</v>
      </c>
      <c r="AD24" s="171"/>
      <c r="AE24" s="3"/>
      <c r="AF24" s="592"/>
      <c r="AG24" s="592"/>
      <c r="AH24" s="592"/>
      <c r="AI24" s="592"/>
      <c r="AJ24" s="592"/>
      <c r="AK24" s="592"/>
      <c r="AL24" s="592"/>
      <c r="AM24" s="592"/>
    </row>
    <row r="25" spans="1:41" ht="32.1" customHeight="1" thickBot="1" x14ac:dyDescent="0.3">
      <c r="A25" s="632" t="s">
        <v>50</v>
      </c>
      <c r="B25" s="633"/>
      <c r="C25" s="312">
        <v>543840</v>
      </c>
      <c r="D25" s="312">
        <v>18760518</v>
      </c>
      <c r="E25" s="312" t="s">
        <v>51</v>
      </c>
      <c r="F25" s="312">
        <v>5151217</v>
      </c>
      <c r="G25" s="312" t="s">
        <v>101</v>
      </c>
      <c r="H25" s="312">
        <v>382120</v>
      </c>
      <c r="I25" s="312" t="s">
        <v>101</v>
      </c>
      <c r="J25" s="313" t="s">
        <v>101</v>
      </c>
      <c r="K25" s="309" t="s">
        <v>101</v>
      </c>
      <c r="L25" s="309">
        <v>0</v>
      </c>
      <c r="M25" s="314">
        <v>0</v>
      </c>
      <c r="N25" s="165"/>
      <c r="O25" s="165">
        <f>SUM(C25:N25)</f>
        <v>24837695</v>
      </c>
      <c r="P25" s="170">
        <f>IFERROR(O25/(SUMIF(C25:N25,"&gt;0",C24:N24))," ")</f>
        <v>0.99959243912806528</v>
      </c>
      <c r="Q25" s="164"/>
      <c r="R25" s="309">
        <v>1078933</v>
      </c>
      <c r="S25" s="309">
        <v>7823734</v>
      </c>
      <c r="T25" s="309">
        <v>13298133</v>
      </c>
      <c r="U25" s="309">
        <v>17920800</v>
      </c>
      <c r="V25" s="309">
        <v>17866933</v>
      </c>
      <c r="W25" s="309">
        <v>44143230</v>
      </c>
      <c r="X25" s="309">
        <v>17367200</v>
      </c>
      <c r="Y25" s="309">
        <v>15384800</v>
      </c>
      <c r="Z25" s="309">
        <v>14316000</v>
      </c>
      <c r="AA25" s="165">
        <v>21032000</v>
      </c>
      <c r="AB25" s="165"/>
      <c r="AC25" s="165">
        <f>SUM(Q25:AB25)</f>
        <v>170231763</v>
      </c>
      <c r="AD25" s="172">
        <f>+AC25/AC24</f>
        <v>0.75713828053235466</v>
      </c>
      <c r="AE25" s="3"/>
      <c r="AF25" s="592"/>
      <c r="AG25" s="592"/>
      <c r="AH25" s="592"/>
      <c r="AI25" s="592"/>
      <c r="AJ25" s="592"/>
      <c r="AK25" s="592"/>
      <c r="AL25" s="592"/>
      <c r="AM25" s="59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38" t="s">
        <v>52</v>
      </c>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1"/>
    </row>
    <row r="28" spans="1:41" ht="15" customHeight="1" x14ac:dyDescent="0.25">
      <c r="A28" s="531" t="s">
        <v>53</v>
      </c>
      <c r="B28" s="533" t="s">
        <v>54</v>
      </c>
      <c r="C28" s="534"/>
      <c r="D28" s="535" t="s">
        <v>55</v>
      </c>
      <c r="E28" s="536"/>
      <c r="F28" s="536"/>
      <c r="G28" s="536"/>
      <c r="H28" s="536"/>
      <c r="I28" s="536"/>
      <c r="J28" s="536"/>
      <c r="K28" s="536"/>
      <c r="L28" s="536"/>
      <c r="M28" s="536"/>
      <c r="N28" s="536"/>
      <c r="O28" s="530"/>
      <c r="P28" s="524" t="s">
        <v>41</v>
      </c>
      <c r="Q28" s="524" t="s">
        <v>56</v>
      </c>
      <c r="R28" s="524"/>
      <c r="S28" s="524"/>
      <c r="T28" s="524"/>
      <c r="U28" s="524"/>
      <c r="V28" s="524"/>
      <c r="W28" s="524"/>
      <c r="X28" s="524"/>
      <c r="Y28" s="524"/>
      <c r="Z28" s="524"/>
      <c r="AA28" s="524"/>
      <c r="AB28" s="524"/>
      <c r="AC28" s="524"/>
      <c r="AD28" s="537"/>
    </row>
    <row r="29" spans="1:41" ht="27" customHeight="1" x14ac:dyDescent="0.25">
      <c r="A29" s="532"/>
      <c r="B29" s="527"/>
      <c r="C29" s="482"/>
      <c r="D29" s="88" t="s">
        <v>30</v>
      </c>
      <c r="E29" s="88" t="s">
        <v>31</v>
      </c>
      <c r="F29" s="88" t="s">
        <v>32</v>
      </c>
      <c r="G29" s="88" t="s">
        <v>33</v>
      </c>
      <c r="H29" s="88" t="s">
        <v>34</v>
      </c>
      <c r="I29" s="88" t="s">
        <v>35</v>
      </c>
      <c r="J29" s="88" t="s">
        <v>36</v>
      </c>
      <c r="K29" s="88" t="s">
        <v>37</v>
      </c>
      <c r="L29" s="88" t="s">
        <v>38</v>
      </c>
      <c r="M29" s="88" t="s">
        <v>39</v>
      </c>
      <c r="N29" s="88" t="s">
        <v>8</v>
      </c>
      <c r="O29" s="88" t="s">
        <v>40</v>
      </c>
      <c r="P29" s="530"/>
      <c r="Q29" s="524"/>
      <c r="R29" s="524"/>
      <c r="S29" s="524"/>
      <c r="T29" s="524"/>
      <c r="U29" s="524"/>
      <c r="V29" s="524"/>
      <c r="W29" s="524"/>
      <c r="X29" s="524"/>
      <c r="Y29" s="524"/>
      <c r="Z29" s="524"/>
      <c r="AA29" s="524"/>
      <c r="AB29" s="524"/>
      <c r="AC29" s="524"/>
      <c r="AD29" s="537"/>
    </row>
    <row r="30" spans="1:41" ht="68.25" customHeight="1" thickBot="1" x14ac:dyDescent="0.3">
      <c r="A30" s="85" t="s">
        <v>102</v>
      </c>
      <c r="B30" s="515"/>
      <c r="C30" s="516"/>
      <c r="D30" s="89"/>
      <c r="E30" s="89"/>
      <c r="F30" s="89"/>
      <c r="G30" s="89"/>
      <c r="H30" s="89"/>
      <c r="I30" s="89"/>
      <c r="J30" s="89"/>
      <c r="K30" s="89"/>
      <c r="L30" s="89"/>
      <c r="M30" s="89"/>
      <c r="N30" s="89"/>
      <c r="O30" s="89"/>
      <c r="P30" s="86">
        <f>SUM(D30:O30)</f>
        <v>0</v>
      </c>
      <c r="Q30" s="517"/>
      <c r="R30" s="517"/>
      <c r="S30" s="517"/>
      <c r="T30" s="517"/>
      <c r="U30" s="517"/>
      <c r="V30" s="517"/>
      <c r="W30" s="517"/>
      <c r="X30" s="517"/>
      <c r="Y30" s="517"/>
      <c r="Z30" s="517"/>
      <c r="AA30" s="517"/>
      <c r="AB30" s="517"/>
      <c r="AC30" s="517"/>
      <c r="AD30" s="518"/>
    </row>
    <row r="31" spans="1:41" ht="45" customHeight="1" thickBot="1" x14ac:dyDescent="0.3">
      <c r="A31" s="519" t="s">
        <v>58</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1"/>
    </row>
    <row r="32" spans="1:41" ht="23.1" customHeight="1" x14ac:dyDescent="0.25">
      <c r="A32" s="522" t="s">
        <v>59</v>
      </c>
      <c r="B32" s="480" t="s">
        <v>60</v>
      </c>
      <c r="C32" s="480" t="s">
        <v>54</v>
      </c>
      <c r="D32" s="480" t="s">
        <v>61</v>
      </c>
      <c r="E32" s="480"/>
      <c r="F32" s="480"/>
      <c r="G32" s="480"/>
      <c r="H32" s="480"/>
      <c r="I32" s="480"/>
      <c r="J32" s="480"/>
      <c r="K32" s="480"/>
      <c r="L32" s="480"/>
      <c r="M32" s="480"/>
      <c r="N32" s="480"/>
      <c r="O32" s="480"/>
      <c r="P32" s="480"/>
      <c r="Q32" s="480" t="s">
        <v>62</v>
      </c>
      <c r="R32" s="480"/>
      <c r="S32" s="480"/>
      <c r="T32" s="480"/>
      <c r="U32" s="480"/>
      <c r="V32" s="480"/>
      <c r="W32" s="480"/>
      <c r="X32" s="480"/>
      <c r="Y32" s="480"/>
      <c r="Z32" s="480"/>
      <c r="AA32" s="480"/>
      <c r="AB32" s="480"/>
      <c r="AC32" s="480"/>
      <c r="AD32" s="483"/>
      <c r="AG32" s="87"/>
      <c r="AH32" s="87"/>
      <c r="AI32" s="87"/>
      <c r="AJ32" s="87"/>
      <c r="AK32" s="87"/>
      <c r="AL32" s="87"/>
      <c r="AM32" s="87"/>
      <c r="AN32" s="87"/>
      <c r="AO32" s="87"/>
    </row>
    <row r="33" spans="1:41" ht="27" customHeight="1" x14ac:dyDescent="0.25">
      <c r="A33" s="479"/>
      <c r="B33" s="481"/>
      <c r="C33" s="635"/>
      <c r="D33" s="226" t="s">
        <v>30</v>
      </c>
      <c r="E33" s="226" t="s">
        <v>31</v>
      </c>
      <c r="F33" s="226" t="s">
        <v>32</v>
      </c>
      <c r="G33" s="226" t="s">
        <v>33</v>
      </c>
      <c r="H33" s="226" t="s">
        <v>34</v>
      </c>
      <c r="I33" s="226" t="s">
        <v>35</v>
      </c>
      <c r="J33" s="226" t="s">
        <v>36</v>
      </c>
      <c r="K33" s="226" t="s">
        <v>37</v>
      </c>
      <c r="L33" s="226" t="s">
        <v>38</v>
      </c>
      <c r="M33" s="226" t="s">
        <v>39</v>
      </c>
      <c r="N33" s="226" t="s">
        <v>8</v>
      </c>
      <c r="O33" s="226" t="s">
        <v>40</v>
      </c>
      <c r="P33" s="226" t="s">
        <v>41</v>
      </c>
      <c r="Q33" s="636" t="s">
        <v>63</v>
      </c>
      <c r="R33" s="636"/>
      <c r="S33" s="636"/>
      <c r="T33" s="636" t="s">
        <v>64</v>
      </c>
      <c r="U33" s="636"/>
      <c r="V33" s="636"/>
      <c r="W33" s="665" t="s">
        <v>65</v>
      </c>
      <c r="X33" s="561"/>
      <c r="Y33" s="561"/>
      <c r="Z33" s="666"/>
      <c r="AA33" s="665" t="s">
        <v>66</v>
      </c>
      <c r="AB33" s="561"/>
      <c r="AC33" s="561"/>
      <c r="AD33" s="562"/>
      <c r="AG33" s="87"/>
      <c r="AH33" s="87"/>
      <c r="AI33" s="87"/>
      <c r="AJ33" s="87"/>
      <c r="AK33" s="87"/>
      <c r="AL33" s="87"/>
      <c r="AM33" s="87"/>
      <c r="AN33" s="87"/>
      <c r="AO33" s="87"/>
    </row>
    <row r="34" spans="1:41" ht="131.25" customHeight="1" x14ac:dyDescent="0.25">
      <c r="A34" s="519" t="s">
        <v>102</v>
      </c>
      <c r="B34" s="668">
        <v>0.15</v>
      </c>
      <c r="C34" s="337" t="s">
        <v>67</v>
      </c>
      <c r="D34" s="335">
        <v>13</v>
      </c>
      <c r="E34" s="335">
        <v>13</v>
      </c>
      <c r="F34" s="335">
        <v>13</v>
      </c>
      <c r="G34" s="335">
        <v>13</v>
      </c>
      <c r="H34" s="335">
        <v>13</v>
      </c>
      <c r="I34" s="335">
        <v>13</v>
      </c>
      <c r="J34" s="335">
        <v>13</v>
      </c>
      <c r="K34" s="335">
        <v>13</v>
      </c>
      <c r="L34" s="335">
        <v>13</v>
      </c>
      <c r="M34" s="335">
        <v>13</v>
      </c>
      <c r="N34" s="338">
        <v>13</v>
      </c>
      <c r="O34" s="338">
        <v>13</v>
      </c>
      <c r="P34" s="338">
        <v>13</v>
      </c>
      <c r="Q34" s="670" t="s">
        <v>103</v>
      </c>
      <c r="R34" s="637"/>
      <c r="S34" s="637"/>
      <c r="T34" s="672" t="s">
        <v>104</v>
      </c>
      <c r="U34" s="673"/>
      <c r="V34" s="674"/>
      <c r="W34" s="637" t="s">
        <v>105</v>
      </c>
      <c r="X34" s="637"/>
      <c r="Y34" s="637"/>
      <c r="Z34" s="637"/>
      <c r="AA34" s="639" t="s">
        <v>106</v>
      </c>
      <c r="AB34" s="640"/>
      <c r="AC34" s="640"/>
      <c r="AD34" s="640"/>
      <c r="AG34" s="87"/>
      <c r="AH34" s="87"/>
      <c r="AI34" s="87"/>
      <c r="AJ34" s="87"/>
      <c r="AK34" s="87"/>
      <c r="AL34" s="87"/>
      <c r="AM34" s="87"/>
      <c r="AN34" s="87"/>
      <c r="AO34" s="87"/>
    </row>
    <row r="35" spans="1:41" ht="117.75" customHeight="1" x14ac:dyDescent="0.25">
      <c r="A35" s="667"/>
      <c r="B35" s="669"/>
      <c r="C35" s="91" t="s">
        <v>72</v>
      </c>
      <c r="D35" s="339">
        <v>13</v>
      </c>
      <c r="E35" s="340">
        <v>13</v>
      </c>
      <c r="F35" s="340">
        <v>13</v>
      </c>
      <c r="G35" s="340">
        <v>13</v>
      </c>
      <c r="H35" s="340">
        <v>13</v>
      </c>
      <c r="I35" s="340">
        <v>12</v>
      </c>
      <c r="J35" s="340">
        <v>12</v>
      </c>
      <c r="K35" s="340">
        <v>13</v>
      </c>
      <c r="L35" s="340">
        <v>14</v>
      </c>
      <c r="M35" s="340">
        <v>12</v>
      </c>
      <c r="N35" s="425">
        <v>13</v>
      </c>
      <c r="O35" s="341"/>
      <c r="P35" s="342">
        <f>AVERAGE(D35:O35)</f>
        <v>12.818181818181818</v>
      </c>
      <c r="Q35" s="671"/>
      <c r="R35" s="638"/>
      <c r="S35" s="638"/>
      <c r="T35" s="675"/>
      <c r="U35" s="676"/>
      <c r="V35" s="677"/>
      <c r="W35" s="638"/>
      <c r="X35" s="638"/>
      <c r="Y35" s="638"/>
      <c r="Z35" s="638"/>
      <c r="AA35" s="641"/>
      <c r="AB35" s="642"/>
      <c r="AC35" s="642"/>
      <c r="AD35" s="642"/>
      <c r="AE35" s="49"/>
      <c r="AG35" s="87"/>
      <c r="AH35" s="87"/>
      <c r="AI35" s="87"/>
      <c r="AJ35" s="87"/>
      <c r="AK35" s="87"/>
      <c r="AL35" s="87"/>
      <c r="AM35" s="87"/>
      <c r="AN35" s="87"/>
      <c r="AO35" s="87"/>
    </row>
    <row r="36" spans="1:41" ht="26.1" customHeight="1" x14ac:dyDescent="0.25">
      <c r="A36" s="522" t="s">
        <v>73</v>
      </c>
      <c r="B36" s="480" t="s">
        <v>74</v>
      </c>
      <c r="C36" s="526" t="s">
        <v>75</v>
      </c>
      <c r="D36" s="480"/>
      <c r="E36" s="480"/>
      <c r="F36" s="480"/>
      <c r="G36" s="480"/>
      <c r="H36" s="480"/>
      <c r="I36" s="480"/>
      <c r="J36" s="480"/>
      <c r="K36" s="480"/>
      <c r="L36" s="480"/>
      <c r="M36" s="480"/>
      <c r="N36" s="480"/>
      <c r="O36" s="480"/>
      <c r="P36" s="480"/>
      <c r="Q36" s="593" t="s">
        <v>76</v>
      </c>
      <c r="R36" s="643"/>
      <c r="S36" s="643"/>
      <c r="T36" s="643"/>
      <c r="U36" s="643"/>
      <c r="V36" s="643"/>
      <c r="W36" s="643"/>
      <c r="X36" s="643"/>
      <c r="Y36" s="643"/>
      <c r="Z36" s="643"/>
      <c r="AA36" s="643"/>
      <c r="AB36" s="643"/>
      <c r="AC36" s="643"/>
      <c r="AD36" s="644"/>
      <c r="AG36" s="87"/>
      <c r="AH36" s="87"/>
      <c r="AI36" s="87"/>
      <c r="AJ36" s="87"/>
      <c r="AK36" s="87"/>
      <c r="AL36" s="87"/>
      <c r="AM36" s="87"/>
      <c r="AN36" s="87"/>
      <c r="AO36" s="87"/>
    </row>
    <row r="37" spans="1:41" ht="26.1" customHeight="1" thickBot="1" x14ac:dyDescent="0.3">
      <c r="A37" s="479"/>
      <c r="B37" s="481"/>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6" t="s">
        <v>90</v>
      </c>
      <c r="Q37" s="542" t="s">
        <v>91</v>
      </c>
      <c r="R37" s="645"/>
      <c r="S37" s="645"/>
      <c r="T37" s="645"/>
      <c r="U37" s="645"/>
      <c r="V37" s="645"/>
      <c r="W37" s="645"/>
      <c r="X37" s="645"/>
      <c r="Y37" s="645"/>
      <c r="Z37" s="645"/>
      <c r="AA37" s="645"/>
      <c r="AB37" s="645"/>
      <c r="AC37" s="645"/>
      <c r="AD37" s="646"/>
      <c r="AG37" s="94"/>
      <c r="AH37" s="94"/>
      <c r="AI37" s="94"/>
      <c r="AJ37" s="94"/>
      <c r="AK37" s="94"/>
      <c r="AL37" s="94"/>
      <c r="AM37" s="94"/>
      <c r="AN37" s="94"/>
      <c r="AO37" s="94"/>
    </row>
    <row r="38" spans="1:41" ht="72.75" customHeight="1" x14ac:dyDescent="0.25">
      <c r="A38" s="661" t="s">
        <v>107</v>
      </c>
      <c r="B38" s="491">
        <v>0.05</v>
      </c>
      <c r="C38" s="344" t="s">
        <v>67</v>
      </c>
      <c r="D38" s="254">
        <v>0</v>
      </c>
      <c r="E38" s="255">
        <v>0.25</v>
      </c>
      <c r="F38" s="255">
        <v>0</v>
      </c>
      <c r="G38" s="255">
        <v>0</v>
      </c>
      <c r="H38" s="255">
        <v>0.25</v>
      </c>
      <c r="I38" s="255">
        <v>0</v>
      </c>
      <c r="J38" s="255">
        <v>0</v>
      </c>
      <c r="K38" s="255">
        <v>0.25</v>
      </c>
      <c r="L38" s="255">
        <v>0</v>
      </c>
      <c r="M38" s="345">
        <v>0</v>
      </c>
      <c r="N38" s="345">
        <v>0.25</v>
      </c>
      <c r="O38" s="345">
        <v>0</v>
      </c>
      <c r="P38" s="346">
        <f t="shared" ref="P38:P43" si="0">SUM(D38:O38)</f>
        <v>1</v>
      </c>
      <c r="Q38" s="662" t="s">
        <v>108</v>
      </c>
      <c r="R38" s="663"/>
      <c r="S38" s="663"/>
      <c r="T38" s="663"/>
      <c r="U38" s="663"/>
      <c r="V38" s="663"/>
      <c r="W38" s="663"/>
      <c r="X38" s="663"/>
      <c r="Y38" s="663"/>
      <c r="Z38" s="663"/>
      <c r="AA38" s="663"/>
      <c r="AB38" s="663"/>
      <c r="AC38" s="663"/>
      <c r="AD38" s="664"/>
      <c r="AE38" s="97"/>
      <c r="AG38" s="98"/>
      <c r="AH38" s="98"/>
      <c r="AI38" s="98"/>
      <c r="AJ38" s="98"/>
      <c r="AK38" s="98"/>
      <c r="AL38" s="98"/>
      <c r="AM38" s="98"/>
      <c r="AN38" s="98"/>
      <c r="AO38" s="98"/>
    </row>
    <row r="39" spans="1:41" ht="72.75" customHeight="1" x14ac:dyDescent="0.25">
      <c r="A39" s="648"/>
      <c r="B39" s="492"/>
      <c r="C39" s="189" t="s">
        <v>72</v>
      </c>
      <c r="D39" s="256">
        <v>0</v>
      </c>
      <c r="E39" s="257">
        <v>0.25</v>
      </c>
      <c r="F39" s="257">
        <v>0</v>
      </c>
      <c r="G39" s="257">
        <v>0</v>
      </c>
      <c r="H39" s="257">
        <v>0.23</v>
      </c>
      <c r="I39" s="257">
        <v>0.02</v>
      </c>
      <c r="J39" s="257">
        <v>0</v>
      </c>
      <c r="K39" s="257">
        <v>0.25</v>
      </c>
      <c r="L39" s="257">
        <v>0</v>
      </c>
      <c r="M39" s="257">
        <v>0.03</v>
      </c>
      <c r="N39" s="442">
        <v>0.1</v>
      </c>
      <c r="O39" s="100"/>
      <c r="P39" s="101">
        <f t="shared" si="0"/>
        <v>0.88</v>
      </c>
      <c r="Q39" s="652"/>
      <c r="R39" s="653"/>
      <c r="S39" s="653"/>
      <c r="T39" s="653"/>
      <c r="U39" s="653"/>
      <c r="V39" s="653"/>
      <c r="W39" s="653"/>
      <c r="X39" s="653"/>
      <c r="Y39" s="653"/>
      <c r="Z39" s="653"/>
      <c r="AA39" s="653"/>
      <c r="AB39" s="653"/>
      <c r="AC39" s="653"/>
      <c r="AD39" s="654"/>
      <c r="AE39" s="97"/>
    </row>
    <row r="40" spans="1:41" ht="68.25" customHeight="1" x14ac:dyDescent="0.25">
      <c r="A40" s="647" t="s">
        <v>109</v>
      </c>
      <c r="B40" s="470">
        <v>0.05</v>
      </c>
      <c r="C40" s="190" t="s">
        <v>67</v>
      </c>
      <c r="D40" s="258">
        <v>0</v>
      </c>
      <c r="E40" s="259">
        <v>0.17</v>
      </c>
      <c r="F40" s="259">
        <v>0</v>
      </c>
      <c r="G40" s="259">
        <v>0.16600000000000001</v>
      </c>
      <c r="H40" s="259">
        <v>0</v>
      </c>
      <c r="I40" s="259">
        <v>0.16600000000000001</v>
      </c>
      <c r="J40" s="259">
        <v>0</v>
      </c>
      <c r="K40" s="259">
        <v>0.16600000000000001</v>
      </c>
      <c r="L40" s="259">
        <v>0</v>
      </c>
      <c r="M40" s="103">
        <v>0.16600000000000001</v>
      </c>
      <c r="N40" s="103">
        <v>0</v>
      </c>
      <c r="O40" s="103">
        <v>0.16600000000000001</v>
      </c>
      <c r="P40" s="101">
        <f t="shared" si="0"/>
        <v>1</v>
      </c>
      <c r="Q40" s="649" t="s">
        <v>110</v>
      </c>
      <c r="R40" s="650"/>
      <c r="S40" s="650"/>
      <c r="T40" s="650"/>
      <c r="U40" s="650"/>
      <c r="V40" s="650"/>
      <c r="W40" s="650"/>
      <c r="X40" s="650"/>
      <c r="Y40" s="650"/>
      <c r="Z40" s="650"/>
      <c r="AA40" s="650"/>
      <c r="AB40" s="650"/>
      <c r="AC40" s="650"/>
      <c r="AD40" s="651"/>
      <c r="AE40" s="97"/>
    </row>
    <row r="41" spans="1:41" ht="67.5" customHeight="1" x14ac:dyDescent="0.25">
      <c r="A41" s="648"/>
      <c r="B41" s="492"/>
      <c r="C41" s="189" t="s">
        <v>72</v>
      </c>
      <c r="D41" s="256">
        <v>0</v>
      </c>
      <c r="E41" s="257">
        <v>0.17</v>
      </c>
      <c r="F41" s="260">
        <v>0.17</v>
      </c>
      <c r="G41" s="260">
        <v>0.16600000000000001</v>
      </c>
      <c r="H41" s="260">
        <v>0.1</v>
      </c>
      <c r="I41" s="260">
        <v>7.0000000000000007E-2</v>
      </c>
      <c r="J41" s="260">
        <v>0</v>
      </c>
      <c r="K41" s="260">
        <v>0.16600000000000001</v>
      </c>
      <c r="L41" s="260">
        <v>0.03</v>
      </c>
      <c r="M41" s="260">
        <v>0.05</v>
      </c>
      <c r="N41" s="443">
        <v>0.04</v>
      </c>
      <c r="O41" s="104"/>
      <c r="P41" s="101">
        <f t="shared" si="0"/>
        <v>0.96200000000000008</v>
      </c>
      <c r="Q41" s="652"/>
      <c r="R41" s="653"/>
      <c r="S41" s="653"/>
      <c r="T41" s="653"/>
      <c r="U41" s="653"/>
      <c r="V41" s="653"/>
      <c r="W41" s="653"/>
      <c r="X41" s="653"/>
      <c r="Y41" s="653"/>
      <c r="Z41" s="653"/>
      <c r="AA41" s="653"/>
      <c r="AB41" s="653"/>
      <c r="AC41" s="653"/>
      <c r="AD41" s="654"/>
      <c r="AE41" s="97"/>
    </row>
    <row r="42" spans="1:41" ht="57" customHeight="1" x14ac:dyDescent="0.25">
      <c r="A42" s="655" t="s">
        <v>111</v>
      </c>
      <c r="B42" s="657">
        <v>0.05</v>
      </c>
      <c r="C42" s="102" t="s">
        <v>67</v>
      </c>
      <c r="D42" s="258">
        <v>0</v>
      </c>
      <c r="E42" s="259">
        <v>0</v>
      </c>
      <c r="F42" s="259">
        <v>0.5</v>
      </c>
      <c r="G42" s="259">
        <v>0</v>
      </c>
      <c r="H42" s="259">
        <v>0</v>
      </c>
      <c r="I42" s="259">
        <v>0</v>
      </c>
      <c r="J42" s="259">
        <v>0</v>
      </c>
      <c r="K42" s="259">
        <v>0</v>
      </c>
      <c r="L42" s="259">
        <v>0.5</v>
      </c>
      <c r="M42" s="103">
        <v>0</v>
      </c>
      <c r="N42" s="103">
        <v>0</v>
      </c>
      <c r="O42" s="103">
        <v>0</v>
      </c>
      <c r="P42" s="101">
        <f t="shared" si="0"/>
        <v>1</v>
      </c>
      <c r="Q42" s="649" t="s">
        <v>112</v>
      </c>
      <c r="R42" s="650"/>
      <c r="S42" s="650"/>
      <c r="T42" s="650"/>
      <c r="U42" s="650"/>
      <c r="V42" s="650"/>
      <c r="W42" s="650"/>
      <c r="X42" s="650"/>
      <c r="Y42" s="650"/>
      <c r="Z42" s="650"/>
      <c r="AA42" s="650"/>
      <c r="AB42" s="650"/>
      <c r="AC42" s="650"/>
      <c r="AD42" s="651"/>
      <c r="AE42" s="97"/>
    </row>
    <row r="43" spans="1:41" ht="57" customHeight="1" thickBot="1" x14ac:dyDescent="0.3">
      <c r="A43" s="656"/>
      <c r="B43" s="471"/>
      <c r="C43" s="91" t="s">
        <v>72</v>
      </c>
      <c r="D43" s="261">
        <v>0</v>
      </c>
      <c r="E43" s="248">
        <v>0.1</v>
      </c>
      <c r="F43" s="248">
        <v>0.4</v>
      </c>
      <c r="G43" s="248">
        <v>0</v>
      </c>
      <c r="H43" s="248">
        <v>0.25</v>
      </c>
      <c r="I43" s="248">
        <v>0.02</v>
      </c>
      <c r="J43" s="248">
        <v>0</v>
      </c>
      <c r="K43" s="248">
        <v>0.03</v>
      </c>
      <c r="L43" s="248">
        <v>0.1</v>
      </c>
      <c r="M43" s="248">
        <v>0.05</v>
      </c>
      <c r="N43" s="426">
        <v>0</v>
      </c>
      <c r="O43" s="106"/>
      <c r="P43" s="107">
        <f t="shared" si="0"/>
        <v>0.95000000000000007</v>
      </c>
      <c r="Q43" s="658"/>
      <c r="R43" s="659"/>
      <c r="S43" s="659"/>
      <c r="T43" s="659"/>
      <c r="U43" s="659"/>
      <c r="V43" s="659"/>
      <c r="W43" s="659"/>
      <c r="X43" s="659"/>
      <c r="Y43" s="659"/>
      <c r="Z43" s="659"/>
      <c r="AA43" s="659"/>
      <c r="AB43" s="659"/>
      <c r="AC43" s="659"/>
      <c r="AD43" s="660"/>
      <c r="AE43" s="97"/>
    </row>
    <row r="44" spans="1:41" x14ac:dyDescent="0.25">
      <c r="A44" s="50" t="s">
        <v>96</v>
      </c>
    </row>
  </sheetData>
  <mergeCells count="80">
    <mergeCell ref="AF22:AM25"/>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E68968E6-5F45-4830-BA8D-B631972BC946}"/>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43" xr:uid="{00000000-0002-0000-0100-000002000000}">
      <formula1>2000</formula1>
    </dataValidation>
  </dataValidations>
  <pageMargins left="0.25" right="0.25" top="0.75" bottom="0.75" header="0.3" footer="0.3"/>
  <pageSetup scale="22"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AO98"/>
  <sheetViews>
    <sheetView showGridLines="0" topLeftCell="A30" zoomScale="60" zoomScaleNormal="60" workbookViewId="0">
      <selection activeCell="I10" sqref="I10"/>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18" width="18.140625" style="50" customWidth="1"/>
    <col min="19" max="19" width="24.425781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89"/>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1"/>
      <c r="AB1" s="566" t="s">
        <v>1</v>
      </c>
      <c r="AC1" s="567"/>
      <c r="AD1" s="568"/>
    </row>
    <row r="2" spans="1:30" ht="30.75" customHeight="1" thickBot="1" x14ac:dyDescent="0.3">
      <c r="A2" s="590"/>
      <c r="B2" s="569" t="s">
        <v>2</v>
      </c>
      <c r="C2" s="570"/>
      <c r="D2" s="570"/>
      <c r="E2" s="570"/>
      <c r="F2" s="570"/>
      <c r="G2" s="570"/>
      <c r="H2" s="570"/>
      <c r="I2" s="570"/>
      <c r="J2" s="570"/>
      <c r="K2" s="570"/>
      <c r="L2" s="570"/>
      <c r="M2" s="570"/>
      <c r="N2" s="570"/>
      <c r="O2" s="570"/>
      <c r="P2" s="570"/>
      <c r="Q2" s="570"/>
      <c r="R2" s="570"/>
      <c r="S2" s="570"/>
      <c r="T2" s="570"/>
      <c r="U2" s="570"/>
      <c r="V2" s="570"/>
      <c r="W2" s="570"/>
      <c r="X2" s="570"/>
      <c r="Y2" s="570"/>
      <c r="Z2" s="570"/>
      <c r="AA2" s="571"/>
      <c r="AB2" s="572" t="s">
        <v>3</v>
      </c>
      <c r="AC2" s="573"/>
      <c r="AD2" s="574"/>
    </row>
    <row r="3" spans="1:30" ht="24" customHeight="1" x14ac:dyDescent="0.25">
      <c r="A3" s="590"/>
      <c r="B3" s="575" t="s">
        <v>4</v>
      </c>
      <c r="C3" s="576"/>
      <c r="D3" s="576"/>
      <c r="E3" s="576"/>
      <c r="F3" s="576"/>
      <c r="G3" s="576"/>
      <c r="H3" s="576"/>
      <c r="I3" s="576"/>
      <c r="J3" s="576"/>
      <c r="K3" s="576"/>
      <c r="L3" s="576"/>
      <c r="M3" s="576"/>
      <c r="N3" s="576"/>
      <c r="O3" s="576"/>
      <c r="P3" s="576"/>
      <c r="Q3" s="576"/>
      <c r="R3" s="576"/>
      <c r="S3" s="576"/>
      <c r="T3" s="576"/>
      <c r="U3" s="576"/>
      <c r="V3" s="576"/>
      <c r="W3" s="576"/>
      <c r="X3" s="576"/>
      <c r="Y3" s="576"/>
      <c r="Z3" s="576"/>
      <c r="AA3" s="577"/>
      <c r="AB3" s="572" t="s">
        <v>5</v>
      </c>
      <c r="AC3" s="573"/>
      <c r="AD3" s="574"/>
    </row>
    <row r="4" spans="1:30" ht="21.95" customHeight="1" thickBot="1" x14ac:dyDescent="0.3">
      <c r="A4" s="591"/>
      <c r="B4" s="500"/>
      <c r="C4" s="502"/>
      <c r="D4" s="502"/>
      <c r="E4" s="502"/>
      <c r="F4" s="502"/>
      <c r="G4" s="502"/>
      <c r="H4" s="502"/>
      <c r="I4" s="502"/>
      <c r="J4" s="502"/>
      <c r="K4" s="502"/>
      <c r="L4" s="502"/>
      <c r="M4" s="502"/>
      <c r="N4" s="502"/>
      <c r="O4" s="502"/>
      <c r="P4" s="502"/>
      <c r="Q4" s="502"/>
      <c r="R4" s="502"/>
      <c r="S4" s="502"/>
      <c r="T4" s="502"/>
      <c r="U4" s="502"/>
      <c r="V4" s="502"/>
      <c r="W4" s="502"/>
      <c r="X4" s="502"/>
      <c r="Y4" s="502"/>
      <c r="Z4" s="502"/>
      <c r="AA4" s="578"/>
      <c r="AB4" s="579" t="s">
        <v>6</v>
      </c>
      <c r="AC4" s="580"/>
      <c r="AD4" s="581"/>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96" t="s">
        <v>7</v>
      </c>
      <c r="B7" s="597"/>
      <c r="C7" s="602" t="s">
        <v>8</v>
      </c>
      <c r="D7" s="596" t="s">
        <v>9</v>
      </c>
      <c r="E7" s="614"/>
      <c r="F7" s="614"/>
      <c r="G7" s="614"/>
      <c r="H7" s="597"/>
      <c r="I7" s="631">
        <v>45265</v>
      </c>
      <c r="J7" s="618"/>
      <c r="K7" s="596" t="s">
        <v>10</v>
      </c>
      <c r="L7" s="597"/>
      <c r="M7" s="584" t="s">
        <v>11</v>
      </c>
      <c r="N7" s="585"/>
      <c r="O7" s="623"/>
      <c r="P7" s="624"/>
      <c r="Q7" s="54"/>
      <c r="R7" s="54"/>
      <c r="S7" s="54"/>
      <c r="T7" s="54"/>
      <c r="U7" s="54"/>
      <c r="V7" s="54"/>
      <c r="W7" s="54"/>
      <c r="X7" s="54"/>
      <c r="Y7" s="54"/>
      <c r="Z7" s="55"/>
      <c r="AA7" s="54"/>
      <c r="AB7" s="54"/>
      <c r="AC7" s="60"/>
      <c r="AD7" s="61"/>
    </row>
    <row r="8" spans="1:30" ht="15" customHeight="1" x14ac:dyDescent="0.25">
      <c r="A8" s="598"/>
      <c r="B8" s="599"/>
      <c r="C8" s="603"/>
      <c r="D8" s="598"/>
      <c r="E8" s="615"/>
      <c r="F8" s="615"/>
      <c r="G8" s="615"/>
      <c r="H8" s="599"/>
      <c r="I8" s="619"/>
      <c r="J8" s="620"/>
      <c r="K8" s="598"/>
      <c r="L8" s="599"/>
      <c r="M8" s="625" t="s">
        <v>12</v>
      </c>
      <c r="N8" s="626"/>
      <c r="O8" s="627"/>
      <c r="P8" s="628"/>
      <c r="Q8" s="54"/>
      <c r="R8" s="54"/>
      <c r="S8" s="54"/>
      <c r="T8" s="54"/>
      <c r="U8" s="54"/>
      <c r="V8" s="54"/>
      <c r="W8" s="54"/>
      <c r="X8" s="54"/>
      <c r="Y8" s="54"/>
      <c r="Z8" s="55"/>
      <c r="AA8" s="54"/>
      <c r="AB8" s="54"/>
      <c r="AC8" s="60"/>
      <c r="AD8" s="61"/>
    </row>
    <row r="9" spans="1:30" ht="15.75" customHeight="1" x14ac:dyDescent="0.25">
      <c r="A9" s="600"/>
      <c r="B9" s="601"/>
      <c r="C9" s="604"/>
      <c r="D9" s="600"/>
      <c r="E9" s="616"/>
      <c r="F9" s="616"/>
      <c r="G9" s="616"/>
      <c r="H9" s="601"/>
      <c r="I9" s="621"/>
      <c r="J9" s="622"/>
      <c r="K9" s="600"/>
      <c r="L9" s="601"/>
      <c r="M9" s="629" t="s">
        <v>13</v>
      </c>
      <c r="N9" s="630"/>
      <c r="O9" s="582" t="s">
        <v>14</v>
      </c>
      <c r="P9" s="583"/>
      <c r="Q9" s="54"/>
      <c r="R9" s="54"/>
      <c r="S9" s="54"/>
      <c r="T9" s="54"/>
      <c r="U9" s="54"/>
      <c r="V9" s="54"/>
      <c r="W9" s="54"/>
      <c r="X9" s="54"/>
      <c r="Y9" s="54"/>
      <c r="Z9" s="55"/>
      <c r="AA9" s="54"/>
      <c r="AB9" s="54"/>
      <c r="AC9" s="60"/>
      <c r="AD9" s="61"/>
    </row>
    <row r="10" spans="1:30" ht="15" customHeight="1" x14ac:dyDescent="0.25">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596" t="s">
        <v>15</v>
      </c>
      <c r="B11" s="597"/>
      <c r="C11" s="605" t="s">
        <v>16</v>
      </c>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7"/>
    </row>
    <row r="12" spans="1:30" ht="15" customHeight="1" x14ac:dyDescent="0.25">
      <c r="A12" s="598"/>
      <c r="B12" s="599"/>
      <c r="C12" s="608"/>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10"/>
    </row>
    <row r="13" spans="1:30" ht="15" customHeight="1" thickBot="1" x14ac:dyDescent="0.3">
      <c r="A13" s="600"/>
      <c r="B13" s="601"/>
      <c r="C13" s="611"/>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47" t="s">
        <v>17</v>
      </c>
      <c r="B15" s="548"/>
      <c r="C15" s="586" t="s">
        <v>18</v>
      </c>
      <c r="D15" s="587"/>
      <c r="E15" s="587"/>
      <c r="F15" s="587"/>
      <c r="G15" s="587"/>
      <c r="H15" s="587"/>
      <c r="I15" s="587"/>
      <c r="J15" s="587"/>
      <c r="K15" s="588"/>
      <c r="L15" s="555" t="s">
        <v>19</v>
      </c>
      <c r="M15" s="559"/>
      <c r="N15" s="559"/>
      <c r="O15" s="559"/>
      <c r="P15" s="559"/>
      <c r="Q15" s="556"/>
      <c r="R15" s="552" t="s">
        <v>20</v>
      </c>
      <c r="S15" s="553"/>
      <c r="T15" s="553"/>
      <c r="U15" s="553"/>
      <c r="V15" s="553"/>
      <c r="W15" s="553"/>
      <c r="X15" s="554"/>
      <c r="Y15" s="555" t="s">
        <v>21</v>
      </c>
      <c r="Z15" s="556"/>
      <c r="AA15" s="543" t="s">
        <v>22</v>
      </c>
      <c r="AB15" s="544"/>
      <c r="AC15" s="544"/>
      <c r="AD15" s="545"/>
    </row>
    <row r="16" spans="1:30" ht="9" customHeight="1" thickBot="1" x14ac:dyDescent="0.3">
      <c r="A16" s="59"/>
      <c r="B16" s="54"/>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73"/>
      <c r="AD16" s="74"/>
    </row>
    <row r="17" spans="1:41" s="76" customFormat="1" ht="37.5" customHeight="1" thickBot="1" x14ac:dyDescent="0.3">
      <c r="A17" s="547" t="s">
        <v>23</v>
      </c>
      <c r="B17" s="548"/>
      <c r="C17" s="549" t="s">
        <v>113</v>
      </c>
      <c r="D17" s="550"/>
      <c r="E17" s="550"/>
      <c r="F17" s="550"/>
      <c r="G17" s="550"/>
      <c r="H17" s="550"/>
      <c r="I17" s="550"/>
      <c r="J17" s="550"/>
      <c r="K17" s="550"/>
      <c r="L17" s="550"/>
      <c r="M17" s="550"/>
      <c r="N17" s="550"/>
      <c r="O17" s="550"/>
      <c r="P17" s="550"/>
      <c r="Q17" s="551"/>
      <c r="R17" s="555" t="s">
        <v>25</v>
      </c>
      <c r="S17" s="559"/>
      <c r="T17" s="559"/>
      <c r="U17" s="559"/>
      <c r="V17" s="556"/>
      <c r="W17" s="684">
        <v>0.25</v>
      </c>
      <c r="X17" s="685"/>
      <c r="Y17" s="559" t="s">
        <v>26</v>
      </c>
      <c r="Z17" s="559"/>
      <c r="AA17" s="559"/>
      <c r="AB17" s="556"/>
      <c r="AC17" s="594">
        <v>0.15</v>
      </c>
      <c r="AD17" s="59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55" t="s">
        <v>27</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6"/>
      <c r="AE19" s="83"/>
      <c r="AF19" s="83"/>
    </row>
    <row r="20" spans="1:41" ht="32.1" customHeight="1" thickBot="1" x14ac:dyDescent="0.3">
      <c r="A20" s="82"/>
      <c r="B20" s="60"/>
      <c r="C20" s="563" t="s">
        <v>28</v>
      </c>
      <c r="D20" s="564"/>
      <c r="E20" s="564"/>
      <c r="F20" s="564"/>
      <c r="G20" s="564"/>
      <c r="H20" s="564"/>
      <c r="I20" s="564"/>
      <c r="J20" s="564"/>
      <c r="K20" s="564"/>
      <c r="L20" s="564"/>
      <c r="M20" s="564"/>
      <c r="N20" s="564"/>
      <c r="O20" s="564"/>
      <c r="P20" s="565"/>
      <c r="Q20" s="560" t="s">
        <v>29</v>
      </c>
      <c r="R20" s="561"/>
      <c r="S20" s="561"/>
      <c r="T20" s="561"/>
      <c r="U20" s="561"/>
      <c r="V20" s="561"/>
      <c r="W20" s="561"/>
      <c r="X20" s="561"/>
      <c r="Y20" s="561"/>
      <c r="Z20" s="561"/>
      <c r="AA20" s="561"/>
      <c r="AB20" s="561"/>
      <c r="AC20" s="561"/>
      <c r="AD20" s="562"/>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8</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8</v>
      </c>
      <c r="AB21" s="147" t="s">
        <v>40</v>
      </c>
      <c r="AC21" s="147" t="s">
        <v>41</v>
      </c>
      <c r="AD21" s="148" t="s">
        <v>42</v>
      </c>
      <c r="AE21" s="3"/>
      <c r="AF21" s="3"/>
    </row>
    <row r="22" spans="1:41" ht="32.1" customHeight="1" x14ac:dyDescent="0.25">
      <c r="A22" s="522" t="s">
        <v>43</v>
      </c>
      <c r="B22" s="593"/>
      <c r="C22" s="168"/>
      <c r="D22" s="166"/>
      <c r="E22" s="166"/>
      <c r="F22" s="166"/>
      <c r="G22" s="166"/>
      <c r="H22" s="166"/>
      <c r="I22" s="166"/>
      <c r="J22" s="166"/>
      <c r="K22" s="166"/>
      <c r="L22" s="166"/>
      <c r="M22" s="166"/>
      <c r="N22" s="166"/>
      <c r="O22" s="166">
        <f>SUM(C22:N22)</f>
        <v>0</v>
      </c>
      <c r="P22" s="169"/>
      <c r="Q22" s="168">
        <v>2721220256</v>
      </c>
      <c r="R22" s="308"/>
      <c r="S22" s="166">
        <f>19186926+10126938+6986000</f>
        <v>36299864</v>
      </c>
      <c r="T22" s="166">
        <f>35000000+22500000+24639441</f>
        <v>82139441</v>
      </c>
      <c r="U22" s="166"/>
      <c r="V22" s="166">
        <f>2139478+39142026-89234435</f>
        <v>-47952931</v>
      </c>
      <c r="W22" s="166">
        <v>11893445</v>
      </c>
      <c r="X22" s="166"/>
      <c r="Y22" s="166"/>
      <c r="Z22" s="166">
        <v>102824946</v>
      </c>
      <c r="AA22" s="166"/>
      <c r="AB22" s="166"/>
      <c r="AC22" s="166">
        <f>SUM(Q22:AB22)</f>
        <v>2906425021</v>
      </c>
      <c r="AD22" s="173"/>
      <c r="AE22" s="3"/>
      <c r="AF22" s="592" t="s">
        <v>44</v>
      </c>
      <c r="AG22" s="592"/>
      <c r="AH22" s="592"/>
      <c r="AI22" s="592"/>
      <c r="AJ22" s="592"/>
      <c r="AK22" s="592"/>
      <c r="AL22" s="592"/>
      <c r="AM22" s="592"/>
    </row>
    <row r="23" spans="1:41" ht="32.1" customHeight="1" x14ac:dyDescent="0.25">
      <c r="A23" s="523" t="s">
        <v>45</v>
      </c>
      <c r="B23" s="535"/>
      <c r="C23" s="163"/>
      <c r="D23" s="162"/>
      <c r="E23" s="162"/>
      <c r="F23" s="162"/>
      <c r="G23" s="162"/>
      <c r="H23" s="162"/>
      <c r="I23" s="162"/>
      <c r="J23" s="162"/>
      <c r="K23" s="162"/>
      <c r="L23" s="162"/>
      <c r="M23" s="162"/>
      <c r="N23" s="162"/>
      <c r="O23" s="162">
        <f>SUM(C23:N23)</f>
        <v>0</v>
      </c>
      <c r="P23" s="174" t="str">
        <f>IFERROR(O23/(SUMIF(C23:N23,"&gt;0",C22:N22))," ")</f>
        <v xml:space="preserve"> </v>
      </c>
      <c r="Q23" s="307">
        <v>1095524494</v>
      </c>
      <c r="R23" s="303">
        <v>1268876251</v>
      </c>
      <c r="S23" s="303">
        <v>167072463</v>
      </c>
      <c r="T23" s="303">
        <v>-18748320</v>
      </c>
      <c r="U23" s="303">
        <v>51615203</v>
      </c>
      <c r="V23" s="303">
        <v>73453791</v>
      </c>
      <c r="W23" s="303">
        <v>49502400</v>
      </c>
      <c r="X23" s="303" t="s">
        <v>100</v>
      </c>
      <c r="Y23" s="303">
        <v>12710200</v>
      </c>
      <c r="Z23" s="303">
        <v>57334667</v>
      </c>
      <c r="AA23" s="162">
        <v>52789000</v>
      </c>
      <c r="AB23" s="162"/>
      <c r="AC23" s="162">
        <f>SUM(Q23:AB23)</f>
        <v>2810130149</v>
      </c>
      <c r="AD23" s="171">
        <f>+AC23/AC22</f>
        <v>0.96686827587010371</v>
      </c>
      <c r="AE23" s="3"/>
      <c r="AF23" s="592"/>
      <c r="AG23" s="592"/>
      <c r="AH23" s="592"/>
      <c r="AI23" s="592"/>
      <c r="AJ23" s="592"/>
      <c r="AK23" s="592"/>
      <c r="AL23" s="592"/>
      <c r="AM23" s="592"/>
    </row>
    <row r="24" spans="1:41" ht="32.1" customHeight="1" x14ac:dyDescent="0.25">
      <c r="A24" s="523" t="s">
        <v>47</v>
      </c>
      <c r="B24" s="535"/>
      <c r="C24" s="300">
        <f>25110243+698600+1646343+2010000+1804187+22062331</f>
        <v>53331704</v>
      </c>
      <c r="D24" s="301">
        <f>1749516+3375000+698600+1646343+2400000+500000+3750000+461423+1+735420+1420164+309000+1081500+735420+772500+772500+432600+475860+5148623</f>
        <v>26464470</v>
      </c>
      <c r="E24" s="162">
        <f>698600+1646343+2400000+500000+4956875</f>
        <v>10201818</v>
      </c>
      <c r="F24" s="162">
        <f>698600+1646343+2387790+500000+5038625</f>
        <v>10271358</v>
      </c>
      <c r="G24" s="162">
        <f>548900+1646343</f>
        <v>2195243</v>
      </c>
      <c r="H24" s="162">
        <f>1646343-120167</f>
        <v>1526176</v>
      </c>
      <c r="I24" s="162">
        <v>1049769</v>
      </c>
      <c r="J24" s="302" t="s">
        <v>101</v>
      </c>
      <c r="K24" s="162">
        <v>-11574</v>
      </c>
      <c r="L24" s="162"/>
      <c r="M24" s="162"/>
      <c r="N24" s="162">
        <v>3719997</v>
      </c>
      <c r="O24" s="184">
        <f>SUM(C24:N24)</f>
        <v>108748961</v>
      </c>
      <c r="P24" s="167"/>
      <c r="Q24" s="163"/>
      <c r="R24" s="308">
        <v>111139916</v>
      </c>
      <c r="S24" s="162">
        <v>224170940</v>
      </c>
      <c r="T24" s="162">
        <f>229320940+1918693+1646343+776223</f>
        <v>233662199</v>
      </c>
      <c r="U24" s="162">
        <f>229320940+1918693+3888889+2500000+1646343+24639441+776223</f>
        <v>264690529</v>
      </c>
      <c r="V24" s="162">
        <f>229320940+1918693+3888889+2500000+1646343+776222-89234435</f>
        <v>150816652</v>
      </c>
      <c r="W24" s="162">
        <f>229320940+1918693+2139478+3888889+2500000+741130+13047342+776222</f>
        <v>254332694</v>
      </c>
      <c r="X24" s="162">
        <f>244770940+1918693+3888889+2500000+741130+11893445+776222</f>
        <v>266489319</v>
      </c>
      <c r="Y24" s="162">
        <f>244770940+1918693+3888889+2500000+741130+13047342+776222</f>
        <v>267643216</v>
      </c>
      <c r="Z24" s="162">
        <f>244770940+1918692+3888889+2500000+741130+776222+102824946</f>
        <v>357420819</v>
      </c>
      <c r="AA24" s="162">
        <f>244770940+1918692+3888889+2500000+741130+13047342+776222</f>
        <v>267643215</v>
      </c>
      <c r="AB24" s="162">
        <f>489541880+3837384+7777777+5000000+1482259+776222</f>
        <v>508415522</v>
      </c>
      <c r="AC24" s="162">
        <f>SUM(Q24:AB24)</f>
        <v>2906425021</v>
      </c>
      <c r="AD24" s="171"/>
      <c r="AE24" s="3"/>
      <c r="AF24" s="592"/>
      <c r="AG24" s="592"/>
      <c r="AH24" s="592"/>
      <c r="AI24" s="592"/>
      <c r="AJ24" s="592"/>
      <c r="AK24" s="592"/>
      <c r="AL24" s="592"/>
      <c r="AM24" s="592"/>
    </row>
    <row r="25" spans="1:41" ht="32.1" customHeight="1" x14ac:dyDescent="0.25">
      <c r="A25" s="479" t="s">
        <v>50</v>
      </c>
      <c r="B25" s="542"/>
      <c r="C25" s="311">
        <v>12332011</v>
      </c>
      <c r="D25" s="309">
        <v>39266779</v>
      </c>
      <c r="E25" s="309">
        <v>27153750</v>
      </c>
      <c r="F25" s="309">
        <v>11625441</v>
      </c>
      <c r="G25" s="309">
        <v>6967107</v>
      </c>
      <c r="H25" s="309">
        <v>3110643</v>
      </c>
      <c r="I25" s="309">
        <v>1646352</v>
      </c>
      <c r="J25" s="309" t="s">
        <v>101</v>
      </c>
      <c r="K25" s="309" t="s">
        <v>101</v>
      </c>
      <c r="L25" s="165">
        <v>3375000</v>
      </c>
      <c r="M25" s="165">
        <v>914696</v>
      </c>
      <c r="N25" s="165"/>
      <c r="O25" s="165">
        <f>SUM(C25:N25)</f>
        <v>106391779</v>
      </c>
      <c r="P25" s="170">
        <f>+O25/O24</f>
        <v>0.97832455613070179</v>
      </c>
      <c r="Q25" s="317"/>
      <c r="R25" s="299">
        <v>18557067</v>
      </c>
      <c r="S25" s="299">
        <v>123898287</v>
      </c>
      <c r="T25" s="299">
        <v>234447104</v>
      </c>
      <c r="U25" s="299">
        <v>234493079</v>
      </c>
      <c r="V25" s="299">
        <v>251870794</v>
      </c>
      <c r="W25" s="299">
        <v>266020722</v>
      </c>
      <c r="X25" s="299">
        <v>254381295</v>
      </c>
      <c r="Y25" s="299">
        <v>253226761</v>
      </c>
      <c r="Z25" s="165">
        <v>255923093</v>
      </c>
      <c r="AA25" s="165">
        <v>271852534</v>
      </c>
      <c r="AB25" s="165"/>
      <c r="AC25" s="165">
        <f>SUM(Q25:AB25)</f>
        <v>2164670736</v>
      </c>
      <c r="AD25" s="172">
        <f>+AC25/AC24</f>
        <v>0.74478808858286383</v>
      </c>
      <c r="AE25" s="3"/>
      <c r="AF25" s="592"/>
      <c r="AG25" s="592"/>
      <c r="AH25" s="592"/>
      <c r="AI25" s="592"/>
      <c r="AJ25" s="592"/>
      <c r="AK25" s="592"/>
      <c r="AL25" s="592"/>
      <c r="AM25" s="592"/>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38" t="s">
        <v>52</v>
      </c>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1"/>
    </row>
    <row r="28" spans="1:41" ht="15" customHeight="1" x14ac:dyDescent="0.25">
      <c r="A28" s="531" t="s">
        <v>53</v>
      </c>
      <c r="B28" s="533" t="s">
        <v>54</v>
      </c>
      <c r="C28" s="534"/>
      <c r="D28" s="535" t="s">
        <v>55</v>
      </c>
      <c r="E28" s="536"/>
      <c r="F28" s="536"/>
      <c r="G28" s="536"/>
      <c r="H28" s="536"/>
      <c r="I28" s="536"/>
      <c r="J28" s="536"/>
      <c r="K28" s="536"/>
      <c r="L28" s="536"/>
      <c r="M28" s="536"/>
      <c r="N28" s="536"/>
      <c r="O28" s="530"/>
      <c r="P28" s="524" t="s">
        <v>41</v>
      </c>
      <c r="Q28" s="524" t="s">
        <v>56</v>
      </c>
      <c r="R28" s="524"/>
      <c r="S28" s="524"/>
      <c r="T28" s="524"/>
      <c r="U28" s="524"/>
      <c r="V28" s="524"/>
      <c r="W28" s="524"/>
      <c r="X28" s="524"/>
      <c r="Y28" s="524"/>
      <c r="Z28" s="524"/>
      <c r="AA28" s="524"/>
      <c r="AB28" s="524"/>
      <c r="AC28" s="524"/>
      <c r="AD28" s="537"/>
    </row>
    <row r="29" spans="1:41" ht="27" customHeight="1" x14ac:dyDescent="0.25">
      <c r="A29" s="532"/>
      <c r="B29" s="527"/>
      <c r="C29" s="482"/>
      <c r="D29" s="88" t="s">
        <v>30</v>
      </c>
      <c r="E29" s="88" t="s">
        <v>31</v>
      </c>
      <c r="F29" s="88" t="s">
        <v>32</v>
      </c>
      <c r="G29" s="88" t="s">
        <v>33</v>
      </c>
      <c r="H29" s="88" t="s">
        <v>34</v>
      </c>
      <c r="I29" s="88" t="s">
        <v>35</v>
      </c>
      <c r="J29" s="88" t="s">
        <v>36</v>
      </c>
      <c r="K29" s="88" t="s">
        <v>37</v>
      </c>
      <c r="L29" s="88" t="s">
        <v>38</v>
      </c>
      <c r="M29" s="88" t="s">
        <v>39</v>
      </c>
      <c r="N29" s="88" t="s">
        <v>8</v>
      </c>
      <c r="O29" s="88" t="s">
        <v>40</v>
      </c>
      <c r="P29" s="530"/>
      <c r="Q29" s="524"/>
      <c r="R29" s="524"/>
      <c r="S29" s="524"/>
      <c r="T29" s="524"/>
      <c r="U29" s="524"/>
      <c r="V29" s="524"/>
      <c r="W29" s="524"/>
      <c r="X29" s="524"/>
      <c r="Y29" s="524"/>
      <c r="Z29" s="524"/>
      <c r="AA29" s="524"/>
      <c r="AB29" s="524"/>
      <c r="AC29" s="524"/>
      <c r="AD29" s="537"/>
    </row>
    <row r="30" spans="1:41" ht="68.25" customHeight="1" thickBot="1" x14ac:dyDescent="0.3">
      <c r="A30" s="85" t="s">
        <v>114</v>
      </c>
      <c r="B30" s="515"/>
      <c r="C30" s="516"/>
      <c r="D30" s="89"/>
      <c r="E30" s="89"/>
      <c r="F30" s="89"/>
      <c r="G30" s="89"/>
      <c r="H30" s="89"/>
      <c r="I30" s="89"/>
      <c r="J30" s="89"/>
      <c r="K30" s="89"/>
      <c r="L30" s="89"/>
      <c r="M30" s="89"/>
      <c r="N30" s="89"/>
      <c r="O30" s="89"/>
      <c r="P30" s="86">
        <f>SUM(D30:O30)</f>
        <v>0</v>
      </c>
      <c r="Q30" s="517"/>
      <c r="R30" s="517"/>
      <c r="S30" s="517"/>
      <c r="T30" s="517"/>
      <c r="U30" s="517"/>
      <c r="V30" s="517"/>
      <c r="W30" s="517"/>
      <c r="X30" s="517"/>
      <c r="Y30" s="517"/>
      <c r="Z30" s="517"/>
      <c r="AA30" s="517"/>
      <c r="AB30" s="517"/>
      <c r="AC30" s="517"/>
      <c r="AD30" s="518"/>
    </row>
    <row r="31" spans="1:41" ht="45" customHeight="1" thickBot="1" x14ac:dyDescent="0.3">
      <c r="A31" s="519" t="s">
        <v>58</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1"/>
    </row>
    <row r="32" spans="1:41" ht="23.1" customHeight="1" x14ac:dyDescent="0.25">
      <c r="A32" s="522" t="s">
        <v>59</v>
      </c>
      <c r="B32" s="480" t="s">
        <v>60</v>
      </c>
      <c r="C32" s="483" t="s">
        <v>54</v>
      </c>
      <c r="D32" s="526" t="s">
        <v>61</v>
      </c>
      <c r="E32" s="480"/>
      <c r="F32" s="480"/>
      <c r="G32" s="480"/>
      <c r="H32" s="480"/>
      <c r="I32" s="480"/>
      <c r="J32" s="480"/>
      <c r="K32" s="480"/>
      <c r="L32" s="480"/>
      <c r="M32" s="480"/>
      <c r="N32" s="480"/>
      <c r="O32" s="480"/>
      <c r="P32" s="483"/>
      <c r="Q32" s="522" t="s">
        <v>62</v>
      </c>
      <c r="R32" s="480"/>
      <c r="S32" s="480"/>
      <c r="T32" s="480"/>
      <c r="U32" s="480"/>
      <c r="V32" s="480"/>
      <c r="W32" s="480"/>
      <c r="X32" s="480"/>
      <c r="Y32" s="480"/>
      <c r="Z32" s="480"/>
      <c r="AA32" s="480"/>
      <c r="AB32" s="480"/>
      <c r="AC32" s="480"/>
      <c r="AD32" s="483"/>
      <c r="AG32" s="87"/>
      <c r="AH32" s="87"/>
      <c r="AI32" s="87"/>
      <c r="AJ32" s="87"/>
      <c r="AK32" s="87"/>
      <c r="AL32" s="87"/>
      <c r="AM32" s="87"/>
      <c r="AN32" s="87"/>
      <c r="AO32" s="87"/>
    </row>
    <row r="33" spans="1:41" ht="27" customHeight="1" x14ac:dyDescent="0.25">
      <c r="A33" s="523"/>
      <c r="B33" s="524"/>
      <c r="C33" s="525"/>
      <c r="D33" s="232" t="s">
        <v>30</v>
      </c>
      <c r="E33" s="226" t="s">
        <v>31</v>
      </c>
      <c r="F33" s="226" t="s">
        <v>32</v>
      </c>
      <c r="G33" s="226" t="s">
        <v>33</v>
      </c>
      <c r="H33" s="226" t="s">
        <v>34</v>
      </c>
      <c r="I33" s="226" t="s">
        <v>35</v>
      </c>
      <c r="J33" s="226" t="s">
        <v>36</v>
      </c>
      <c r="K33" s="226" t="s">
        <v>37</v>
      </c>
      <c r="L33" s="226" t="s">
        <v>38</v>
      </c>
      <c r="M33" s="226" t="s">
        <v>39</v>
      </c>
      <c r="N33" s="226" t="s">
        <v>8</v>
      </c>
      <c r="O33" s="226" t="s">
        <v>40</v>
      </c>
      <c r="P33" s="227" t="s">
        <v>41</v>
      </c>
      <c r="Q33" s="479" t="s">
        <v>63</v>
      </c>
      <c r="R33" s="481"/>
      <c r="S33" s="481"/>
      <c r="T33" s="481" t="s">
        <v>64</v>
      </c>
      <c r="U33" s="481"/>
      <c r="V33" s="481"/>
      <c r="W33" s="665" t="s">
        <v>65</v>
      </c>
      <c r="X33" s="561"/>
      <c r="Y33" s="561"/>
      <c r="Z33" s="666"/>
      <c r="AA33" s="704" t="s">
        <v>66</v>
      </c>
      <c r="AB33" s="564"/>
      <c r="AC33" s="564"/>
      <c r="AD33" s="565"/>
      <c r="AG33" s="87"/>
      <c r="AH33" s="87"/>
      <c r="AI33" s="87"/>
      <c r="AJ33" s="87"/>
      <c r="AK33" s="87"/>
      <c r="AL33" s="87"/>
      <c r="AM33" s="87"/>
      <c r="AN33" s="87"/>
      <c r="AO33" s="87"/>
    </row>
    <row r="34" spans="1:41" ht="163.5" customHeight="1" x14ac:dyDescent="0.25">
      <c r="A34" s="705" t="s">
        <v>114</v>
      </c>
      <c r="B34" s="501">
        <v>0.15</v>
      </c>
      <c r="C34" s="235" t="s">
        <v>67</v>
      </c>
      <c r="D34" s="230">
        <f>D69</f>
        <v>0</v>
      </c>
      <c r="E34" s="231">
        <f t="shared" ref="E34:O34" si="0">E69</f>
        <v>3.2500000000000008E-2</v>
      </c>
      <c r="F34" s="231">
        <f t="shared" si="0"/>
        <v>3.2158333333333337E-2</v>
      </c>
      <c r="G34" s="231">
        <f t="shared" si="0"/>
        <v>3.2158333333333337E-2</v>
      </c>
      <c r="H34" s="231">
        <f t="shared" si="0"/>
        <v>1.5491666666666669E-2</v>
      </c>
      <c r="I34" s="231">
        <f t="shared" si="0"/>
        <v>1.5491666666666669E-2</v>
      </c>
      <c r="J34" s="231">
        <f t="shared" si="0"/>
        <v>3.2158333333333337E-2</v>
      </c>
      <c r="K34" s="231">
        <f t="shared" si="0"/>
        <v>1.5491666666666669E-2</v>
      </c>
      <c r="L34" s="231">
        <f t="shared" si="0"/>
        <v>3.2158333333333337E-2</v>
      </c>
      <c r="M34" s="231">
        <f t="shared" si="0"/>
        <v>1.5491666666666669E-2</v>
      </c>
      <c r="N34" s="231">
        <f t="shared" si="0"/>
        <v>1.5491666666666669E-2</v>
      </c>
      <c r="O34" s="231">
        <f t="shared" si="0"/>
        <v>1.1408333333333336E-2</v>
      </c>
      <c r="P34" s="231">
        <f>SUM(D34:O34)</f>
        <v>0.25000000000000011</v>
      </c>
      <c r="Q34" s="707" t="s">
        <v>115</v>
      </c>
      <c r="R34" s="687"/>
      <c r="S34" s="687"/>
      <c r="T34" s="708" t="s">
        <v>116</v>
      </c>
      <c r="U34" s="708"/>
      <c r="V34" s="709"/>
      <c r="W34" s="710" t="s">
        <v>117</v>
      </c>
      <c r="X34" s="710"/>
      <c r="Y34" s="710"/>
      <c r="Z34" s="710"/>
      <c r="AA34" s="686" t="s">
        <v>118</v>
      </c>
      <c r="AB34" s="687"/>
      <c r="AC34" s="687"/>
      <c r="AD34" s="688"/>
      <c r="AG34" s="87"/>
      <c r="AH34" s="87"/>
      <c r="AI34" s="87"/>
      <c r="AJ34" s="87"/>
      <c r="AK34" s="87"/>
      <c r="AL34" s="87"/>
      <c r="AM34" s="87"/>
      <c r="AN34" s="87"/>
      <c r="AO34" s="87"/>
    </row>
    <row r="35" spans="1:41" ht="135" customHeight="1" x14ac:dyDescent="0.25">
      <c r="A35" s="706"/>
      <c r="B35" s="502"/>
      <c r="C35" s="229" t="s">
        <v>72</v>
      </c>
      <c r="D35" s="228">
        <f>D66</f>
        <v>0</v>
      </c>
      <c r="E35" s="221">
        <f t="shared" ref="E35:M35" si="1">E66</f>
        <v>3.2500000000000008E-2</v>
      </c>
      <c r="F35" s="221">
        <f t="shared" si="1"/>
        <v>3.2158333333333337E-2</v>
      </c>
      <c r="G35" s="221">
        <f t="shared" si="1"/>
        <v>2.3825000000000006E-2</v>
      </c>
      <c r="H35" s="221">
        <f t="shared" si="1"/>
        <v>2.3825000000000006E-2</v>
      </c>
      <c r="I35" s="221">
        <f t="shared" si="1"/>
        <v>1.5491666666666669E-2</v>
      </c>
      <c r="J35" s="221">
        <f t="shared" si="1"/>
        <v>3.2158333333333337E-2</v>
      </c>
      <c r="K35" s="221">
        <f t="shared" si="1"/>
        <v>1.5491666666666669E-2</v>
      </c>
      <c r="L35" s="221">
        <f t="shared" si="1"/>
        <v>3.2158333333333337E-2</v>
      </c>
      <c r="M35" s="221">
        <f t="shared" si="1"/>
        <v>1.5491666666666669E-2</v>
      </c>
      <c r="N35" s="274">
        <v>0</v>
      </c>
      <c r="O35" s="351">
        <v>0</v>
      </c>
      <c r="P35" s="222">
        <f>SUM(D35:O35)</f>
        <v>0.2231000000000001</v>
      </c>
      <c r="Q35" s="707"/>
      <c r="R35" s="687"/>
      <c r="S35" s="687"/>
      <c r="T35" s="708"/>
      <c r="U35" s="708"/>
      <c r="V35" s="709"/>
      <c r="W35" s="710"/>
      <c r="X35" s="710"/>
      <c r="Y35" s="710"/>
      <c r="Z35" s="710"/>
      <c r="AA35" s="686"/>
      <c r="AB35" s="687"/>
      <c r="AC35" s="687"/>
      <c r="AD35" s="688"/>
      <c r="AE35" s="49"/>
      <c r="AG35" s="87"/>
      <c r="AH35" s="87"/>
      <c r="AI35" s="87"/>
      <c r="AJ35" s="87"/>
      <c r="AK35" s="87"/>
      <c r="AL35" s="87"/>
      <c r="AM35" s="87"/>
      <c r="AN35" s="87"/>
      <c r="AO35" s="87"/>
    </row>
    <row r="36" spans="1:41" ht="26.1" customHeight="1" x14ac:dyDescent="0.25">
      <c r="A36" s="478" t="s">
        <v>73</v>
      </c>
      <c r="B36" s="689" t="s">
        <v>74</v>
      </c>
      <c r="C36" s="482" t="s">
        <v>75</v>
      </c>
      <c r="D36" s="480"/>
      <c r="E36" s="480"/>
      <c r="F36" s="480"/>
      <c r="G36" s="480"/>
      <c r="H36" s="480"/>
      <c r="I36" s="480"/>
      <c r="J36" s="480"/>
      <c r="K36" s="480"/>
      <c r="L36" s="480"/>
      <c r="M36" s="480"/>
      <c r="N36" s="480"/>
      <c r="O36" s="480"/>
      <c r="P36" s="483"/>
      <c r="Q36" s="691" t="s">
        <v>76</v>
      </c>
      <c r="R36" s="643"/>
      <c r="S36" s="643"/>
      <c r="T36" s="643"/>
      <c r="U36" s="643"/>
      <c r="V36" s="643"/>
      <c r="W36" s="528"/>
      <c r="X36" s="528"/>
      <c r="Y36" s="528"/>
      <c r="Z36" s="528"/>
      <c r="AA36" s="643"/>
      <c r="AB36" s="643"/>
      <c r="AC36" s="643"/>
      <c r="AD36" s="644"/>
      <c r="AG36" s="87"/>
      <c r="AH36" s="87"/>
      <c r="AI36" s="87"/>
      <c r="AJ36" s="87"/>
      <c r="AK36" s="87"/>
      <c r="AL36" s="87"/>
      <c r="AM36" s="87"/>
      <c r="AN36" s="87"/>
      <c r="AO36" s="87"/>
    </row>
    <row r="37" spans="1:41" ht="26.1" customHeight="1" x14ac:dyDescent="0.25">
      <c r="A37" s="479"/>
      <c r="B37" s="690"/>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92" t="s">
        <v>91</v>
      </c>
      <c r="R37" s="645"/>
      <c r="S37" s="645"/>
      <c r="T37" s="645"/>
      <c r="U37" s="645"/>
      <c r="V37" s="645"/>
      <c r="W37" s="645"/>
      <c r="X37" s="645"/>
      <c r="Y37" s="645"/>
      <c r="Z37" s="645"/>
      <c r="AA37" s="645"/>
      <c r="AB37" s="645"/>
      <c r="AC37" s="645"/>
      <c r="AD37" s="646"/>
      <c r="AG37" s="94"/>
      <c r="AH37" s="94"/>
      <c r="AI37" s="94"/>
      <c r="AJ37" s="94"/>
      <c r="AK37" s="94"/>
      <c r="AL37" s="94"/>
      <c r="AM37" s="94"/>
      <c r="AN37" s="94"/>
      <c r="AO37" s="94"/>
    </row>
    <row r="38" spans="1:41" ht="35.25" customHeight="1" x14ac:dyDescent="0.25">
      <c r="A38" s="703" t="s">
        <v>119</v>
      </c>
      <c r="B38" s="491">
        <v>0.05</v>
      </c>
      <c r="C38" s="344" t="s">
        <v>67</v>
      </c>
      <c r="D38" s="262">
        <v>0</v>
      </c>
      <c r="E38" s="268">
        <v>0.1</v>
      </c>
      <c r="F38" s="420">
        <v>9.5000000000000001E-2</v>
      </c>
      <c r="G38" s="420">
        <v>9.5000000000000001E-2</v>
      </c>
      <c r="H38" s="268">
        <v>9.5000000000000001E-2</v>
      </c>
      <c r="I38" s="268">
        <v>9.5000000000000001E-2</v>
      </c>
      <c r="J38" s="268">
        <v>9.5000000000000001E-2</v>
      </c>
      <c r="K38" s="268">
        <v>9.5000000000000001E-2</v>
      </c>
      <c r="L38" s="268">
        <v>9.5000000000000001E-2</v>
      </c>
      <c r="M38" s="268">
        <v>9.5000000000000001E-2</v>
      </c>
      <c r="N38" s="268">
        <v>9.5000000000000001E-2</v>
      </c>
      <c r="O38" s="268">
        <v>4.4999999999999998E-2</v>
      </c>
      <c r="P38" s="349">
        <f t="shared" ref="P38:P43" si="2">SUM(D38:O38)</f>
        <v>0.99999999999999989</v>
      </c>
      <c r="Q38" s="678" t="s">
        <v>120</v>
      </c>
      <c r="R38" s="679"/>
      <c r="S38" s="679"/>
      <c r="T38" s="679"/>
      <c r="U38" s="679"/>
      <c r="V38" s="679"/>
      <c r="W38" s="679"/>
      <c r="X38" s="679"/>
      <c r="Y38" s="679"/>
      <c r="Z38" s="679"/>
      <c r="AA38" s="679"/>
      <c r="AB38" s="679"/>
      <c r="AC38" s="679"/>
      <c r="AD38" s="680"/>
      <c r="AE38" s="97"/>
      <c r="AG38" s="98"/>
      <c r="AH38" s="98"/>
      <c r="AI38" s="98"/>
      <c r="AJ38" s="98"/>
      <c r="AK38" s="98"/>
      <c r="AL38" s="98"/>
      <c r="AM38" s="98"/>
      <c r="AN38" s="98"/>
      <c r="AO38" s="98"/>
    </row>
    <row r="39" spans="1:41" ht="35.25" customHeight="1" x14ac:dyDescent="0.25">
      <c r="A39" s="694"/>
      <c r="B39" s="492"/>
      <c r="C39" s="189" t="s">
        <v>72</v>
      </c>
      <c r="D39" s="256">
        <v>0</v>
      </c>
      <c r="E39" s="257">
        <v>0.1</v>
      </c>
      <c r="F39" s="257">
        <v>9.5000000000000001E-2</v>
      </c>
      <c r="G39" s="257">
        <v>9.5000000000000001E-2</v>
      </c>
      <c r="H39" s="257">
        <v>9.5000000000000001E-2</v>
      </c>
      <c r="I39" s="257">
        <v>9.5000000000000001E-2</v>
      </c>
      <c r="J39" s="257">
        <v>9.5000000000000001E-2</v>
      </c>
      <c r="K39" s="257">
        <v>9.5000000000000001E-2</v>
      </c>
      <c r="L39" s="257">
        <v>9.5000000000000001E-2</v>
      </c>
      <c r="M39" s="257">
        <f>+M38</f>
        <v>9.5000000000000001E-2</v>
      </c>
      <c r="N39" s="433">
        <f>+N38</f>
        <v>9.5000000000000001E-2</v>
      </c>
      <c r="O39" s="257" t="s">
        <v>48</v>
      </c>
      <c r="P39" s="319">
        <f t="shared" si="2"/>
        <v>0.95499999999999985</v>
      </c>
      <c r="Q39" s="695"/>
      <c r="R39" s="696"/>
      <c r="S39" s="696"/>
      <c r="T39" s="696"/>
      <c r="U39" s="696"/>
      <c r="V39" s="696"/>
      <c r="W39" s="696"/>
      <c r="X39" s="696"/>
      <c r="Y39" s="696"/>
      <c r="Z39" s="696"/>
      <c r="AA39" s="696"/>
      <c r="AB39" s="696"/>
      <c r="AC39" s="696"/>
      <c r="AD39" s="697"/>
      <c r="AE39" s="97"/>
    </row>
    <row r="40" spans="1:41" ht="29.25" customHeight="1" x14ac:dyDescent="0.25">
      <c r="A40" s="693" t="s">
        <v>121</v>
      </c>
      <c r="B40" s="470">
        <v>0.05</v>
      </c>
      <c r="C40" s="190" t="s">
        <v>67</v>
      </c>
      <c r="D40" s="263">
        <v>0</v>
      </c>
      <c r="E40" s="246">
        <v>0.2</v>
      </c>
      <c r="F40" s="269">
        <v>0.2</v>
      </c>
      <c r="G40" s="267">
        <v>0.2</v>
      </c>
      <c r="H40" s="249">
        <v>0</v>
      </c>
      <c r="I40" s="249">
        <v>0</v>
      </c>
      <c r="J40" s="249">
        <v>0.2</v>
      </c>
      <c r="K40" s="249">
        <v>0</v>
      </c>
      <c r="L40" s="249">
        <v>0.2</v>
      </c>
      <c r="M40" s="249">
        <v>0</v>
      </c>
      <c r="N40" s="249">
        <v>0</v>
      </c>
      <c r="O40" s="249">
        <v>0</v>
      </c>
      <c r="P40" s="101">
        <f t="shared" si="2"/>
        <v>1</v>
      </c>
      <c r="Q40" s="678" t="s">
        <v>122</v>
      </c>
      <c r="R40" s="679"/>
      <c r="S40" s="679"/>
      <c r="T40" s="679"/>
      <c r="U40" s="679"/>
      <c r="V40" s="679"/>
      <c r="W40" s="679"/>
      <c r="X40" s="679"/>
      <c r="Y40" s="679"/>
      <c r="Z40" s="679"/>
      <c r="AA40" s="679"/>
      <c r="AB40" s="679"/>
      <c r="AC40" s="679"/>
      <c r="AD40" s="680"/>
      <c r="AE40" s="97"/>
    </row>
    <row r="41" spans="1:41" ht="29.25" customHeight="1" x14ac:dyDescent="0.25">
      <c r="A41" s="694"/>
      <c r="B41" s="492"/>
      <c r="C41" s="189" t="s">
        <v>72</v>
      </c>
      <c r="D41" s="256">
        <v>0</v>
      </c>
      <c r="E41" s="257">
        <v>0.2</v>
      </c>
      <c r="F41" s="257">
        <v>0.2</v>
      </c>
      <c r="G41" s="251">
        <v>0.1</v>
      </c>
      <c r="H41" s="251">
        <v>0.1</v>
      </c>
      <c r="I41" s="251">
        <v>0</v>
      </c>
      <c r="J41" s="251">
        <v>0.2</v>
      </c>
      <c r="K41" s="251">
        <v>0</v>
      </c>
      <c r="L41" s="251">
        <v>0.2</v>
      </c>
      <c r="M41" s="251">
        <f>+M40</f>
        <v>0</v>
      </c>
      <c r="N41" s="428">
        <f>+N40</f>
        <v>0</v>
      </c>
      <c r="O41" s="251" t="s">
        <v>48</v>
      </c>
      <c r="P41" s="101">
        <f t="shared" si="2"/>
        <v>1</v>
      </c>
      <c r="Q41" s="681"/>
      <c r="R41" s="682"/>
      <c r="S41" s="682"/>
      <c r="T41" s="682"/>
      <c r="U41" s="682"/>
      <c r="V41" s="682"/>
      <c r="W41" s="682"/>
      <c r="X41" s="682"/>
      <c r="Y41" s="682"/>
      <c r="Z41" s="682"/>
      <c r="AA41" s="682"/>
      <c r="AB41" s="682"/>
      <c r="AC41" s="682"/>
      <c r="AD41" s="683"/>
      <c r="AE41" s="97"/>
    </row>
    <row r="42" spans="1:41" ht="48.75" customHeight="1" x14ac:dyDescent="0.25">
      <c r="A42" s="701" t="s">
        <v>123</v>
      </c>
      <c r="B42" s="657">
        <v>0.05</v>
      </c>
      <c r="C42" s="233" t="s">
        <v>67</v>
      </c>
      <c r="D42" s="263">
        <v>0</v>
      </c>
      <c r="E42" s="246">
        <v>0.09</v>
      </c>
      <c r="F42" s="269">
        <v>9.0899999999999995E-2</v>
      </c>
      <c r="G42" s="269">
        <v>9.0899999999999995E-2</v>
      </c>
      <c r="H42" s="246">
        <v>9.0899999999999995E-2</v>
      </c>
      <c r="I42" s="246">
        <v>9.0899999999999995E-2</v>
      </c>
      <c r="J42" s="246">
        <v>9.0899999999999995E-2</v>
      </c>
      <c r="K42" s="246">
        <v>9.0899999999999995E-2</v>
      </c>
      <c r="L42" s="246">
        <v>9.0899999999999995E-2</v>
      </c>
      <c r="M42" s="246">
        <v>9.0899999999999995E-2</v>
      </c>
      <c r="N42" s="246">
        <v>9.0899999999999995E-2</v>
      </c>
      <c r="O42" s="246">
        <v>9.1899999999999996E-2</v>
      </c>
      <c r="P42" s="350">
        <f>SUM(D42:O42)</f>
        <v>0.99999999999999989</v>
      </c>
      <c r="Q42" s="695" t="s">
        <v>124</v>
      </c>
      <c r="R42" s="696"/>
      <c r="S42" s="696"/>
      <c r="T42" s="696"/>
      <c r="U42" s="696"/>
      <c r="V42" s="696"/>
      <c r="W42" s="696"/>
      <c r="X42" s="696"/>
      <c r="Y42" s="696"/>
      <c r="Z42" s="696"/>
      <c r="AA42" s="696"/>
      <c r="AB42" s="696"/>
      <c r="AC42" s="696"/>
      <c r="AD42" s="697"/>
      <c r="AE42" s="97"/>
    </row>
    <row r="43" spans="1:41" ht="123" customHeight="1" x14ac:dyDescent="0.25">
      <c r="A43" s="702"/>
      <c r="B43" s="471"/>
      <c r="C43" s="234" t="s">
        <v>72</v>
      </c>
      <c r="D43" s="261">
        <f>+D42</f>
        <v>0</v>
      </c>
      <c r="E43" s="261">
        <f t="shared" ref="E43:N43" si="3">+E42</f>
        <v>0.09</v>
      </c>
      <c r="F43" s="261">
        <f t="shared" si="3"/>
        <v>9.0899999999999995E-2</v>
      </c>
      <c r="G43" s="261">
        <f t="shared" si="3"/>
        <v>9.0899999999999995E-2</v>
      </c>
      <c r="H43" s="261">
        <f t="shared" si="3"/>
        <v>9.0899999999999995E-2</v>
      </c>
      <c r="I43" s="261">
        <f t="shared" si="3"/>
        <v>9.0899999999999995E-2</v>
      </c>
      <c r="J43" s="261">
        <f t="shared" si="3"/>
        <v>9.0899999999999995E-2</v>
      </c>
      <c r="K43" s="261">
        <f t="shared" si="3"/>
        <v>9.0899999999999995E-2</v>
      </c>
      <c r="L43" s="261">
        <f t="shared" si="3"/>
        <v>9.0899999999999995E-2</v>
      </c>
      <c r="M43" s="261">
        <f t="shared" si="3"/>
        <v>9.0899999999999995E-2</v>
      </c>
      <c r="N43" s="444">
        <f t="shared" si="3"/>
        <v>9.0899999999999995E-2</v>
      </c>
      <c r="O43" s="320" t="s">
        <v>48</v>
      </c>
      <c r="P43" s="322">
        <f t="shared" si="2"/>
        <v>0.90809999999999991</v>
      </c>
      <c r="Q43" s="698"/>
      <c r="R43" s="699"/>
      <c r="S43" s="699"/>
      <c r="T43" s="699"/>
      <c r="U43" s="699"/>
      <c r="V43" s="699"/>
      <c r="W43" s="699"/>
      <c r="X43" s="699"/>
      <c r="Y43" s="699"/>
      <c r="Z43" s="699"/>
      <c r="AA43" s="699"/>
      <c r="AB43" s="699"/>
      <c r="AC43" s="699"/>
      <c r="AD43" s="700"/>
      <c r="AE43" s="97"/>
    </row>
    <row r="44" spans="1:41" x14ac:dyDescent="0.25">
      <c r="A44" s="50" t="s">
        <v>96</v>
      </c>
      <c r="P44" s="323"/>
    </row>
    <row r="45" spans="1:41" x14ac:dyDescent="0.25">
      <c r="P45" s="324"/>
    </row>
    <row r="55" spans="1:30" x14ac:dyDescent="0.25">
      <c r="A55" s="454" t="s">
        <v>97</v>
      </c>
      <c r="B55" s="456" t="s">
        <v>74</v>
      </c>
      <c r="C55" s="458" t="s">
        <v>75</v>
      </c>
      <c r="D55" s="459"/>
      <c r="E55" s="459"/>
      <c r="F55" s="459"/>
      <c r="G55" s="459"/>
      <c r="H55" s="459"/>
      <c r="I55" s="459"/>
      <c r="J55" s="459"/>
      <c r="K55" s="459"/>
      <c r="L55" s="459"/>
      <c r="M55" s="459"/>
      <c r="N55" s="459"/>
      <c r="O55" s="459"/>
      <c r="P55" s="460"/>
      <c r="Q55" s="191"/>
      <c r="R55" s="191"/>
      <c r="S55" s="192"/>
      <c r="T55" s="192"/>
      <c r="U55" s="192"/>
      <c r="V55" s="192"/>
      <c r="W55" s="192"/>
      <c r="X55" s="192"/>
      <c r="Y55" s="192"/>
      <c r="Z55" s="192"/>
      <c r="AA55" s="192"/>
      <c r="AB55" s="192"/>
      <c r="AC55" s="192"/>
      <c r="AD55" s="192"/>
    </row>
    <row r="56" spans="1:30" ht="21" x14ac:dyDescent="0.25">
      <c r="A56" s="455"/>
      <c r="B56" s="457"/>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461" t="str">
        <f>A38</f>
        <v xml:space="preserve">6. Implementar actividades de difusión del programa de Sistema de Cuidado con ciudadanía y actores territoriales </v>
      </c>
      <c r="B57" s="463">
        <f>B38</f>
        <v>0.05</v>
      </c>
      <c r="C57" s="194" t="s">
        <v>67</v>
      </c>
      <c r="D57" s="195">
        <f>D38*$B$38/$P$38</f>
        <v>0</v>
      </c>
      <c r="E57" s="195">
        <f t="shared" ref="D57:O58" si="4">E38*$B$38/$P$38</f>
        <v>5.0000000000000018E-3</v>
      </c>
      <c r="F57" s="195">
        <f t="shared" si="4"/>
        <v>4.7500000000000016E-3</v>
      </c>
      <c r="G57" s="195">
        <f t="shared" si="4"/>
        <v>4.7500000000000016E-3</v>
      </c>
      <c r="H57" s="195">
        <f t="shared" si="4"/>
        <v>4.7500000000000016E-3</v>
      </c>
      <c r="I57" s="195">
        <f t="shared" si="4"/>
        <v>4.7500000000000016E-3</v>
      </c>
      <c r="J57" s="195">
        <f t="shared" si="4"/>
        <v>4.7500000000000016E-3</v>
      </c>
      <c r="K57" s="195">
        <f t="shared" si="4"/>
        <v>4.7500000000000016E-3</v>
      </c>
      <c r="L57" s="195">
        <f t="shared" si="4"/>
        <v>4.7500000000000016E-3</v>
      </c>
      <c r="M57" s="195">
        <f t="shared" si="4"/>
        <v>4.7500000000000016E-3</v>
      </c>
      <c r="N57" s="195">
        <f t="shared" si="4"/>
        <v>4.7500000000000016E-3</v>
      </c>
      <c r="O57" s="195">
        <f t="shared" si="4"/>
        <v>2.2500000000000003E-3</v>
      </c>
      <c r="P57" s="196">
        <f t="shared" ref="P57:P62" si="5">SUM(D57:O57)</f>
        <v>5.0000000000000024E-2</v>
      </c>
      <c r="Q57" s="197">
        <v>0.05</v>
      </c>
      <c r="R57" s="198">
        <f t="shared" ref="R57:R65" si="6">+P57-Q57</f>
        <v>0</v>
      </c>
      <c r="S57" s="192"/>
      <c r="T57" s="192"/>
      <c r="U57" s="192"/>
      <c r="V57" s="192"/>
      <c r="W57" s="192"/>
      <c r="X57" s="192"/>
      <c r="Y57" s="192"/>
      <c r="Z57" s="192"/>
      <c r="AA57" s="192"/>
      <c r="AB57" s="192"/>
      <c r="AC57" s="192"/>
      <c r="AD57" s="192"/>
    </row>
    <row r="58" spans="1:30" x14ac:dyDescent="0.25">
      <c r="A58" s="462"/>
      <c r="B58" s="464"/>
      <c r="C58" s="199" t="s">
        <v>72</v>
      </c>
      <c r="D58" s="200">
        <f t="shared" si="4"/>
        <v>0</v>
      </c>
      <c r="E58" s="200">
        <f t="shared" si="4"/>
        <v>5.0000000000000018E-3</v>
      </c>
      <c r="F58" s="200">
        <f t="shared" si="4"/>
        <v>4.7500000000000016E-3</v>
      </c>
      <c r="G58" s="200">
        <f t="shared" si="4"/>
        <v>4.7500000000000016E-3</v>
      </c>
      <c r="H58" s="200">
        <f t="shared" si="4"/>
        <v>4.7500000000000016E-3</v>
      </c>
      <c r="I58" s="200">
        <f t="shared" si="4"/>
        <v>4.7500000000000016E-3</v>
      </c>
      <c r="J58" s="200">
        <f t="shared" si="4"/>
        <v>4.7500000000000016E-3</v>
      </c>
      <c r="K58" s="200">
        <f t="shared" si="4"/>
        <v>4.7500000000000016E-3</v>
      </c>
      <c r="L58" s="200">
        <f t="shared" si="4"/>
        <v>4.7500000000000016E-3</v>
      </c>
      <c r="M58" s="200">
        <f t="shared" si="4"/>
        <v>4.7500000000000016E-3</v>
      </c>
      <c r="N58" s="200">
        <f t="shared" si="4"/>
        <v>4.7500000000000016E-3</v>
      </c>
      <c r="O58" s="200" t="e">
        <f t="shared" si="4"/>
        <v>#VALUE!</v>
      </c>
      <c r="P58" s="201" t="e">
        <f t="shared" si="5"/>
        <v>#VALUE!</v>
      </c>
      <c r="Q58" s="202" t="e">
        <f>+P58</f>
        <v>#VALUE!</v>
      </c>
      <c r="R58" s="198" t="e">
        <f t="shared" si="6"/>
        <v>#VALUE!</v>
      </c>
      <c r="S58" s="192"/>
      <c r="T58" s="192"/>
      <c r="U58" s="192"/>
      <c r="V58" s="192"/>
      <c r="W58" s="192"/>
      <c r="X58" s="192"/>
      <c r="Y58" s="192"/>
      <c r="Z58" s="192"/>
      <c r="AA58" s="192"/>
      <c r="AB58" s="192"/>
      <c r="AC58" s="192"/>
      <c r="AD58" s="192"/>
    </row>
    <row r="59" spans="1:30" x14ac:dyDescent="0.25">
      <c r="A59" s="461" t="str">
        <f>A40</f>
        <v>7. Articular las acciones intersectoriales para la puesta en operación de cinco (5) manzanas del cuidado</v>
      </c>
      <c r="B59" s="466">
        <f>B40</f>
        <v>0.05</v>
      </c>
      <c r="C59" s="194" t="s">
        <v>67</v>
      </c>
      <c r="D59" s="195">
        <f t="shared" ref="D59:O60" si="7">D40*$B$40/$P$40</f>
        <v>0</v>
      </c>
      <c r="E59" s="195">
        <f t="shared" si="7"/>
        <v>1.0000000000000002E-2</v>
      </c>
      <c r="F59" s="195">
        <f t="shared" si="7"/>
        <v>1.0000000000000002E-2</v>
      </c>
      <c r="G59" s="195">
        <f t="shared" si="7"/>
        <v>1.0000000000000002E-2</v>
      </c>
      <c r="H59" s="195">
        <f t="shared" si="7"/>
        <v>0</v>
      </c>
      <c r="I59" s="195">
        <f t="shared" si="7"/>
        <v>0</v>
      </c>
      <c r="J59" s="195">
        <f t="shared" si="7"/>
        <v>1.0000000000000002E-2</v>
      </c>
      <c r="K59" s="195">
        <f t="shared" si="7"/>
        <v>0</v>
      </c>
      <c r="L59" s="195">
        <f t="shared" si="7"/>
        <v>1.0000000000000002E-2</v>
      </c>
      <c r="M59" s="195">
        <f t="shared" si="7"/>
        <v>0</v>
      </c>
      <c r="N59" s="195">
        <f t="shared" si="7"/>
        <v>0</v>
      </c>
      <c r="O59" s="195">
        <f t="shared" si="7"/>
        <v>0</v>
      </c>
      <c r="P59" s="196">
        <f t="shared" si="5"/>
        <v>5.000000000000001E-2</v>
      </c>
      <c r="Q59" s="197">
        <v>2.5000000000000001E-2</v>
      </c>
      <c r="R59" s="198">
        <f t="shared" si="6"/>
        <v>2.5000000000000008E-2</v>
      </c>
      <c r="S59" s="192"/>
      <c r="T59" s="192"/>
      <c r="U59" s="192"/>
      <c r="V59" s="192"/>
      <c r="W59" s="192"/>
      <c r="X59" s="192"/>
      <c r="Y59" s="192"/>
      <c r="Z59" s="192"/>
      <c r="AA59" s="192"/>
      <c r="AB59" s="192"/>
      <c r="AC59" s="192"/>
      <c r="AD59" s="192"/>
    </row>
    <row r="60" spans="1:30" x14ac:dyDescent="0.25">
      <c r="A60" s="465"/>
      <c r="B60" s="467"/>
      <c r="C60" s="199" t="s">
        <v>72</v>
      </c>
      <c r="D60" s="200">
        <f t="shared" si="7"/>
        <v>0</v>
      </c>
      <c r="E60" s="200">
        <f t="shared" si="7"/>
        <v>1.0000000000000002E-2</v>
      </c>
      <c r="F60" s="200">
        <f t="shared" si="7"/>
        <v>1.0000000000000002E-2</v>
      </c>
      <c r="G60" s="200">
        <f t="shared" si="7"/>
        <v>5.000000000000001E-3</v>
      </c>
      <c r="H60" s="200">
        <f t="shared" si="7"/>
        <v>5.000000000000001E-3</v>
      </c>
      <c r="I60" s="200">
        <f t="shared" si="7"/>
        <v>0</v>
      </c>
      <c r="J60" s="200">
        <f t="shared" si="7"/>
        <v>1.0000000000000002E-2</v>
      </c>
      <c r="K60" s="200">
        <f t="shared" si="7"/>
        <v>0</v>
      </c>
      <c r="L60" s="200">
        <f t="shared" si="7"/>
        <v>1.0000000000000002E-2</v>
      </c>
      <c r="M60" s="200">
        <f t="shared" si="7"/>
        <v>0</v>
      </c>
      <c r="N60" s="200">
        <f t="shared" si="7"/>
        <v>0</v>
      </c>
      <c r="O60" s="200" t="e">
        <f t="shared" si="7"/>
        <v>#VALUE!</v>
      </c>
      <c r="P60" s="201" t="e">
        <f t="shared" si="5"/>
        <v>#VALUE!</v>
      </c>
      <c r="Q60" s="202" t="e">
        <f>+P60</f>
        <v>#VALUE!</v>
      </c>
      <c r="R60" s="198" t="e">
        <f t="shared" si="6"/>
        <v>#VALUE!</v>
      </c>
      <c r="S60" s="192"/>
      <c r="T60" s="192"/>
      <c r="U60" s="192"/>
      <c r="V60" s="192"/>
      <c r="W60" s="192"/>
      <c r="X60" s="192"/>
      <c r="Y60" s="192"/>
      <c r="Z60" s="192"/>
      <c r="AA60" s="192"/>
      <c r="AB60" s="192"/>
      <c r="AC60" s="192"/>
      <c r="AD60" s="192"/>
    </row>
    <row r="61" spans="1:30" x14ac:dyDescent="0.25">
      <c r="A61" s="461" t="str">
        <f>A42</f>
        <v>8. Convocar y gestionar las sesiones de las Mesas Locales de las Manzanas del Cuidado que se encuentran en funcionamiento</v>
      </c>
      <c r="B61" s="466">
        <f>B42</f>
        <v>0.05</v>
      </c>
      <c r="C61" s="194" t="s">
        <v>67</v>
      </c>
      <c r="D61" s="195">
        <f t="shared" ref="D61:O62" si="8">D42*$B$42/$P$42</f>
        <v>0</v>
      </c>
      <c r="E61" s="195">
        <f t="shared" si="8"/>
        <v>4.5000000000000005E-3</v>
      </c>
      <c r="F61" s="195">
        <f t="shared" si="8"/>
        <v>4.5450000000000004E-3</v>
      </c>
      <c r="G61" s="195">
        <f t="shared" si="8"/>
        <v>4.5450000000000004E-3</v>
      </c>
      <c r="H61" s="195">
        <f t="shared" si="8"/>
        <v>4.5450000000000004E-3</v>
      </c>
      <c r="I61" s="195">
        <f t="shared" si="8"/>
        <v>4.5450000000000004E-3</v>
      </c>
      <c r="J61" s="195">
        <f t="shared" si="8"/>
        <v>4.5450000000000004E-3</v>
      </c>
      <c r="K61" s="195">
        <f t="shared" si="8"/>
        <v>4.5450000000000004E-3</v>
      </c>
      <c r="L61" s="195">
        <f t="shared" si="8"/>
        <v>4.5450000000000004E-3</v>
      </c>
      <c r="M61" s="195">
        <f t="shared" si="8"/>
        <v>4.5450000000000004E-3</v>
      </c>
      <c r="N61" s="195">
        <f t="shared" si="8"/>
        <v>4.5450000000000004E-3</v>
      </c>
      <c r="O61" s="195">
        <f t="shared" si="8"/>
        <v>4.595000000000001E-3</v>
      </c>
      <c r="P61" s="196">
        <f t="shared" si="5"/>
        <v>5.000000000000001E-2</v>
      </c>
      <c r="Q61" s="197">
        <v>2.5000000000000001E-2</v>
      </c>
      <c r="R61" s="198">
        <f t="shared" si="6"/>
        <v>2.5000000000000008E-2</v>
      </c>
      <c r="S61" s="192"/>
      <c r="T61" s="192"/>
      <c r="U61" s="192"/>
      <c r="V61" s="192"/>
      <c r="W61" s="192"/>
      <c r="X61" s="192"/>
      <c r="Y61" s="192"/>
      <c r="Z61" s="192"/>
      <c r="AA61" s="192"/>
      <c r="AB61" s="192"/>
      <c r="AC61" s="192"/>
      <c r="AD61" s="192"/>
    </row>
    <row r="62" spans="1:30" x14ac:dyDescent="0.25">
      <c r="A62" s="465"/>
      <c r="B62" s="467"/>
      <c r="C62" s="199" t="s">
        <v>72</v>
      </c>
      <c r="D62" s="200">
        <f t="shared" si="8"/>
        <v>0</v>
      </c>
      <c r="E62" s="200">
        <f t="shared" si="8"/>
        <v>4.5000000000000005E-3</v>
      </c>
      <c r="F62" s="200">
        <f t="shared" si="8"/>
        <v>4.5450000000000004E-3</v>
      </c>
      <c r="G62" s="200">
        <f t="shared" si="8"/>
        <v>4.5450000000000004E-3</v>
      </c>
      <c r="H62" s="200">
        <f t="shared" si="8"/>
        <v>4.5450000000000004E-3</v>
      </c>
      <c r="I62" s="200">
        <f t="shared" si="8"/>
        <v>4.5450000000000004E-3</v>
      </c>
      <c r="J62" s="200">
        <f t="shared" si="8"/>
        <v>4.5450000000000004E-3</v>
      </c>
      <c r="K62" s="200">
        <f t="shared" si="8"/>
        <v>4.5450000000000004E-3</v>
      </c>
      <c r="L62" s="200">
        <f t="shared" si="8"/>
        <v>4.5450000000000004E-3</v>
      </c>
      <c r="M62" s="200">
        <f t="shared" si="8"/>
        <v>4.5450000000000004E-3</v>
      </c>
      <c r="N62" s="200">
        <f t="shared" si="8"/>
        <v>4.5450000000000004E-3</v>
      </c>
      <c r="O62" s="200" t="e">
        <f t="shared" si="8"/>
        <v>#VALUE!</v>
      </c>
      <c r="P62" s="201" t="e">
        <f t="shared" si="5"/>
        <v>#VALUE!</v>
      </c>
      <c r="Q62" s="202" t="e">
        <f>+P62</f>
        <v>#VALUE!</v>
      </c>
      <c r="R62" s="198" t="e">
        <f t="shared" si="6"/>
        <v>#VALUE!</v>
      </c>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D58+D60+D62</f>
        <v>0</v>
      </c>
      <c r="E65" s="213">
        <f t="shared" ref="E65:O65" si="9">E58+E60+E62</f>
        <v>1.9500000000000003E-2</v>
      </c>
      <c r="F65" s="213">
        <f t="shared" si="9"/>
        <v>1.9295000000000003E-2</v>
      </c>
      <c r="G65" s="213">
        <f t="shared" si="9"/>
        <v>1.4295000000000002E-2</v>
      </c>
      <c r="H65" s="213">
        <f t="shared" si="9"/>
        <v>1.4295000000000002E-2</v>
      </c>
      <c r="I65" s="213">
        <f t="shared" si="9"/>
        <v>9.2950000000000012E-3</v>
      </c>
      <c r="J65" s="213">
        <f t="shared" si="9"/>
        <v>1.9295000000000003E-2</v>
      </c>
      <c r="K65" s="213">
        <f t="shared" si="9"/>
        <v>9.2950000000000012E-3</v>
      </c>
      <c r="L65" s="213">
        <f t="shared" si="9"/>
        <v>1.9295000000000003E-2</v>
      </c>
      <c r="M65" s="213">
        <f t="shared" si="9"/>
        <v>9.2950000000000012E-3</v>
      </c>
      <c r="N65" s="213">
        <f t="shared" si="9"/>
        <v>9.2950000000000012E-3</v>
      </c>
      <c r="O65" s="213" t="e">
        <f t="shared" si="9"/>
        <v>#VALUE!</v>
      </c>
      <c r="P65" s="213" t="e">
        <f>P58+P60+P62</f>
        <v>#VALUE!</v>
      </c>
      <c r="Q65" s="191"/>
      <c r="R65" s="198" t="e">
        <f t="shared" si="6"/>
        <v>#VALUE!</v>
      </c>
      <c r="S65" s="192"/>
      <c r="T65" s="192"/>
      <c r="U65" s="192"/>
      <c r="V65" s="192"/>
      <c r="W65" s="192"/>
      <c r="X65" s="192"/>
      <c r="Y65" s="192"/>
      <c r="Z65" s="192"/>
      <c r="AA65" s="192"/>
      <c r="AB65" s="192"/>
      <c r="AC65" s="192"/>
      <c r="AD65" s="192"/>
    </row>
    <row r="66" spans="1:30" x14ac:dyDescent="0.25">
      <c r="A66" s="191"/>
      <c r="B66" s="214"/>
      <c r="C66" s="215" t="s">
        <v>72</v>
      </c>
      <c r="D66" s="216">
        <f>D65*$W$17/$B$34</f>
        <v>0</v>
      </c>
      <c r="E66" s="216">
        <f t="shared" ref="E66:O66" si="10">E65*$W$17/$B$34</f>
        <v>3.2500000000000008E-2</v>
      </c>
      <c r="F66" s="216">
        <f t="shared" si="10"/>
        <v>3.2158333333333337E-2</v>
      </c>
      <c r="G66" s="216">
        <f t="shared" si="10"/>
        <v>2.3825000000000006E-2</v>
      </c>
      <c r="H66" s="216">
        <f t="shared" si="10"/>
        <v>2.3825000000000006E-2</v>
      </c>
      <c r="I66" s="216">
        <f t="shared" si="10"/>
        <v>1.5491666666666669E-2</v>
      </c>
      <c r="J66" s="216">
        <f t="shared" si="10"/>
        <v>3.2158333333333337E-2</v>
      </c>
      <c r="K66" s="216">
        <f t="shared" si="10"/>
        <v>1.5491666666666669E-2</v>
      </c>
      <c r="L66" s="216">
        <f t="shared" si="10"/>
        <v>3.2158333333333337E-2</v>
      </c>
      <c r="M66" s="216">
        <f t="shared" si="10"/>
        <v>1.5491666666666669E-2</v>
      </c>
      <c r="N66" s="216">
        <f t="shared" si="10"/>
        <v>1.5491666666666669E-2</v>
      </c>
      <c r="O66" s="216" t="e">
        <f t="shared" si="10"/>
        <v>#VALUE!</v>
      </c>
      <c r="P66" s="217" t="e">
        <f>SUM(D66:O66)</f>
        <v>#VALUE!</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 t="shared" ref="D68:P68" si="11">+D57+D59+D61</f>
        <v>0</v>
      </c>
      <c r="E68" s="213">
        <f t="shared" si="11"/>
        <v>1.9500000000000003E-2</v>
      </c>
      <c r="F68" s="213">
        <f t="shared" si="11"/>
        <v>1.9295000000000003E-2</v>
      </c>
      <c r="G68" s="213">
        <f t="shared" si="11"/>
        <v>1.9295000000000003E-2</v>
      </c>
      <c r="H68" s="213">
        <f t="shared" si="11"/>
        <v>9.2950000000000012E-3</v>
      </c>
      <c r="I68" s="213">
        <f t="shared" si="11"/>
        <v>9.2950000000000012E-3</v>
      </c>
      <c r="J68" s="213">
        <f t="shared" si="11"/>
        <v>1.9295000000000003E-2</v>
      </c>
      <c r="K68" s="213">
        <f t="shared" si="11"/>
        <v>9.2950000000000012E-3</v>
      </c>
      <c r="L68" s="213">
        <f t="shared" si="11"/>
        <v>1.9295000000000003E-2</v>
      </c>
      <c r="M68" s="213">
        <f t="shared" si="11"/>
        <v>9.2950000000000012E-3</v>
      </c>
      <c r="N68" s="213">
        <f t="shared" si="11"/>
        <v>9.2950000000000012E-3</v>
      </c>
      <c r="O68" s="213">
        <f t="shared" si="11"/>
        <v>6.8450000000000013E-3</v>
      </c>
      <c r="P68" s="213">
        <f t="shared" si="11"/>
        <v>0.15000000000000005</v>
      </c>
      <c r="Q68" s="197"/>
      <c r="R68" s="197"/>
      <c r="S68" s="192"/>
      <c r="T68" s="192"/>
      <c r="U68" s="192"/>
      <c r="V68" s="192"/>
      <c r="W68" s="192"/>
      <c r="X68" s="192"/>
      <c r="Y68" s="192"/>
      <c r="Z68" s="192"/>
      <c r="AA68" s="192"/>
      <c r="AB68" s="192"/>
      <c r="AC68" s="192"/>
      <c r="AD68" s="192"/>
    </row>
    <row r="69" spans="1:30" x14ac:dyDescent="0.25">
      <c r="A69" s="197"/>
      <c r="B69" s="108"/>
      <c r="C69" s="215" t="s">
        <v>67</v>
      </c>
      <c r="D69" s="216">
        <f t="shared" ref="D69:O69" si="12">D68*$W$17/$B$34</f>
        <v>0</v>
      </c>
      <c r="E69" s="216">
        <f t="shared" si="12"/>
        <v>3.2500000000000008E-2</v>
      </c>
      <c r="F69" s="216">
        <f t="shared" si="12"/>
        <v>3.2158333333333337E-2</v>
      </c>
      <c r="G69" s="216">
        <f t="shared" si="12"/>
        <v>3.2158333333333337E-2</v>
      </c>
      <c r="H69" s="216">
        <f t="shared" si="12"/>
        <v>1.5491666666666669E-2</v>
      </c>
      <c r="I69" s="216">
        <f t="shared" si="12"/>
        <v>1.5491666666666669E-2</v>
      </c>
      <c r="J69" s="216">
        <f t="shared" si="12"/>
        <v>3.2158333333333337E-2</v>
      </c>
      <c r="K69" s="216">
        <f t="shared" si="12"/>
        <v>1.5491666666666669E-2</v>
      </c>
      <c r="L69" s="216">
        <f t="shared" si="12"/>
        <v>3.2158333333333337E-2</v>
      </c>
      <c r="M69" s="216">
        <f t="shared" si="12"/>
        <v>1.5491666666666669E-2</v>
      </c>
      <c r="N69" s="216">
        <f t="shared" si="12"/>
        <v>1.5491666666666669E-2</v>
      </c>
      <c r="O69" s="216">
        <f t="shared" si="12"/>
        <v>1.1408333333333336E-2</v>
      </c>
      <c r="P69" s="217">
        <f>SUM(D69:O69)</f>
        <v>0.25000000000000011</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row r="73" spans="1:30" x14ac:dyDescent="0.25">
      <c r="A73" s="192"/>
      <c r="Q73" s="192"/>
      <c r="R73" s="192"/>
      <c r="S73" s="192"/>
      <c r="T73" s="192"/>
      <c r="U73" s="192"/>
      <c r="V73" s="192"/>
      <c r="W73" s="192"/>
      <c r="X73" s="192"/>
      <c r="Y73" s="192"/>
      <c r="Z73" s="192"/>
      <c r="AA73" s="192"/>
      <c r="AB73" s="192"/>
      <c r="AC73" s="192"/>
      <c r="AD73" s="192"/>
    </row>
    <row r="74" spans="1:30" x14ac:dyDescent="0.25">
      <c r="A74" s="192"/>
      <c r="Q74" s="192"/>
      <c r="R74" s="192"/>
      <c r="S74" s="192"/>
      <c r="T74" s="192"/>
      <c r="U74" s="192"/>
      <c r="V74" s="192"/>
      <c r="W74" s="192"/>
      <c r="X74" s="192"/>
      <c r="Y74" s="192"/>
      <c r="Z74" s="192"/>
      <c r="AA74" s="192"/>
      <c r="AB74" s="192"/>
      <c r="AC74" s="192"/>
      <c r="AD74" s="192"/>
    </row>
    <row r="75" spans="1:30" x14ac:dyDescent="0.25">
      <c r="A75" s="192"/>
      <c r="Q75" s="192"/>
      <c r="R75" s="192"/>
      <c r="S75" s="192"/>
      <c r="T75" s="192"/>
      <c r="U75" s="192"/>
      <c r="V75" s="192"/>
      <c r="W75" s="192"/>
      <c r="X75" s="192"/>
      <c r="Y75" s="192"/>
      <c r="Z75" s="192"/>
      <c r="AA75" s="192"/>
      <c r="AB75" s="192"/>
      <c r="AC75" s="192"/>
      <c r="AD75" s="192"/>
    </row>
    <row r="76" spans="1:30" x14ac:dyDescent="0.25">
      <c r="A76" s="192"/>
      <c r="Q76" s="192"/>
      <c r="R76" s="192"/>
      <c r="S76" s="192"/>
      <c r="T76" s="192"/>
      <c r="U76" s="192"/>
      <c r="V76" s="192"/>
      <c r="W76" s="192"/>
      <c r="X76" s="192"/>
      <c r="Y76" s="192"/>
      <c r="Z76" s="192"/>
      <c r="AA76" s="192"/>
      <c r="AB76" s="192"/>
      <c r="AC76" s="192"/>
      <c r="AD76" s="192"/>
    </row>
    <row r="77" spans="1:30" x14ac:dyDescent="0.25">
      <c r="A77" s="192"/>
      <c r="Q77" s="192"/>
      <c r="R77" s="192"/>
      <c r="S77" s="192"/>
      <c r="T77" s="192"/>
      <c r="U77" s="192"/>
      <c r="V77" s="192"/>
      <c r="W77" s="192"/>
      <c r="X77" s="192"/>
      <c r="Y77" s="192"/>
      <c r="Z77" s="192"/>
      <c r="AA77" s="192"/>
      <c r="AB77" s="192"/>
      <c r="AC77" s="192"/>
      <c r="AD77" s="192"/>
    </row>
    <row r="78" spans="1:30" x14ac:dyDescent="0.25">
      <c r="A78" s="192"/>
      <c r="Q78" s="192"/>
      <c r="R78" s="192"/>
      <c r="S78" s="192"/>
      <c r="T78" s="192"/>
      <c r="U78" s="192"/>
      <c r="V78" s="192"/>
      <c r="W78" s="192"/>
      <c r="X78" s="192"/>
      <c r="Y78" s="192"/>
      <c r="Z78" s="192"/>
      <c r="AA78" s="192"/>
      <c r="AB78" s="192"/>
      <c r="AC78" s="192"/>
      <c r="AD78" s="192"/>
    </row>
    <row r="79" spans="1:30" x14ac:dyDescent="0.25">
      <c r="A79" s="192"/>
      <c r="Q79" s="192"/>
      <c r="R79" s="192"/>
      <c r="S79" s="192"/>
      <c r="T79" s="192"/>
      <c r="U79" s="192"/>
      <c r="V79" s="192"/>
      <c r="W79" s="192"/>
      <c r="X79" s="192"/>
      <c r="Y79" s="192"/>
      <c r="Z79" s="192"/>
      <c r="AA79" s="192"/>
      <c r="AB79" s="192"/>
      <c r="AC79" s="192"/>
      <c r="AD79" s="192"/>
    </row>
    <row r="80" spans="1:30" x14ac:dyDescent="0.25">
      <c r="A80" s="192"/>
      <c r="Q80" s="192"/>
      <c r="R80" s="192"/>
      <c r="S80" s="192"/>
      <c r="T80" s="192"/>
      <c r="U80" s="192"/>
      <c r="V80" s="192"/>
      <c r="W80" s="192"/>
      <c r="X80" s="192"/>
      <c r="Y80" s="192"/>
      <c r="Z80" s="192"/>
      <c r="AA80" s="192"/>
      <c r="AB80" s="192"/>
      <c r="AC80" s="192"/>
      <c r="AD80" s="192"/>
    </row>
    <row r="81" spans="1:30" x14ac:dyDescent="0.25">
      <c r="A81" s="192"/>
      <c r="Q81" s="192"/>
      <c r="R81" s="192"/>
      <c r="S81" s="192"/>
      <c r="T81" s="192"/>
      <c r="U81" s="192"/>
      <c r="V81" s="192"/>
      <c r="W81" s="192"/>
      <c r="X81" s="192"/>
      <c r="Y81" s="192"/>
      <c r="Z81" s="192"/>
      <c r="AA81" s="192"/>
      <c r="AB81" s="192"/>
      <c r="AC81" s="192"/>
      <c r="AD81" s="192"/>
    </row>
    <row r="82" spans="1:30" x14ac:dyDescent="0.25">
      <c r="A82" s="192"/>
      <c r="Q82" s="192"/>
      <c r="R82" s="192"/>
      <c r="S82" s="192"/>
      <c r="T82" s="192"/>
      <c r="U82" s="192"/>
      <c r="V82" s="192"/>
      <c r="W82" s="192"/>
      <c r="X82" s="192"/>
      <c r="Y82" s="192"/>
      <c r="Z82" s="192"/>
      <c r="AA82" s="192"/>
      <c r="AB82" s="192"/>
      <c r="AC82" s="192"/>
      <c r="AD82" s="192"/>
    </row>
    <row r="83" spans="1:30" x14ac:dyDescent="0.25">
      <c r="A83" s="192"/>
      <c r="Q83" s="192"/>
      <c r="R83" s="192"/>
      <c r="S83" s="192"/>
      <c r="T83" s="192"/>
      <c r="U83" s="192"/>
      <c r="V83" s="192"/>
      <c r="W83" s="192"/>
      <c r="X83" s="192"/>
      <c r="Y83" s="192"/>
      <c r="Z83" s="192"/>
      <c r="AA83" s="192"/>
      <c r="AB83" s="192"/>
      <c r="AC83" s="192"/>
      <c r="AD83" s="192"/>
    </row>
    <row r="84" spans="1:30" x14ac:dyDescent="0.25">
      <c r="A84" s="192"/>
      <c r="Q84" s="192"/>
      <c r="R84" s="192"/>
      <c r="S84" s="192"/>
      <c r="T84" s="192"/>
      <c r="U84" s="192"/>
      <c r="V84" s="192"/>
      <c r="W84" s="192"/>
      <c r="X84" s="192"/>
      <c r="Y84" s="192"/>
      <c r="Z84" s="192"/>
      <c r="AA84" s="192"/>
      <c r="AB84" s="192"/>
      <c r="AC84" s="192"/>
      <c r="AD84" s="192"/>
    </row>
    <row r="85" spans="1:30" x14ac:dyDescent="0.25">
      <c r="A85" s="192"/>
      <c r="Q85" s="192"/>
      <c r="R85" s="192"/>
      <c r="S85" s="192"/>
      <c r="T85" s="192"/>
      <c r="U85" s="192"/>
      <c r="V85" s="192"/>
      <c r="W85" s="192"/>
      <c r="X85" s="192"/>
      <c r="Y85" s="192"/>
      <c r="Z85" s="192"/>
      <c r="AA85" s="192"/>
      <c r="AB85" s="192"/>
      <c r="AC85" s="192"/>
      <c r="AD85" s="192"/>
    </row>
    <row r="86" spans="1:30" x14ac:dyDescent="0.25">
      <c r="A86" s="192"/>
      <c r="Q86" s="192"/>
      <c r="R86" s="192"/>
      <c r="S86" s="192"/>
      <c r="T86" s="192"/>
      <c r="U86" s="192"/>
      <c r="V86" s="192"/>
      <c r="W86" s="192"/>
      <c r="X86" s="192"/>
      <c r="Y86" s="192"/>
      <c r="Z86" s="192"/>
      <c r="AA86" s="192"/>
      <c r="AB86" s="192"/>
      <c r="AC86" s="192"/>
      <c r="AD86" s="192"/>
    </row>
    <row r="87" spans="1:30" x14ac:dyDescent="0.25">
      <c r="A87" s="192"/>
      <c r="Q87" s="192"/>
      <c r="R87" s="192"/>
      <c r="S87" s="192"/>
      <c r="T87" s="192"/>
      <c r="U87" s="192"/>
      <c r="V87" s="192"/>
      <c r="W87" s="192"/>
      <c r="X87" s="192"/>
      <c r="Y87" s="192"/>
      <c r="Z87" s="192"/>
      <c r="AA87" s="192"/>
      <c r="AB87" s="192"/>
      <c r="AC87" s="192"/>
      <c r="AD87" s="192"/>
    </row>
    <row r="88" spans="1:30" x14ac:dyDescent="0.25">
      <c r="A88" s="192"/>
      <c r="Q88" s="192"/>
      <c r="R88" s="192"/>
      <c r="S88" s="192"/>
      <c r="T88" s="192"/>
      <c r="U88" s="192"/>
      <c r="V88" s="192"/>
      <c r="W88" s="192"/>
      <c r="X88" s="192"/>
      <c r="Y88" s="192"/>
      <c r="Z88" s="192"/>
      <c r="AA88" s="192"/>
      <c r="AB88" s="192"/>
      <c r="AC88" s="192"/>
      <c r="AD88" s="192"/>
    </row>
    <row r="89" spans="1:30" x14ac:dyDescent="0.25">
      <c r="A89" s="192"/>
      <c r="Q89" s="192"/>
      <c r="R89" s="192"/>
      <c r="S89" s="192"/>
      <c r="T89" s="192"/>
      <c r="U89" s="192"/>
      <c r="V89" s="192"/>
      <c r="W89" s="192"/>
      <c r="X89" s="192"/>
      <c r="Y89" s="192"/>
      <c r="Z89" s="192"/>
      <c r="AA89" s="192"/>
      <c r="AB89" s="192"/>
      <c r="AC89" s="192"/>
      <c r="AD89" s="192"/>
    </row>
    <row r="90" spans="1:30" x14ac:dyDescent="0.25">
      <c r="A90" s="192"/>
      <c r="Q90" s="192"/>
      <c r="R90" s="192"/>
      <c r="S90" s="192"/>
      <c r="T90" s="192"/>
      <c r="U90" s="192"/>
      <c r="V90" s="192"/>
      <c r="W90" s="192"/>
      <c r="X90" s="192"/>
      <c r="Y90" s="192"/>
      <c r="Z90" s="192"/>
      <c r="AA90" s="192"/>
      <c r="AB90" s="192"/>
      <c r="AC90" s="192"/>
      <c r="AD90" s="192"/>
    </row>
    <row r="91" spans="1:30" x14ac:dyDescent="0.25">
      <c r="A91" s="192"/>
      <c r="Q91" s="192"/>
      <c r="R91" s="192"/>
      <c r="S91" s="192"/>
      <c r="T91" s="192"/>
      <c r="U91" s="192"/>
      <c r="V91" s="192"/>
      <c r="W91" s="192"/>
      <c r="X91" s="192"/>
      <c r="Y91" s="192"/>
      <c r="Z91" s="192"/>
      <c r="AA91" s="192"/>
      <c r="AB91" s="192"/>
      <c r="AC91" s="192"/>
      <c r="AD91" s="192"/>
    </row>
    <row r="92" spans="1:30" x14ac:dyDescent="0.25">
      <c r="A92" s="192"/>
      <c r="Q92" s="192"/>
      <c r="R92" s="192"/>
      <c r="S92" s="192"/>
      <c r="T92" s="192"/>
      <c r="U92" s="192"/>
      <c r="V92" s="192"/>
      <c r="W92" s="192"/>
      <c r="X92" s="192"/>
      <c r="Y92" s="192"/>
      <c r="Z92" s="192"/>
      <c r="AA92" s="192"/>
      <c r="AB92" s="192"/>
      <c r="AC92" s="192"/>
      <c r="AD92" s="192"/>
    </row>
    <row r="93" spans="1:30" x14ac:dyDescent="0.25">
      <c r="A93" s="192"/>
      <c r="Q93" s="192"/>
      <c r="R93" s="192"/>
      <c r="S93" s="192"/>
      <c r="T93" s="192"/>
      <c r="U93" s="192"/>
      <c r="V93" s="192"/>
      <c r="W93" s="192"/>
      <c r="X93" s="192"/>
      <c r="Y93" s="192"/>
      <c r="Z93" s="192"/>
      <c r="AA93" s="192"/>
      <c r="AB93" s="192"/>
      <c r="AC93" s="192"/>
      <c r="AD93" s="192"/>
    </row>
    <row r="94" spans="1:30" x14ac:dyDescent="0.25">
      <c r="A94" s="192"/>
      <c r="Q94" s="192"/>
      <c r="R94" s="192"/>
      <c r="S94" s="192"/>
      <c r="T94" s="192"/>
      <c r="U94" s="192"/>
      <c r="V94" s="192"/>
      <c r="W94" s="192"/>
      <c r="X94" s="192"/>
      <c r="Y94" s="192"/>
      <c r="Z94" s="192"/>
      <c r="AA94" s="192"/>
      <c r="AB94" s="192"/>
      <c r="AC94" s="192"/>
      <c r="AD94" s="192"/>
    </row>
    <row r="95" spans="1:30" x14ac:dyDescent="0.25">
      <c r="A95" s="192"/>
      <c r="Q95" s="192"/>
      <c r="R95" s="192"/>
      <c r="S95" s="192"/>
      <c r="T95" s="192"/>
      <c r="U95" s="192"/>
      <c r="V95" s="192"/>
      <c r="W95" s="192"/>
      <c r="X95" s="192"/>
      <c r="Y95" s="192"/>
      <c r="Z95" s="192"/>
      <c r="AA95" s="192"/>
      <c r="AB95" s="192"/>
      <c r="AC95" s="192"/>
      <c r="AD95" s="192"/>
    </row>
    <row r="96" spans="1:30" x14ac:dyDescent="0.25">
      <c r="A96" s="192"/>
      <c r="Q96" s="192"/>
      <c r="R96" s="192"/>
      <c r="S96" s="192"/>
      <c r="T96" s="192"/>
      <c r="U96" s="192"/>
      <c r="V96" s="192"/>
      <c r="W96" s="192"/>
      <c r="X96" s="192"/>
      <c r="Y96" s="192"/>
      <c r="Z96" s="192"/>
      <c r="AA96" s="192"/>
      <c r="AB96" s="192"/>
      <c r="AC96" s="192"/>
      <c r="AD96" s="192"/>
    </row>
    <row r="97" spans="1:30" x14ac:dyDescent="0.25">
      <c r="A97" s="192"/>
      <c r="Q97" s="192"/>
      <c r="R97" s="192"/>
      <c r="S97" s="192"/>
      <c r="T97" s="192"/>
      <c r="U97" s="192"/>
      <c r="V97" s="192"/>
      <c r="W97" s="192"/>
      <c r="X97" s="192"/>
      <c r="Y97" s="192"/>
      <c r="Z97" s="192"/>
      <c r="AA97" s="192"/>
      <c r="AB97" s="192"/>
      <c r="AC97" s="192"/>
      <c r="AD97" s="192"/>
    </row>
    <row r="98" spans="1:30" x14ac:dyDescent="0.25">
      <c r="A98" s="192"/>
      <c r="Q98" s="192"/>
      <c r="R98" s="192"/>
      <c r="S98" s="192"/>
      <c r="T98" s="192"/>
      <c r="U98" s="192"/>
      <c r="V98" s="192"/>
      <c r="W98" s="192"/>
      <c r="X98" s="192"/>
      <c r="Y98" s="192"/>
      <c r="Z98" s="192"/>
      <c r="AA98" s="192"/>
      <c r="AB98" s="192"/>
      <c r="AC98" s="192"/>
      <c r="AD98" s="192"/>
    </row>
  </sheetData>
  <mergeCells count="89">
    <mergeCell ref="AF22:AM25"/>
    <mergeCell ref="A40:A41"/>
    <mergeCell ref="B40:B41"/>
    <mergeCell ref="Q42:AD43"/>
    <mergeCell ref="A42:A43"/>
    <mergeCell ref="B42:B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 ref="Q40:AD41"/>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C88FFC15-953A-43BE-8C30-2CFD57F3A2BC}"/>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W34 Q34 AA34 Q42:AD43 Q38:AD39" xr:uid="{00000000-0002-0000-0200-000002000000}">
      <formula1>2000</formula1>
    </dataValidation>
  </dataValidations>
  <pageMargins left="0.25" right="0.25" top="0.75" bottom="0.75" header="0.3" footer="0.3"/>
  <pageSetup scale="22"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775"/>
      <c r="B1" s="730" t="s">
        <v>0</v>
      </c>
      <c r="C1" s="731"/>
      <c r="D1" s="731"/>
      <c r="E1" s="731"/>
      <c r="F1" s="731"/>
      <c r="G1" s="731"/>
      <c r="H1" s="731"/>
      <c r="I1" s="731"/>
      <c r="J1" s="731"/>
      <c r="K1" s="731"/>
      <c r="L1" s="731"/>
      <c r="M1" s="731"/>
      <c r="N1" s="731"/>
      <c r="O1" s="731"/>
      <c r="P1" s="731"/>
      <c r="Q1" s="731"/>
      <c r="R1" s="731"/>
      <c r="S1" s="731"/>
      <c r="T1" s="731"/>
      <c r="U1" s="731"/>
      <c r="V1" s="731"/>
      <c r="W1" s="731"/>
      <c r="X1" s="731"/>
      <c r="Y1" s="732"/>
      <c r="Z1" s="785" t="s">
        <v>125</v>
      </c>
      <c r="AA1" s="786"/>
      <c r="AB1" s="787"/>
    </row>
    <row r="2" spans="1:28" ht="30.75" customHeight="1" x14ac:dyDescent="0.25">
      <c r="A2" s="776"/>
      <c r="B2" s="739" t="s">
        <v>2</v>
      </c>
      <c r="C2" s="740"/>
      <c r="D2" s="740"/>
      <c r="E2" s="740"/>
      <c r="F2" s="740"/>
      <c r="G2" s="740"/>
      <c r="H2" s="740"/>
      <c r="I2" s="740"/>
      <c r="J2" s="740"/>
      <c r="K2" s="740"/>
      <c r="L2" s="740"/>
      <c r="M2" s="740"/>
      <c r="N2" s="740"/>
      <c r="O2" s="740"/>
      <c r="P2" s="740"/>
      <c r="Q2" s="740"/>
      <c r="R2" s="740"/>
      <c r="S2" s="740"/>
      <c r="T2" s="740"/>
      <c r="U2" s="740"/>
      <c r="V2" s="740"/>
      <c r="W2" s="740"/>
      <c r="X2" s="740"/>
      <c r="Y2" s="741"/>
      <c r="Z2" s="778" t="s">
        <v>126</v>
      </c>
      <c r="AA2" s="779"/>
      <c r="AB2" s="780"/>
    </row>
    <row r="3" spans="1:28" ht="24" customHeight="1" x14ac:dyDescent="0.25">
      <c r="A3" s="776"/>
      <c r="B3" s="608" t="s">
        <v>4</v>
      </c>
      <c r="C3" s="609"/>
      <c r="D3" s="609"/>
      <c r="E3" s="609"/>
      <c r="F3" s="609"/>
      <c r="G3" s="609"/>
      <c r="H3" s="609"/>
      <c r="I3" s="609"/>
      <c r="J3" s="609"/>
      <c r="K3" s="609"/>
      <c r="L3" s="609"/>
      <c r="M3" s="609"/>
      <c r="N3" s="609"/>
      <c r="O3" s="609"/>
      <c r="P3" s="609"/>
      <c r="Q3" s="609"/>
      <c r="R3" s="609"/>
      <c r="S3" s="609"/>
      <c r="T3" s="609"/>
      <c r="U3" s="609"/>
      <c r="V3" s="609"/>
      <c r="W3" s="609"/>
      <c r="X3" s="609"/>
      <c r="Y3" s="610"/>
      <c r="Z3" s="778" t="s">
        <v>127</v>
      </c>
      <c r="AA3" s="779"/>
      <c r="AB3" s="780"/>
    </row>
    <row r="4" spans="1:28" ht="15.75" customHeight="1" thickBot="1" x14ac:dyDescent="0.3">
      <c r="A4" s="777"/>
      <c r="B4" s="611"/>
      <c r="C4" s="612"/>
      <c r="D4" s="612"/>
      <c r="E4" s="612"/>
      <c r="F4" s="612"/>
      <c r="G4" s="612"/>
      <c r="H4" s="612"/>
      <c r="I4" s="612"/>
      <c r="J4" s="612"/>
      <c r="K4" s="612"/>
      <c r="L4" s="612"/>
      <c r="M4" s="612"/>
      <c r="N4" s="612"/>
      <c r="O4" s="612"/>
      <c r="P4" s="612"/>
      <c r="Q4" s="612"/>
      <c r="R4" s="612"/>
      <c r="S4" s="612"/>
      <c r="T4" s="612"/>
      <c r="U4" s="612"/>
      <c r="V4" s="612"/>
      <c r="W4" s="612"/>
      <c r="X4" s="612"/>
      <c r="Y4" s="613"/>
      <c r="Z4" s="781" t="s">
        <v>6</v>
      </c>
      <c r="AA4" s="782"/>
      <c r="AB4" s="783"/>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96" t="s">
        <v>15</v>
      </c>
      <c r="B7" s="597"/>
      <c r="C7" s="605"/>
      <c r="D7" s="606"/>
      <c r="E7" s="606"/>
      <c r="F7" s="606"/>
      <c r="G7" s="606"/>
      <c r="H7" s="606"/>
      <c r="I7" s="606"/>
      <c r="J7" s="606"/>
      <c r="K7" s="607"/>
      <c r="L7" s="62"/>
      <c r="M7" s="63"/>
      <c r="N7" s="63"/>
      <c r="O7" s="63"/>
      <c r="P7" s="63"/>
      <c r="Q7" s="64"/>
      <c r="R7" s="716" t="s">
        <v>9</v>
      </c>
      <c r="S7" s="784"/>
      <c r="T7" s="717"/>
      <c r="U7" s="715" t="s">
        <v>128</v>
      </c>
      <c r="V7" s="618"/>
      <c r="W7" s="716" t="s">
        <v>10</v>
      </c>
      <c r="X7" s="717"/>
      <c r="Y7" s="584" t="s">
        <v>11</v>
      </c>
      <c r="Z7" s="585"/>
      <c r="AA7" s="623"/>
      <c r="AB7" s="624"/>
    </row>
    <row r="8" spans="1:28" ht="15" customHeight="1" x14ac:dyDescent="0.25">
      <c r="A8" s="598"/>
      <c r="B8" s="599"/>
      <c r="C8" s="608"/>
      <c r="D8" s="609"/>
      <c r="E8" s="609"/>
      <c r="F8" s="609"/>
      <c r="G8" s="609"/>
      <c r="H8" s="609"/>
      <c r="I8" s="609"/>
      <c r="J8" s="609"/>
      <c r="K8" s="610"/>
      <c r="L8" s="62"/>
      <c r="M8" s="63"/>
      <c r="N8" s="63"/>
      <c r="O8" s="63"/>
      <c r="P8" s="63"/>
      <c r="Q8" s="64"/>
      <c r="R8" s="560"/>
      <c r="S8" s="561"/>
      <c r="T8" s="562"/>
      <c r="U8" s="619"/>
      <c r="V8" s="620"/>
      <c r="W8" s="560"/>
      <c r="X8" s="562"/>
      <c r="Y8" s="625" t="s">
        <v>12</v>
      </c>
      <c r="Z8" s="626"/>
      <c r="AA8" s="627"/>
      <c r="AB8" s="628"/>
    </row>
    <row r="9" spans="1:28" ht="15" customHeight="1" thickBot="1" x14ac:dyDescent="0.3">
      <c r="A9" s="600"/>
      <c r="B9" s="601"/>
      <c r="C9" s="611"/>
      <c r="D9" s="612"/>
      <c r="E9" s="612"/>
      <c r="F9" s="612"/>
      <c r="G9" s="612"/>
      <c r="H9" s="612"/>
      <c r="I9" s="612"/>
      <c r="J9" s="612"/>
      <c r="K9" s="613"/>
      <c r="L9" s="62"/>
      <c r="M9" s="63"/>
      <c r="N9" s="63"/>
      <c r="O9" s="63"/>
      <c r="P9" s="63"/>
      <c r="Q9" s="64"/>
      <c r="R9" s="563"/>
      <c r="S9" s="564"/>
      <c r="T9" s="565"/>
      <c r="U9" s="621"/>
      <c r="V9" s="622"/>
      <c r="W9" s="563"/>
      <c r="X9" s="565"/>
      <c r="Y9" s="629" t="s">
        <v>13</v>
      </c>
      <c r="Z9" s="630"/>
      <c r="AA9" s="582"/>
      <c r="AB9" s="58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47" t="s">
        <v>17</v>
      </c>
      <c r="B11" s="548"/>
      <c r="C11" s="586"/>
      <c r="D11" s="587"/>
      <c r="E11" s="587"/>
      <c r="F11" s="587"/>
      <c r="G11" s="587"/>
      <c r="H11" s="587"/>
      <c r="I11" s="587"/>
      <c r="J11" s="587"/>
      <c r="K11" s="588"/>
      <c r="L11" s="72"/>
      <c r="M11" s="555" t="s">
        <v>19</v>
      </c>
      <c r="N11" s="559"/>
      <c r="O11" s="559"/>
      <c r="P11" s="559"/>
      <c r="Q11" s="556"/>
      <c r="R11" s="552"/>
      <c r="S11" s="553"/>
      <c r="T11" s="553"/>
      <c r="U11" s="553"/>
      <c r="V11" s="554"/>
      <c r="W11" s="555" t="s">
        <v>21</v>
      </c>
      <c r="X11" s="556"/>
      <c r="Y11" s="543"/>
      <c r="Z11" s="544"/>
      <c r="AA11" s="544"/>
      <c r="AB11" s="545"/>
    </row>
    <row r="12" spans="1:28" ht="9" customHeight="1" thickBot="1" x14ac:dyDescent="0.3">
      <c r="A12" s="59"/>
      <c r="B12" s="54"/>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73"/>
      <c r="AB12" s="74"/>
    </row>
    <row r="13" spans="1:28" s="76" customFormat="1" ht="37.5" customHeight="1" thickBot="1" x14ac:dyDescent="0.3">
      <c r="A13" s="547" t="s">
        <v>23</v>
      </c>
      <c r="B13" s="548"/>
      <c r="C13" s="549"/>
      <c r="D13" s="550"/>
      <c r="E13" s="550"/>
      <c r="F13" s="550"/>
      <c r="G13" s="550"/>
      <c r="H13" s="550"/>
      <c r="I13" s="550"/>
      <c r="J13" s="550"/>
      <c r="K13" s="550"/>
      <c r="L13" s="550"/>
      <c r="M13" s="550"/>
      <c r="N13" s="550"/>
      <c r="O13" s="550"/>
      <c r="P13" s="550"/>
      <c r="Q13" s="551"/>
      <c r="R13" s="54"/>
      <c r="S13" s="742" t="s">
        <v>129</v>
      </c>
      <c r="T13" s="742"/>
      <c r="U13" s="75"/>
      <c r="V13" s="755" t="s">
        <v>26</v>
      </c>
      <c r="W13" s="742"/>
      <c r="X13" s="742"/>
      <c r="Y13" s="742"/>
      <c r="Z13" s="54"/>
      <c r="AA13" s="594"/>
      <c r="AB13" s="595"/>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96" t="s">
        <v>7</v>
      </c>
      <c r="B15" s="597"/>
      <c r="C15" s="768" t="s">
        <v>130</v>
      </c>
      <c r="D15" s="80"/>
      <c r="E15" s="80"/>
      <c r="F15" s="80"/>
      <c r="G15" s="80"/>
      <c r="H15" s="80"/>
      <c r="I15" s="80"/>
      <c r="J15" s="70"/>
      <c r="K15" s="81"/>
      <c r="L15" s="70"/>
      <c r="M15" s="60"/>
      <c r="N15" s="60"/>
      <c r="O15" s="60"/>
      <c r="P15" s="60"/>
      <c r="Q15" s="756" t="s">
        <v>27</v>
      </c>
      <c r="R15" s="757"/>
      <c r="S15" s="757"/>
      <c r="T15" s="757"/>
      <c r="U15" s="757"/>
      <c r="V15" s="757"/>
      <c r="W15" s="757"/>
      <c r="X15" s="757"/>
      <c r="Y15" s="757"/>
      <c r="Z15" s="757"/>
      <c r="AA15" s="757"/>
      <c r="AB15" s="758"/>
    </row>
    <row r="16" spans="1:28" ht="35.25" customHeight="1" thickBot="1" x14ac:dyDescent="0.3">
      <c r="A16" s="600"/>
      <c r="B16" s="601"/>
      <c r="C16" s="769"/>
      <c r="D16" s="80"/>
      <c r="E16" s="80"/>
      <c r="F16" s="80"/>
      <c r="G16" s="80"/>
      <c r="H16" s="80"/>
      <c r="I16" s="80"/>
      <c r="J16" s="70"/>
      <c r="K16" s="70"/>
      <c r="L16" s="70"/>
      <c r="M16" s="60"/>
      <c r="N16" s="60"/>
      <c r="O16" s="60"/>
      <c r="P16" s="60"/>
      <c r="Q16" s="751" t="s">
        <v>131</v>
      </c>
      <c r="R16" s="713"/>
      <c r="S16" s="713"/>
      <c r="T16" s="713"/>
      <c r="U16" s="713"/>
      <c r="V16" s="752"/>
      <c r="W16" s="712" t="s">
        <v>132</v>
      </c>
      <c r="X16" s="713"/>
      <c r="Y16" s="713"/>
      <c r="Z16" s="713"/>
      <c r="AA16" s="713"/>
      <c r="AB16" s="714"/>
    </row>
    <row r="17" spans="1:39" ht="27" customHeight="1" x14ac:dyDescent="0.25">
      <c r="A17" s="82"/>
      <c r="B17" s="60"/>
      <c r="C17" s="60"/>
      <c r="D17" s="80"/>
      <c r="E17" s="80"/>
      <c r="F17" s="80"/>
      <c r="G17" s="80"/>
      <c r="H17" s="80"/>
      <c r="I17" s="80"/>
      <c r="J17" s="80"/>
      <c r="K17" s="80"/>
      <c r="L17" s="80"/>
      <c r="M17" s="60"/>
      <c r="N17" s="60"/>
      <c r="O17" s="60"/>
      <c r="P17" s="60"/>
      <c r="Q17" s="721" t="s">
        <v>133</v>
      </c>
      <c r="R17" s="722"/>
      <c r="S17" s="723"/>
      <c r="T17" s="727" t="s">
        <v>134</v>
      </c>
      <c r="U17" s="728"/>
      <c r="V17" s="729"/>
      <c r="W17" s="788" t="s">
        <v>133</v>
      </c>
      <c r="X17" s="723"/>
      <c r="Y17" s="788" t="s">
        <v>135</v>
      </c>
      <c r="Z17" s="723"/>
      <c r="AA17" s="727" t="s">
        <v>136</v>
      </c>
      <c r="AB17" s="789"/>
      <c r="AC17" s="83"/>
      <c r="AD17" s="83"/>
    </row>
    <row r="18" spans="1:39" ht="27" customHeight="1" x14ac:dyDescent="0.25">
      <c r="A18" s="82"/>
      <c r="B18" s="60"/>
      <c r="C18" s="60"/>
      <c r="D18" s="80"/>
      <c r="E18" s="80"/>
      <c r="F18" s="80"/>
      <c r="G18" s="80"/>
      <c r="H18" s="80"/>
      <c r="I18" s="80"/>
      <c r="J18" s="80"/>
      <c r="K18" s="80"/>
      <c r="L18" s="80"/>
      <c r="M18" s="60"/>
      <c r="N18" s="60"/>
      <c r="O18" s="60"/>
      <c r="P18" s="60"/>
      <c r="Q18" s="151"/>
      <c r="R18" s="152"/>
      <c r="S18" s="153"/>
      <c r="T18" s="727"/>
      <c r="U18" s="728"/>
      <c r="V18" s="729"/>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718"/>
      <c r="R19" s="719"/>
      <c r="S19" s="720"/>
      <c r="T19" s="726"/>
      <c r="U19" s="719"/>
      <c r="V19" s="720"/>
      <c r="W19" s="759"/>
      <c r="X19" s="760"/>
      <c r="Y19" s="791"/>
      <c r="Z19" s="792"/>
      <c r="AA19" s="724"/>
      <c r="AB19" s="725"/>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38" t="s">
        <v>52</v>
      </c>
      <c r="B21" s="539"/>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1"/>
    </row>
    <row r="22" spans="1:39" ht="15" customHeight="1" x14ac:dyDescent="0.25">
      <c r="A22" s="531" t="s">
        <v>53</v>
      </c>
      <c r="B22" s="533" t="s">
        <v>54</v>
      </c>
      <c r="C22" s="534"/>
      <c r="D22" s="535" t="s">
        <v>137</v>
      </c>
      <c r="E22" s="536"/>
      <c r="F22" s="536"/>
      <c r="G22" s="536"/>
      <c r="H22" s="536"/>
      <c r="I22" s="536"/>
      <c r="J22" s="536"/>
      <c r="K22" s="536"/>
      <c r="L22" s="536"/>
      <c r="M22" s="536"/>
      <c r="N22" s="536"/>
      <c r="O22" s="530"/>
      <c r="P22" s="524" t="s">
        <v>41</v>
      </c>
      <c r="Q22" s="524" t="s">
        <v>56</v>
      </c>
      <c r="R22" s="524"/>
      <c r="S22" s="524"/>
      <c r="T22" s="524"/>
      <c r="U22" s="524"/>
      <c r="V22" s="524"/>
      <c r="W22" s="524"/>
      <c r="X22" s="524"/>
      <c r="Y22" s="524"/>
      <c r="Z22" s="524"/>
      <c r="AA22" s="524"/>
      <c r="AB22" s="537"/>
    </row>
    <row r="23" spans="1:39" ht="27" customHeight="1" x14ac:dyDescent="0.25">
      <c r="A23" s="532"/>
      <c r="B23" s="527"/>
      <c r="C23" s="482"/>
      <c r="D23" s="88" t="s">
        <v>30</v>
      </c>
      <c r="E23" s="88" t="s">
        <v>31</v>
      </c>
      <c r="F23" s="88" t="s">
        <v>32</v>
      </c>
      <c r="G23" s="88" t="s">
        <v>33</v>
      </c>
      <c r="H23" s="88" t="s">
        <v>34</v>
      </c>
      <c r="I23" s="88" t="s">
        <v>35</v>
      </c>
      <c r="J23" s="88" t="s">
        <v>36</v>
      </c>
      <c r="K23" s="88" t="s">
        <v>37</v>
      </c>
      <c r="L23" s="88" t="s">
        <v>38</v>
      </c>
      <c r="M23" s="88" t="s">
        <v>39</v>
      </c>
      <c r="N23" s="88" t="s">
        <v>8</v>
      </c>
      <c r="O23" s="88" t="s">
        <v>40</v>
      </c>
      <c r="P23" s="530"/>
      <c r="Q23" s="524"/>
      <c r="R23" s="524"/>
      <c r="S23" s="524"/>
      <c r="T23" s="524"/>
      <c r="U23" s="524"/>
      <c r="V23" s="524"/>
      <c r="W23" s="524"/>
      <c r="X23" s="524"/>
      <c r="Y23" s="524"/>
      <c r="Z23" s="524"/>
      <c r="AA23" s="524"/>
      <c r="AB23" s="537"/>
    </row>
    <row r="24" spans="1:39" ht="42" customHeight="1" thickBot="1" x14ac:dyDescent="0.3">
      <c r="A24" s="85"/>
      <c r="B24" s="515"/>
      <c r="C24" s="516"/>
      <c r="D24" s="89"/>
      <c r="E24" s="89"/>
      <c r="F24" s="89"/>
      <c r="G24" s="89"/>
      <c r="H24" s="89"/>
      <c r="I24" s="89"/>
      <c r="J24" s="89"/>
      <c r="K24" s="89"/>
      <c r="L24" s="89"/>
      <c r="M24" s="89"/>
      <c r="N24" s="89"/>
      <c r="O24" s="89"/>
      <c r="P24" s="86">
        <f>SUM(D24:O24)</f>
        <v>0</v>
      </c>
      <c r="Q24" s="517" t="s">
        <v>138</v>
      </c>
      <c r="R24" s="517"/>
      <c r="S24" s="517"/>
      <c r="T24" s="517"/>
      <c r="U24" s="517"/>
      <c r="V24" s="517"/>
      <c r="W24" s="517"/>
      <c r="X24" s="517"/>
      <c r="Y24" s="517"/>
      <c r="Z24" s="517"/>
      <c r="AA24" s="517"/>
      <c r="AB24" s="518"/>
    </row>
    <row r="25" spans="1:39" ht="21.95" customHeight="1" x14ac:dyDescent="0.25">
      <c r="A25" s="575" t="s">
        <v>58</v>
      </c>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7"/>
    </row>
    <row r="26" spans="1:39" ht="23.1" customHeight="1" x14ac:dyDescent="0.25">
      <c r="A26" s="523" t="s">
        <v>59</v>
      </c>
      <c r="B26" s="524" t="s">
        <v>60</v>
      </c>
      <c r="C26" s="524" t="s">
        <v>54</v>
      </c>
      <c r="D26" s="524" t="s">
        <v>61</v>
      </c>
      <c r="E26" s="524"/>
      <c r="F26" s="524"/>
      <c r="G26" s="524"/>
      <c r="H26" s="524"/>
      <c r="I26" s="524"/>
      <c r="J26" s="524"/>
      <c r="K26" s="524"/>
      <c r="L26" s="524"/>
      <c r="M26" s="524"/>
      <c r="N26" s="524"/>
      <c r="O26" s="524"/>
      <c r="P26" s="524"/>
      <c r="Q26" s="524" t="s">
        <v>62</v>
      </c>
      <c r="R26" s="524"/>
      <c r="S26" s="524"/>
      <c r="T26" s="524"/>
      <c r="U26" s="524"/>
      <c r="V26" s="524"/>
      <c r="W26" s="524"/>
      <c r="X26" s="524"/>
      <c r="Y26" s="524"/>
      <c r="Z26" s="524"/>
      <c r="AA26" s="524"/>
      <c r="AB26" s="537"/>
      <c r="AE26" s="87"/>
      <c r="AF26" s="87"/>
      <c r="AG26" s="87"/>
      <c r="AH26" s="87"/>
      <c r="AI26" s="87"/>
      <c r="AJ26" s="87"/>
      <c r="AK26" s="87"/>
      <c r="AL26" s="87"/>
      <c r="AM26" s="87"/>
    </row>
    <row r="27" spans="1:39" ht="23.1" customHeight="1" x14ac:dyDescent="0.25">
      <c r="A27" s="523"/>
      <c r="B27" s="524"/>
      <c r="C27" s="790"/>
      <c r="D27" s="88" t="s">
        <v>30</v>
      </c>
      <c r="E27" s="88" t="s">
        <v>31</v>
      </c>
      <c r="F27" s="88" t="s">
        <v>32</v>
      </c>
      <c r="G27" s="88" t="s">
        <v>33</v>
      </c>
      <c r="H27" s="88" t="s">
        <v>34</v>
      </c>
      <c r="I27" s="88" t="s">
        <v>35</v>
      </c>
      <c r="J27" s="88" t="s">
        <v>36</v>
      </c>
      <c r="K27" s="88" t="s">
        <v>37</v>
      </c>
      <c r="L27" s="88" t="s">
        <v>38</v>
      </c>
      <c r="M27" s="88" t="s">
        <v>39</v>
      </c>
      <c r="N27" s="88" t="s">
        <v>8</v>
      </c>
      <c r="O27" s="88" t="s">
        <v>40</v>
      </c>
      <c r="P27" s="88" t="s">
        <v>41</v>
      </c>
      <c r="Q27" s="527" t="s">
        <v>139</v>
      </c>
      <c r="R27" s="528"/>
      <c r="S27" s="528"/>
      <c r="T27" s="482"/>
      <c r="U27" s="527" t="s">
        <v>65</v>
      </c>
      <c r="V27" s="528"/>
      <c r="W27" s="528"/>
      <c r="X27" s="482"/>
      <c r="Y27" s="527" t="s">
        <v>66</v>
      </c>
      <c r="Z27" s="528"/>
      <c r="AA27" s="528"/>
      <c r="AB27" s="529"/>
      <c r="AE27" s="87"/>
      <c r="AF27" s="87"/>
      <c r="AG27" s="87"/>
      <c r="AH27" s="87"/>
      <c r="AI27" s="87"/>
      <c r="AJ27" s="87"/>
      <c r="AK27" s="87"/>
      <c r="AL27" s="87"/>
      <c r="AM27" s="87"/>
    </row>
    <row r="28" spans="1:39" ht="33" customHeight="1" x14ac:dyDescent="0.25">
      <c r="A28" s="793"/>
      <c r="B28" s="711"/>
      <c r="C28" s="90" t="s">
        <v>67</v>
      </c>
      <c r="D28" s="89"/>
      <c r="E28" s="89"/>
      <c r="F28" s="89"/>
      <c r="G28" s="89"/>
      <c r="H28" s="89"/>
      <c r="I28" s="89"/>
      <c r="J28" s="89"/>
      <c r="K28" s="89"/>
      <c r="L28" s="89"/>
      <c r="M28" s="89"/>
      <c r="N28" s="89"/>
      <c r="O28" s="89"/>
      <c r="P28" s="149">
        <f>SUM(D28:O28)</f>
        <v>0</v>
      </c>
      <c r="Q28" s="743" t="s">
        <v>140</v>
      </c>
      <c r="R28" s="744"/>
      <c r="S28" s="744"/>
      <c r="T28" s="745"/>
      <c r="U28" s="743" t="s">
        <v>141</v>
      </c>
      <c r="V28" s="744"/>
      <c r="W28" s="744"/>
      <c r="X28" s="745"/>
      <c r="Y28" s="743" t="s">
        <v>142</v>
      </c>
      <c r="Z28" s="744"/>
      <c r="AA28" s="744"/>
      <c r="AB28" s="749"/>
      <c r="AE28" s="87"/>
      <c r="AF28" s="87"/>
      <c r="AG28" s="87"/>
      <c r="AH28" s="87"/>
      <c r="AI28" s="87"/>
      <c r="AJ28" s="87"/>
      <c r="AK28" s="87"/>
      <c r="AL28" s="87"/>
      <c r="AM28" s="87"/>
    </row>
    <row r="29" spans="1:39" ht="33.950000000000003" customHeight="1" thickBot="1" x14ac:dyDescent="0.3">
      <c r="A29" s="667"/>
      <c r="B29" s="669"/>
      <c r="C29" s="91" t="s">
        <v>72</v>
      </c>
      <c r="D29" s="92"/>
      <c r="E29" s="92"/>
      <c r="F29" s="92"/>
      <c r="G29" s="93"/>
      <c r="H29" s="93"/>
      <c r="I29" s="93"/>
      <c r="J29" s="93"/>
      <c r="K29" s="93"/>
      <c r="L29" s="93"/>
      <c r="M29" s="93"/>
      <c r="N29" s="93"/>
      <c r="O29" s="93"/>
      <c r="P29" s="150">
        <f>SUM(D29:O29)</f>
        <v>0</v>
      </c>
      <c r="Q29" s="746"/>
      <c r="R29" s="747"/>
      <c r="S29" s="747"/>
      <c r="T29" s="748"/>
      <c r="U29" s="746"/>
      <c r="V29" s="747"/>
      <c r="W29" s="747"/>
      <c r="X29" s="748"/>
      <c r="Y29" s="746"/>
      <c r="Z29" s="747"/>
      <c r="AA29" s="747"/>
      <c r="AB29" s="750"/>
      <c r="AC29" s="49"/>
      <c r="AE29" s="87"/>
      <c r="AF29" s="87"/>
      <c r="AG29" s="87"/>
      <c r="AH29" s="87"/>
      <c r="AI29" s="87"/>
      <c r="AJ29" s="87"/>
      <c r="AK29" s="87"/>
      <c r="AL29" s="87"/>
      <c r="AM29" s="87"/>
    </row>
    <row r="30" spans="1:39" ht="26.1" customHeight="1" x14ac:dyDescent="0.25">
      <c r="A30" s="522" t="s">
        <v>73</v>
      </c>
      <c r="B30" s="798" t="s">
        <v>74</v>
      </c>
      <c r="C30" s="480" t="s">
        <v>75</v>
      </c>
      <c r="D30" s="480"/>
      <c r="E30" s="480"/>
      <c r="F30" s="480"/>
      <c r="G30" s="480"/>
      <c r="H30" s="480"/>
      <c r="I30" s="480"/>
      <c r="J30" s="480"/>
      <c r="K30" s="480"/>
      <c r="L30" s="480"/>
      <c r="M30" s="480"/>
      <c r="N30" s="480"/>
      <c r="O30" s="480"/>
      <c r="P30" s="480"/>
      <c r="Q30" s="593" t="s">
        <v>76</v>
      </c>
      <c r="R30" s="643"/>
      <c r="S30" s="643"/>
      <c r="T30" s="643"/>
      <c r="U30" s="643"/>
      <c r="V30" s="643"/>
      <c r="W30" s="643"/>
      <c r="X30" s="643"/>
      <c r="Y30" s="643"/>
      <c r="Z30" s="643"/>
      <c r="AA30" s="643"/>
      <c r="AB30" s="644"/>
      <c r="AE30" s="87"/>
      <c r="AF30" s="87"/>
      <c r="AG30" s="87"/>
      <c r="AH30" s="87"/>
      <c r="AI30" s="87"/>
      <c r="AJ30" s="87"/>
      <c r="AK30" s="87"/>
      <c r="AL30" s="87"/>
      <c r="AM30" s="87"/>
    </row>
    <row r="31" spans="1:39" ht="26.1" customHeight="1" x14ac:dyDescent="0.25">
      <c r="A31" s="523"/>
      <c r="B31" s="799"/>
      <c r="C31" s="88" t="s">
        <v>77</v>
      </c>
      <c r="D31" s="88" t="s">
        <v>78</v>
      </c>
      <c r="E31" s="88" t="s">
        <v>79</v>
      </c>
      <c r="F31" s="88" t="s">
        <v>80</v>
      </c>
      <c r="G31" s="88" t="s">
        <v>81</v>
      </c>
      <c r="H31" s="88" t="s">
        <v>82</v>
      </c>
      <c r="I31" s="88" t="s">
        <v>83</v>
      </c>
      <c r="J31" s="88" t="s">
        <v>84</v>
      </c>
      <c r="K31" s="88" t="s">
        <v>85</v>
      </c>
      <c r="L31" s="88" t="s">
        <v>86</v>
      </c>
      <c r="M31" s="88" t="s">
        <v>87</v>
      </c>
      <c r="N31" s="88" t="s">
        <v>88</v>
      </c>
      <c r="O31" s="88" t="s">
        <v>89</v>
      </c>
      <c r="P31" s="88" t="s">
        <v>90</v>
      </c>
      <c r="Q31" s="535" t="s">
        <v>91</v>
      </c>
      <c r="R31" s="536"/>
      <c r="S31" s="536"/>
      <c r="T31" s="536"/>
      <c r="U31" s="536"/>
      <c r="V31" s="536"/>
      <c r="W31" s="536"/>
      <c r="X31" s="536"/>
      <c r="Y31" s="536"/>
      <c r="Z31" s="536"/>
      <c r="AA31" s="536"/>
      <c r="AB31" s="761"/>
      <c r="AE31" s="94"/>
      <c r="AF31" s="94"/>
      <c r="AG31" s="94"/>
      <c r="AH31" s="94"/>
      <c r="AI31" s="94"/>
      <c r="AJ31" s="94"/>
      <c r="AK31" s="94"/>
      <c r="AL31" s="94"/>
      <c r="AM31" s="94"/>
    </row>
    <row r="32" spans="1:39" ht="28.5" customHeight="1" x14ac:dyDescent="0.25">
      <c r="A32" s="800"/>
      <c r="B32" s="796"/>
      <c r="C32" s="90" t="s">
        <v>67</v>
      </c>
      <c r="D32" s="95"/>
      <c r="E32" s="95"/>
      <c r="F32" s="95"/>
      <c r="G32" s="95"/>
      <c r="H32" s="95"/>
      <c r="I32" s="95"/>
      <c r="J32" s="95"/>
      <c r="K32" s="95"/>
      <c r="L32" s="95"/>
      <c r="M32" s="95"/>
      <c r="N32" s="95"/>
      <c r="O32" s="95"/>
      <c r="P32" s="96">
        <f t="shared" ref="P32:P39" si="0">SUM(D32:O32)</f>
        <v>0</v>
      </c>
      <c r="Q32" s="762" t="s">
        <v>143</v>
      </c>
      <c r="R32" s="763"/>
      <c r="S32" s="763"/>
      <c r="T32" s="763"/>
      <c r="U32" s="763"/>
      <c r="V32" s="763"/>
      <c r="W32" s="763"/>
      <c r="X32" s="763"/>
      <c r="Y32" s="763"/>
      <c r="Z32" s="763"/>
      <c r="AA32" s="763"/>
      <c r="AB32" s="764"/>
      <c r="AC32" s="97"/>
      <c r="AE32" s="98"/>
      <c r="AF32" s="98"/>
      <c r="AG32" s="98"/>
      <c r="AH32" s="98"/>
      <c r="AI32" s="98"/>
      <c r="AJ32" s="98"/>
      <c r="AK32" s="98"/>
      <c r="AL32" s="98"/>
      <c r="AM32" s="98"/>
    </row>
    <row r="33" spans="1:29" ht="28.5" customHeight="1" x14ac:dyDescent="0.25">
      <c r="A33" s="801"/>
      <c r="B33" s="797"/>
      <c r="C33" s="99" t="s">
        <v>72</v>
      </c>
      <c r="D33" s="100"/>
      <c r="E33" s="100"/>
      <c r="F33" s="100"/>
      <c r="G33" s="100"/>
      <c r="H33" s="100"/>
      <c r="I33" s="100"/>
      <c r="J33" s="100"/>
      <c r="K33" s="100"/>
      <c r="L33" s="100"/>
      <c r="M33" s="100"/>
      <c r="N33" s="100"/>
      <c r="O33" s="100"/>
      <c r="P33" s="101">
        <f t="shared" si="0"/>
        <v>0</v>
      </c>
      <c r="Q33" s="765"/>
      <c r="R33" s="766"/>
      <c r="S33" s="766"/>
      <c r="T33" s="766"/>
      <c r="U33" s="766"/>
      <c r="V33" s="766"/>
      <c r="W33" s="766"/>
      <c r="X33" s="766"/>
      <c r="Y33" s="766"/>
      <c r="Z33" s="766"/>
      <c r="AA33" s="766"/>
      <c r="AB33" s="767"/>
      <c r="AC33" s="97"/>
    </row>
    <row r="34" spans="1:29" ht="28.5" customHeight="1" x14ac:dyDescent="0.25">
      <c r="A34" s="801"/>
      <c r="B34" s="770"/>
      <c r="C34" s="102" t="s">
        <v>67</v>
      </c>
      <c r="D34" s="103"/>
      <c r="E34" s="103"/>
      <c r="F34" s="103"/>
      <c r="G34" s="103"/>
      <c r="H34" s="103"/>
      <c r="I34" s="103"/>
      <c r="J34" s="103"/>
      <c r="K34" s="103"/>
      <c r="L34" s="103"/>
      <c r="M34" s="103"/>
      <c r="N34" s="103"/>
      <c r="O34" s="103"/>
      <c r="P34" s="101">
        <f t="shared" si="0"/>
        <v>0</v>
      </c>
      <c r="Q34" s="733"/>
      <c r="R34" s="734"/>
      <c r="S34" s="734"/>
      <c r="T34" s="734"/>
      <c r="U34" s="734"/>
      <c r="V34" s="734"/>
      <c r="W34" s="734"/>
      <c r="X34" s="734"/>
      <c r="Y34" s="734"/>
      <c r="Z34" s="734"/>
      <c r="AA34" s="734"/>
      <c r="AB34" s="735"/>
      <c r="AC34" s="97"/>
    </row>
    <row r="35" spans="1:29" ht="28.5" customHeight="1" x14ac:dyDescent="0.25">
      <c r="A35" s="801"/>
      <c r="B35" s="797"/>
      <c r="C35" s="99" t="s">
        <v>72</v>
      </c>
      <c r="D35" s="100"/>
      <c r="E35" s="100"/>
      <c r="F35" s="100"/>
      <c r="G35" s="100"/>
      <c r="H35" s="100"/>
      <c r="I35" s="100"/>
      <c r="J35" s="100"/>
      <c r="K35" s="100"/>
      <c r="L35" s="104"/>
      <c r="M35" s="104"/>
      <c r="N35" s="104"/>
      <c r="O35" s="104"/>
      <c r="P35" s="101">
        <f t="shared" si="0"/>
        <v>0</v>
      </c>
      <c r="Q35" s="736"/>
      <c r="R35" s="737"/>
      <c r="S35" s="737"/>
      <c r="T35" s="737"/>
      <c r="U35" s="737"/>
      <c r="V35" s="737"/>
      <c r="W35" s="737"/>
      <c r="X35" s="737"/>
      <c r="Y35" s="737"/>
      <c r="Z35" s="737"/>
      <c r="AA35" s="737"/>
      <c r="AB35" s="738"/>
      <c r="AC35" s="97"/>
    </row>
    <row r="36" spans="1:29" ht="28.5" customHeight="1" x14ac:dyDescent="0.25">
      <c r="A36" s="794"/>
      <c r="B36" s="770"/>
      <c r="C36" s="102" t="s">
        <v>67</v>
      </c>
      <c r="D36" s="103"/>
      <c r="E36" s="103"/>
      <c r="F36" s="103"/>
      <c r="G36" s="103"/>
      <c r="H36" s="103"/>
      <c r="I36" s="103"/>
      <c r="J36" s="103"/>
      <c r="K36" s="103"/>
      <c r="L36" s="103"/>
      <c r="M36" s="103"/>
      <c r="N36" s="103"/>
      <c r="O36" s="103"/>
      <c r="P36" s="101">
        <f t="shared" si="0"/>
        <v>0</v>
      </c>
      <c r="Q36" s="733"/>
      <c r="R36" s="734"/>
      <c r="S36" s="734"/>
      <c r="T36" s="734"/>
      <c r="U36" s="734"/>
      <c r="V36" s="734"/>
      <c r="W36" s="734"/>
      <c r="X36" s="734"/>
      <c r="Y36" s="734"/>
      <c r="Z36" s="734"/>
      <c r="AA36" s="734"/>
      <c r="AB36" s="735"/>
      <c r="AC36" s="97"/>
    </row>
    <row r="37" spans="1:29" ht="28.5" customHeight="1" x14ac:dyDescent="0.25">
      <c r="A37" s="795"/>
      <c r="B37" s="797"/>
      <c r="C37" s="99" t="s">
        <v>72</v>
      </c>
      <c r="D37" s="100"/>
      <c r="E37" s="100"/>
      <c r="F37" s="100"/>
      <c r="G37" s="100"/>
      <c r="H37" s="100"/>
      <c r="I37" s="100"/>
      <c r="J37" s="100"/>
      <c r="K37" s="100"/>
      <c r="L37" s="104"/>
      <c r="M37" s="104"/>
      <c r="N37" s="104"/>
      <c r="O37" s="104"/>
      <c r="P37" s="101">
        <f t="shared" si="0"/>
        <v>0</v>
      </c>
      <c r="Q37" s="736"/>
      <c r="R37" s="737"/>
      <c r="S37" s="737"/>
      <c r="T37" s="737"/>
      <c r="U37" s="737"/>
      <c r="V37" s="737"/>
      <c r="W37" s="737"/>
      <c r="X37" s="737"/>
      <c r="Y37" s="737"/>
      <c r="Z37" s="737"/>
      <c r="AA37" s="737"/>
      <c r="AB37" s="738"/>
      <c r="AC37" s="97"/>
    </row>
    <row r="38" spans="1:29" ht="28.5" customHeight="1" x14ac:dyDescent="0.25">
      <c r="A38" s="753"/>
      <c r="B38" s="770"/>
      <c r="C38" s="102" t="s">
        <v>67</v>
      </c>
      <c r="D38" s="103"/>
      <c r="E38" s="103"/>
      <c r="F38" s="103"/>
      <c r="G38" s="103"/>
      <c r="H38" s="103"/>
      <c r="I38" s="103"/>
      <c r="J38" s="103"/>
      <c r="K38" s="103"/>
      <c r="L38" s="103"/>
      <c r="M38" s="103"/>
      <c r="N38" s="103"/>
      <c r="O38" s="103"/>
      <c r="P38" s="101">
        <f t="shared" si="0"/>
        <v>0</v>
      </c>
      <c r="Q38" s="733"/>
      <c r="R38" s="734"/>
      <c r="S38" s="734"/>
      <c r="T38" s="734"/>
      <c r="U38" s="734"/>
      <c r="V38" s="734"/>
      <c r="W38" s="734"/>
      <c r="X38" s="734"/>
      <c r="Y38" s="734"/>
      <c r="Z38" s="734"/>
      <c r="AA38" s="734"/>
      <c r="AB38" s="735"/>
      <c r="AC38" s="97"/>
    </row>
    <row r="39" spans="1:29" ht="28.5" customHeight="1" thickBot="1" x14ac:dyDescent="0.3">
      <c r="A39" s="754"/>
      <c r="B39" s="771"/>
      <c r="C39" s="91" t="s">
        <v>72</v>
      </c>
      <c r="D39" s="105"/>
      <c r="E39" s="105"/>
      <c r="F39" s="105"/>
      <c r="G39" s="105"/>
      <c r="H39" s="105"/>
      <c r="I39" s="105"/>
      <c r="J39" s="105"/>
      <c r="K39" s="105"/>
      <c r="L39" s="106"/>
      <c r="M39" s="106"/>
      <c r="N39" s="106"/>
      <c r="O39" s="106"/>
      <c r="P39" s="107">
        <f t="shared" si="0"/>
        <v>0</v>
      </c>
      <c r="Q39" s="772"/>
      <c r="R39" s="773"/>
      <c r="S39" s="773"/>
      <c r="T39" s="773"/>
      <c r="U39" s="773"/>
      <c r="V39" s="773"/>
      <c r="W39" s="773"/>
      <c r="X39" s="773"/>
      <c r="Y39" s="773"/>
      <c r="Z39" s="773"/>
      <c r="AA39" s="773"/>
      <c r="AB39" s="774"/>
      <c r="AC39" s="97"/>
    </row>
    <row r="40" spans="1:29" x14ac:dyDescent="0.25">
      <c r="A40" s="50" t="s">
        <v>96</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AO69"/>
  <sheetViews>
    <sheetView showGridLines="0" topLeftCell="A24" zoomScaleNormal="100" workbookViewId="0">
      <selection activeCell="I10" sqref="I10"/>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17" style="50" customWidth="1"/>
    <col min="20" max="22" width="34.28515625" style="50" customWidth="1"/>
    <col min="23" max="25" width="17.42578125" style="50" customWidth="1"/>
    <col min="26" max="26" width="15.14062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89"/>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1"/>
      <c r="AB1" s="566" t="s">
        <v>1</v>
      </c>
      <c r="AC1" s="567"/>
      <c r="AD1" s="568"/>
    </row>
    <row r="2" spans="1:30" ht="30.75" customHeight="1" thickBot="1" x14ac:dyDescent="0.3">
      <c r="A2" s="590"/>
      <c r="B2" s="569" t="s">
        <v>2</v>
      </c>
      <c r="C2" s="570"/>
      <c r="D2" s="570"/>
      <c r="E2" s="570"/>
      <c r="F2" s="570"/>
      <c r="G2" s="570"/>
      <c r="H2" s="570"/>
      <c r="I2" s="570"/>
      <c r="J2" s="570"/>
      <c r="K2" s="570"/>
      <c r="L2" s="570"/>
      <c r="M2" s="570"/>
      <c r="N2" s="570"/>
      <c r="O2" s="570"/>
      <c r="P2" s="570"/>
      <c r="Q2" s="570"/>
      <c r="R2" s="570"/>
      <c r="S2" s="570"/>
      <c r="T2" s="570"/>
      <c r="U2" s="570"/>
      <c r="V2" s="570"/>
      <c r="W2" s="570"/>
      <c r="X2" s="570"/>
      <c r="Y2" s="570"/>
      <c r="Z2" s="570"/>
      <c r="AA2" s="571"/>
      <c r="AB2" s="572" t="s">
        <v>3</v>
      </c>
      <c r="AC2" s="573"/>
      <c r="AD2" s="574"/>
    </row>
    <row r="3" spans="1:30" ht="24" customHeight="1" x14ac:dyDescent="0.25">
      <c r="A3" s="590"/>
      <c r="B3" s="575" t="s">
        <v>4</v>
      </c>
      <c r="C3" s="576"/>
      <c r="D3" s="576"/>
      <c r="E3" s="576"/>
      <c r="F3" s="576"/>
      <c r="G3" s="576"/>
      <c r="H3" s="576"/>
      <c r="I3" s="576"/>
      <c r="J3" s="576"/>
      <c r="K3" s="576"/>
      <c r="L3" s="576"/>
      <c r="M3" s="576"/>
      <c r="N3" s="576"/>
      <c r="O3" s="576"/>
      <c r="P3" s="576"/>
      <c r="Q3" s="576"/>
      <c r="R3" s="576"/>
      <c r="S3" s="576"/>
      <c r="T3" s="576"/>
      <c r="U3" s="576"/>
      <c r="V3" s="576"/>
      <c r="W3" s="576"/>
      <c r="X3" s="576"/>
      <c r="Y3" s="576"/>
      <c r="Z3" s="576"/>
      <c r="AA3" s="577"/>
      <c r="AB3" s="572" t="s">
        <v>5</v>
      </c>
      <c r="AC3" s="573"/>
      <c r="AD3" s="574"/>
    </row>
    <row r="4" spans="1:30" ht="21.95" customHeight="1" thickBot="1" x14ac:dyDescent="0.3">
      <c r="A4" s="591"/>
      <c r="B4" s="500"/>
      <c r="C4" s="502"/>
      <c r="D4" s="502"/>
      <c r="E4" s="502"/>
      <c r="F4" s="502"/>
      <c r="G4" s="502"/>
      <c r="H4" s="502"/>
      <c r="I4" s="502"/>
      <c r="J4" s="502"/>
      <c r="K4" s="502"/>
      <c r="L4" s="502"/>
      <c r="M4" s="502"/>
      <c r="N4" s="502"/>
      <c r="O4" s="502"/>
      <c r="P4" s="502"/>
      <c r="Q4" s="502"/>
      <c r="R4" s="502"/>
      <c r="S4" s="502"/>
      <c r="T4" s="502"/>
      <c r="U4" s="502"/>
      <c r="V4" s="502"/>
      <c r="W4" s="502"/>
      <c r="X4" s="502"/>
      <c r="Y4" s="502"/>
      <c r="Z4" s="502"/>
      <c r="AA4" s="578"/>
      <c r="AB4" s="579" t="s">
        <v>6</v>
      </c>
      <c r="AC4" s="580"/>
      <c r="AD4" s="581"/>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96" t="s">
        <v>7</v>
      </c>
      <c r="B7" s="597"/>
      <c r="C7" s="602" t="s">
        <v>8</v>
      </c>
      <c r="D7" s="596" t="s">
        <v>9</v>
      </c>
      <c r="E7" s="614"/>
      <c r="F7" s="614"/>
      <c r="G7" s="614"/>
      <c r="H7" s="597"/>
      <c r="I7" s="631" t="s">
        <v>174</v>
      </c>
      <c r="J7" s="618"/>
      <c r="K7" s="596" t="s">
        <v>10</v>
      </c>
      <c r="L7" s="597"/>
      <c r="M7" s="584" t="s">
        <v>11</v>
      </c>
      <c r="N7" s="585"/>
      <c r="O7" s="623"/>
      <c r="P7" s="624"/>
      <c r="Q7" s="54"/>
      <c r="R7" s="54"/>
      <c r="S7" s="54"/>
      <c r="T7" s="54"/>
      <c r="U7" s="54"/>
      <c r="V7" s="54"/>
      <c r="W7" s="54"/>
      <c r="X7" s="54"/>
      <c r="Y7" s="54"/>
      <c r="Z7" s="55"/>
      <c r="AA7" s="54"/>
      <c r="AB7" s="54"/>
      <c r="AC7" s="60"/>
      <c r="AD7" s="61"/>
    </row>
    <row r="8" spans="1:30" ht="15" customHeight="1" x14ac:dyDescent="0.25">
      <c r="A8" s="598"/>
      <c r="B8" s="599"/>
      <c r="C8" s="603"/>
      <c r="D8" s="598"/>
      <c r="E8" s="615"/>
      <c r="F8" s="615"/>
      <c r="G8" s="615"/>
      <c r="H8" s="599"/>
      <c r="I8" s="619"/>
      <c r="J8" s="620"/>
      <c r="K8" s="598"/>
      <c r="L8" s="599"/>
      <c r="M8" s="625" t="s">
        <v>12</v>
      </c>
      <c r="N8" s="626"/>
      <c r="O8" s="627"/>
      <c r="P8" s="628"/>
      <c r="Q8" s="54"/>
      <c r="R8" s="54"/>
      <c r="S8" s="54"/>
      <c r="T8" s="54"/>
      <c r="U8" s="54"/>
      <c r="V8" s="54"/>
      <c r="W8" s="54"/>
      <c r="X8" s="54"/>
      <c r="Y8" s="54"/>
      <c r="Z8" s="55"/>
      <c r="AA8" s="54"/>
      <c r="AB8" s="54"/>
      <c r="AC8" s="60"/>
      <c r="AD8" s="61"/>
    </row>
    <row r="9" spans="1:30" ht="15.75" customHeight="1" x14ac:dyDescent="0.25">
      <c r="A9" s="600"/>
      <c r="B9" s="601"/>
      <c r="C9" s="604"/>
      <c r="D9" s="600"/>
      <c r="E9" s="616"/>
      <c r="F9" s="616"/>
      <c r="G9" s="616"/>
      <c r="H9" s="601"/>
      <c r="I9" s="621"/>
      <c r="J9" s="622"/>
      <c r="K9" s="600"/>
      <c r="L9" s="601"/>
      <c r="M9" s="629" t="s">
        <v>13</v>
      </c>
      <c r="N9" s="630"/>
      <c r="O9" s="582" t="s">
        <v>14</v>
      </c>
      <c r="P9" s="583"/>
      <c r="Q9" s="54"/>
      <c r="R9" s="54"/>
      <c r="S9" s="54"/>
      <c r="T9" s="54"/>
      <c r="U9" s="54"/>
      <c r="V9" s="54"/>
      <c r="W9" s="54"/>
      <c r="X9" s="54"/>
      <c r="Y9" s="54"/>
      <c r="Z9" s="55"/>
      <c r="AA9" s="54"/>
      <c r="AB9" s="54"/>
      <c r="AC9" s="60"/>
      <c r="AD9" s="61"/>
    </row>
    <row r="10" spans="1:30" ht="15" customHeight="1" x14ac:dyDescent="0.25">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596" t="s">
        <v>15</v>
      </c>
      <c r="B11" s="597"/>
      <c r="C11" s="605" t="s">
        <v>16</v>
      </c>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7"/>
    </row>
    <row r="12" spans="1:30" ht="15" customHeight="1" x14ac:dyDescent="0.25">
      <c r="A12" s="598"/>
      <c r="B12" s="599"/>
      <c r="C12" s="608"/>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10"/>
    </row>
    <row r="13" spans="1:30" ht="15" customHeight="1" thickBot="1" x14ac:dyDescent="0.3">
      <c r="A13" s="600"/>
      <c r="B13" s="601"/>
      <c r="C13" s="611"/>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47" t="s">
        <v>17</v>
      </c>
      <c r="B15" s="548"/>
      <c r="C15" s="586" t="s">
        <v>18</v>
      </c>
      <c r="D15" s="587"/>
      <c r="E15" s="587"/>
      <c r="F15" s="587"/>
      <c r="G15" s="587"/>
      <c r="H15" s="587"/>
      <c r="I15" s="587"/>
      <c r="J15" s="587"/>
      <c r="K15" s="588"/>
      <c r="L15" s="555" t="s">
        <v>19</v>
      </c>
      <c r="M15" s="559"/>
      <c r="N15" s="559"/>
      <c r="O15" s="559"/>
      <c r="P15" s="559"/>
      <c r="Q15" s="556"/>
      <c r="R15" s="552" t="s">
        <v>20</v>
      </c>
      <c r="S15" s="553"/>
      <c r="T15" s="553"/>
      <c r="U15" s="553"/>
      <c r="V15" s="553"/>
      <c r="W15" s="553"/>
      <c r="X15" s="554"/>
      <c r="Y15" s="555" t="s">
        <v>21</v>
      </c>
      <c r="Z15" s="556"/>
      <c r="AA15" s="543" t="s">
        <v>22</v>
      </c>
      <c r="AB15" s="544"/>
      <c r="AC15" s="544"/>
      <c r="AD15" s="545"/>
    </row>
    <row r="16" spans="1:30" ht="9" customHeight="1" thickBot="1" x14ac:dyDescent="0.3">
      <c r="A16" s="59"/>
      <c r="B16" s="54"/>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73"/>
      <c r="AD16" s="74"/>
    </row>
    <row r="17" spans="1:41" s="76" customFormat="1" ht="37.5" customHeight="1" thickBot="1" x14ac:dyDescent="0.3">
      <c r="A17" s="547" t="s">
        <v>23</v>
      </c>
      <c r="B17" s="548"/>
      <c r="C17" s="549" t="s">
        <v>175</v>
      </c>
      <c r="D17" s="550"/>
      <c r="E17" s="550"/>
      <c r="F17" s="550"/>
      <c r="G17" s="550"/>
      <c r="H17" s="550"/>
      <c r="I17" s="550"/>
      <c r="J17" s="550"/>
      <c r="K17" s="550"/>
      <c r="L17" s="550"/>
      <c r="M17" s="550"/>
      <c r="N17" s="550"/>
      <c r="O17" s="550"/>
      <c r="P17" s="550"/>
      <c r="Q17" s="551"/>
      <c r="R17" s="555" t="s">
        <v>25</v>
      </c>
      <c r="S17" s="559"/>
      <c r="T17" s="559"/>
      <c r="U17" s="559"/>
      <c r="V17" s="556"/>
      <c r="W17" s="684">
        <v>0.24</v>
      </c>
      <c r="X17" s="685"/>
      <c r="Y17" s="559" t="s">
        <v>26</v>
      </c>
      <c r="Z17" s="559"/>
      <c r="AA17" s="559"/>
      <c r="AB17" s="556"/>
      <c r="AC17" s="594">
        <v>0.15</v>
      </c>
      <c r="AD17" s="59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55" t="s">
        <v>27</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6"/>
      <c r="AE19" s="83"/>
      <c r="AF19" s="83"/>
    </row>
    <row r="20" spans="1:41" ht="32.1" customHeight="1" thickBot="1" x14ac:dyDescent="0.3">
      <c r="A20" s="82"/>
      <c r="B20" s="60"/>
      <c r="C20" s="563" t="s">
        <v>28</v>
      </c>
      <c r="D20" s="564"/>
      <c r="E20" s="564"/>
      <c r="F20" s="564"/>
      <c r="G20" s="564"/>
      <c r="H20" s="564"/>
      <c r="I20" s="564"/>
      <c r="J20" s="564"/>
      <c r="K20" s="564"/>
      <c r="L20" s="564"/>
      <c r="M20" s="564"/>
      <c r="N20" s="564"/>
      <c r="O20" s="564"/>
      <c r="P20" s="565"/>
      <c r="Q20" s="560" t="s">
        <v>29</v>
      </c>
      <c r="R20" s="561"/>
      <c r="S20" s="561"/>
      <c r="T20" s="561"/>
      <c r="U20" s="561"/>
      <c r="V20" s="561"/>
      <c r="W20" s="561"/>
      <c r="X20" s="561"/>
      <c r="Y20" s="561"/>
      <c r="Z20" s="561"/>
      <c r="AA20" s="561"/>
      <c r="AB20" s="561"/>
      <c r="AC20" s="561"/>
      <c r="AD20" s="562"/>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8</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8</v>
      </c>
      <c r="AB21" s="147" t="s">
        <v>40</v>
      </c>
      <c r="AC21" s="147" t="s">
        <v>41</v>
      </c>
      <c r="AD21" s="148" t="s">
        <v>42</v>
      </c>
      <c r="AE21" s="3"/>
      <c r="AF21" s="3"/>
    </row>
    <row r="22" spans="1:41" ht="32.1" customHeight="1" x14ac:dyDescent="0.25">
      <c r="A22" s="522" t="s">
        <v>43</v>
      </c>
      <c r="B22" s="593"/>
      <c r="C22" s="168"/>
      <c r="D22" s="166"/>
      <c r="E22" s="166"/>
      <c r="F22" s="166"/>
      <c r="G22" s="166"/>
      <c r="H22" s="166"/>
      <c r="I22" s="166"/>
      <c r="J22" s="166"/>
      <c r="K22" s="166"/>
      <c r="L22" s="166"/>
      <c r="M22" s="166"/>
      <c r="N22" s="166"/>
      <c r="O22" s="166">
        <f>SUM(C22:N22)</f>
        <v>0</v>
      </c>
      <c r="P22" s="169"/>
      <c r="Q22" s="168">
        <v>1788742712</v>
      </c>
      <c r="R22" s="308"/>
      <c r="S22" s="166">
        <f>19186926+10126937+6986000</f>
        <v>36299863</v>
      </c>
      <c r="T22" s="166">
        <f>35000000+21559511</f>
        <v>56559511</v>
      </c>
      <c r="U22" s="166"/>
      <c r="V22" s="166">
        <f>2139478+34249272-35249417</f>
        <v>1139333</v>
      </c>
      <c r="W22" s="166"/>
      <c r="X22" s="166"/>
      <c r="Y22" s="166"/>
      <c r="Z22" s="166">
        <v>-54680400</v>
      </c>
      <c r="AA22" s="166"/>
      <c r="AB22" s="166"/>
      <c r="AC22" s="166">
        <f>SUM(Q22:AB22)</f>
        <v>1828061019</v>
      </c>
      <c r="AD22" s="173"/>
      <c r="AE22" s="3"/>
      <c r="AF22" s="592" t="s">
        <v>164</v>
      </c>
      <c r="AG22" s="592"/>
      <c r="AH22" s="592"/>
      <c r="AI22" s="592"/>
      <c r="AJ22" s="592"/>
      <c r="AK22" s="592"/>
      <c r="AL22" s="592"/>
      <c r="AM22" s="592"/>
    </row>
    <row r="23" spans="1:41" ht="32.1" customHeight="1" x14ac:dyDescent="0.25">
      <c r="A23" s="523" t="s">
        <v>45</v>
      </c>
      <c r="B23" s="535"/>
      <c r="C23" s="163"/>
      <c r="D23" s="162"/>
      <c r="E23" s="162"/>
      <c r="F23" s="162"/>
      <c r="G23" s="162"/>
      <c r="H23" s="162"/>
      <c r="I23" s="162"/>
      <c r="J23" s="162"/>
      <c r="K23" s="162"/>
      <c r="L23" s="162"/>
      <c r="M23" s="162"/>
      <c r="N23" s="162"/>
      <c r="O23" s="162">
        <f>SUM(C23:N23)</f>
        <v>0</v>
      </c>
      <c r="P23" s="174" t="str">
        <f>IFERROR(O23/(SUMIF(C23:N23,"&gt;0",C22:N22))," ")</f>
        <v xml:space="preserve"> </v>
      </c>
      <c r="Q23" s="307">
        <v>84263629</v>
      </c>
      <c r="R23" s="303">
        <v>1319717051</v>
      </c>
      <c r="S23" s="303">
        <v>198188775</v>
      </c>
      <c r="T23" s="303">
        <v>-33051211</v>
      </c>
      <c r="U23" s="303">
        <v>30963345</v>
      </c>
      <c r="V23" s="303">
        <v>40445825</v>
      </c>
      <c r="W23" s="303">
        <v>66421867</v>
      </c>
      <c r="X23" s="303" t="s">
        <v>100</v>
      </c>
      <c r="Y23" s="303">
        <v>-2588734</v>
      </c>
      <c r="Z23" s="303">
        <v>49464000</v>
      </c>
      <c r="AA23" s="162">
        <v>36515000</v>
      </c>
      <c r="AB23" s="162"/>
      <c r="AC23" s="162">
        <f>SUM(Q23:AB23)</f>
        <v>1790339547</v>
      </c>
      <c r="AD23" s="171">
        <f>+AC23/AC22</f>
        <v>0.97936531023420947</v>
      </c>
      <c r="AE23" s="3"/>
      <c r="AF23" s="592"/>
      <c r="AG23" s="592"/>
      <c r="AH23" s="592"/>
      <c r="AI23" s="592"/>
      <c r="AJ23" s="592"/>
      <c r="AK23" s="592"/>
      <c r="AL23" s="592"/>
      <c r="AM23" s="592"/>
    </row>
    <row r="24" spans="1:41" ht="32.1" customHeight="1" x14ac:dyDescent="0.25">
      <c r="A24" s="523" t="s">
        <v>47</v>
      </c>
      <c r="B24" s="535"/>
      <c r="C24" s="300">
        <f>25110243+698600+1646344+1804187+19304533</f>
        <v>48563907</v>
      </c>
      <c r="D24" s="301">
        <f>1749516+3375000+698600+1646344+3750000+461423+840000+713790+713790+1545000+1545000+432600+475860+4505045</f>
        <v>22451968</v>
      </c>
      <c r="E24" s="162">
        <f>698600+1646344+4956875</f>
        <v>7301819</v>
      </c>
      <c r="F24" s="162">
        <f>698600+1646344+5038625</f>
        <v>7383569</v>
      </c>
      <c r="G24" s="162">
        <f>548900+1646344</f>
        <v>2195244</v>
      </c>
      <c r="H24" s="162">
        <f>1646344-840000</f>
        <v>806344</v>
      </c>
      <c r="I24" s="162">
        <v>1049770</v>
      </c>
      <c r="J24" s="162"/>
      <c r="K24" s="162">
        <v>-10128</v>
      </c>
      <c r="L24" s="162"/>
      <c r="M24" s="162"/>
      <c r="N24" s="162"/>
      <c r="O24" s="184">
        <f>SUM(C24:N24)</f>
        <v>89742493</v>
      </c>
      <c r="P24" s="167"/>
      <c r="Q24" s="163"/>
      <c r="R24" s="308">
        <v>76648064</v>
      </c>
      <c r="S24" s="162">
        <v>155644968</v>
      </c>
      <c r="T24" s="162">
        <f>155644968+1918693+1646342+776223</f>
        <v>159986226</v>
      </c>
      <c r="U24" s="162">
        <f>155644968+1918693+3888889+1646342+21559511+776223</f>
        <v>185434626</v>
      </c>
      <c r="V24" s="162">
        <f>155644968+1918693+3888889+1646342+776222-35249417</f>
        <v>128625697</v>
      </c>
      <c r="W24" s="162">
        <f>155644968+1918693+2139478+3888889+741130+11416424+776222</f>
        <v>176525804</v>
      </c>
      <c r="X24" s="162">
        <f>155644968+1918693+3888889+741130+776222</f>
        <v>162969902</v>
      </c>
      <c r="Y24" s="162">
        <f>155644968+1918693+3888889+741130+11416424+776222</f>
        <v>174386326</v>
      </c>
      <c r="Z24" s="162">
        <f>155644968+1918692+3888889+741130+776222-54680400</f>
        <v>108289501</v>
      </c>
      <c r="AA24" s="162">
        <f>155644968+1918692+3888889+741130+11416424+776222</f>
        <v>174386325</v>
      </c>
      <c r="AB24" s="162">
        <f>311289936+3837384+7777777+1482261+776222</f>
        <v>325163580</v>
      </c>
      <c r="AC24" s="162">
        <f>SUM(Q24:AB24)</f>
        <v>1828061019</v>
      </c>
      <c r="AD24" s="171"/>
      <c r="AE24" s="3"/>
      <c r="AF24" s="592"/>
      <c r="AG24" s="592"/>
      <c r="AH24" s="592"/>
      <c r="AI24" s="592"/>
      <c r="AJ24" s="592"/>
      <c r="AK24" s="592"/>
      <c r="AL24" s="592"/>
      <c r="AM24" s="592"/>
    </row>
    <row r="25" spans="1:41" ht="32.1" customHeight="1" x14ac:dyDescent="0.25">
      <c r="A25" s="479" t="s">
        <v>50</v>
      </c>
      <c r="B25" s="542"/>
      <c r="C25" s="311">
        <v>9139172</v>
      </c>
      <c r="D25" s="309">
        <v>34332596</v>
      </c>
      <c r="E25" s="309">
        <v>24384979</v>
      </c>
      <c r="F25" s="309">
        <v>10889552</v>
      </c>
      <c r="G25" s="309">
        <v>4540188</v>
      </c>
      <c r="H25" s="309">
        <v>384894</v>
      </c>
      <c r="I25" s="309">
        <v>1646352</v>
      </c>
      <c r="J25" s="298" t="s">
        <v>101</v>
      </c>
      <c r="K25" s="298" t="s">
        <v>101</v>
      </c>
      <c r="L25" s="165">
        <v>3375000</v>
      </c>
      <c r="M25" s="165">
        <v>0</v>
      </c>
      <c r="N25" s="165"/>
      <c r="O25" s="165">
        <f>SUM(C25:N25)</f>
        <v>88692733</v>
      </c>
      <c r="P25" s="170">
        <f>IFERROR(O25/(SUMIF(C25:N25,"&gt;0",C24:N24))," ")</f>
        <v>0.98819100781469105</v>
      </c>
      <c r="Q25" s="164"/>
      <c r="R25" s="299">
        <v>944067</v>
      </c>
      <c r="S25" s="299">
        <v>49626360</v>
      </c>
      <c r="T25" s="299">
        <v>137705564</v>
      </c>
      <c r="U25" s="299">
        <v>153450831</v>
      </c>
      <c r="V25" s="299">
        <v>162705131</v>
      </c>
      <c r="W25" s="299">
        <v>175827322</v>
      </c>
      <c r="X25" s="299">
        <v>161024908</v>
      </c>
      <c r="Y25" s="299">
        <v>155928513</v>
      </c>
      <c r="Z25" s="165">
        <v>167995796</v>
      </c>
      <c r="AA25" s="165">
        <v>179843267</v>
      </c>
      <c r="AB25" s="165"/>
      <c r="AC25" s="165">
        <f>SUM(Q25:AB25)</f>
        <v>1345051759</v>
      </c>
      <c r="AD25" s="172">
        <f>+AC25/AC24</f>
        <v>0.73578055930309183</v>
      </c>
      <c r="AE25" s="3"/>
      <c r="AF25" s="592"/>
      <c r="AG25" s="592"/>
      <c r="AH25" s="592"/>
      <c r="AI25" s="592"/>
      <c r="AJ25" s="592"/>
      <c r="AK25" s="592"/>
      <c r="AL25" s="592"/>
      <c r="AM25" s="592"/>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38" t="s">
        <v>52</v>
      </c>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1"/>
    </row>
    <row r="28" spans="1:41" ht="15" customHeight="1" x14ac:dyDescent="0.25">
      <c r="A28" s="531" t="s">
        <v>53</v>
      </c>
      <c r="B28" s="533" t="s">
        <v>54</v>
      </c>
      <c r="C28" s="534"/>
      <c r="D28" s="535" t="s">
        <v>55</v>
      </c>
      <c r="E28" s="536"/>
      <c r="F28" s="536"/>
      <c r="G28" s="536"/>
      <c r="H28" s="536"/>
      <c r="I28" s="536"/>
      <c r="J28" s="536"/>
      <c r="K28" s="536"/>
      <c r="L28" s="536"/>
      <c r="M28" s="536"/>
      <c r="N28" s="536"/>
      <c r="O28" s="530"/>
      <c r="P28" s="524" t="s">
        <v>41</v>
      </c>
      <c r="Q28" s="524" t="s">
        <v>56</v>
      </c>
      <c r="R28" s="524"/>
      <c r="S28" s="524"/>
      <c r="T28" s="524"/>
      <c r="U28" s="524"/>
      <c r="V28" s="524"/>
      <c r="W28" s="524"/>
      <c r="X28" s="524"/>
      <c r="Y28" s="524"/>
      <c r="Z28" s="524"/>
      <c r="AA28" s="524"/>
      <c r="AB28" s="524"/>
      <c r="AC28" s="524"/>
      <c r="AD28" s="537"/>
    </row>
    <row r="29" spans="1:41" ht="27" customHeight="1" x14ac:dyDescent="0.25">
      <c r="A29" s="532"/>
      <c r="B29" s="527"/>
      <c r="C29" s="482"/>
      <c r="D29" s="88" t="s">
        <v>30</v>
      </c>
      <c r="E29" s="88" t="s">
        <v>31</v>
      </c>
      <c r="F29" s="88" t="s">
        <v>32</v>
      </c>
      <c r="G29" s="88" t="s">
        <v>33</v>
      </c>
      <c r="H29" s="88" t="s">
        <v>34</v>
      </c>
      <c r="I29" s="88" t="s">
        <v>35</v>
      </c>
      <c r="J29" s="88" t="s">
        <v>36</v>
      </c>
      <c r="K29" s="88" t="s">
        <v>37</v>
      </c>
      <c r="L29" s="88" t="s">
        <v>38</v>
      </c>
      <c r="M29" s="88" t="s">
        <v>39</v>
      </c>
      <c r="N29" s="88" t="s">
        <v>8</v>
      </c>
      <c r="O29" s="88" t="s">
        <v>40</v>
      </c>
      <c r="P29" s="530"/>
      <c r="Q29" s="524"/>
      <c r="R29" s="524"/>
      <c r="S29" s="524"/>
      <c r="T29" s="524"/>
      <c r="U29" s="524"/>
      <c r="V29" s="524"/>
      <c r="W29" s="524"/>
      <c r="X29" s="524"/>
      <c r="Y29" s="524"/>
      <c r="Z29" s="524"/>
      <c r="AA29" s="524"/>
      <c r="AB29" s="524"/>
      <c r="AC29" s="524"/>
      <c r="AD29" s="537"/>
    </row>
    <row r="30" spans="1:41" ht="68.25" customHeight="1" thickBot="1" x14ac:dyDescent="0.3">
      <c r="A30" s="85" t="s">
        <v>176</v>
      </c>
      <c r="B30" s="515"/>
      <c r="C30" s="516"/>
      <c r="D30" s="89"/>
      <c r="E30" s="89"/>
      <c r="F30" s="89"/>
      <c r="G30" s="89"/>
      <c r="H30" s="89"/>
      <c r="I30" s="89"/>
      <c r="J30" s="89"/>
      <c r="K30" s="89"/>
      <c r="L30" s="89"/>
      <c r="M30" s="89"/>
      <c r="N30" s="89"/>
      <c r="O30" s="89"/>
      <c r="P30" s="86">
        <f>SUM(D30:O30)</f>
        <v>0</v>
      </c>
      <c r="Q30" s="517"/>
      <c r="R30" s="517"/>
      <c r="S30" s="517"/>
      <c r="T30" s="517"/>
      <c r="U30" s="517"/>
      <c r="V30" s="517"/>
      <c r="W30" s="517"/>
      <c r="X30" s="517"/>
      <c r="Y30" s="517"/>
      <c r="Z30" s="517"/>
      <c r="AA30" s="517"/>
      <c r="AB30" s="517"/>
      <c r="AC30" s="517"/>
      <c r="AD30" s="518"/>
    </row>
    <row r="31" spans="1:41" ht="45" customHeight="1" thickBot="1" x14ac:dyDescent="0.3">
      <c r="A31" s="519" t="s">
        <v>58</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1"/>
    </row>
    <row r="32" spans="1:41" ht="20.25" customHeight="1" x14ac:dyDescent="0.25">
      <c r="A32" s="522" t="s">
        <v>59</v>
      </c>
      <c r="B32" s="480" t="s">
        <v>60</v>
      </c>
      <c r="C32" s="480" t="s">
        <v>54</v>
      </c>
      <c r="D32" s="526" t="s">
        <v>61</v>
      </c>
      <c r="E32" s="480"/>
      <c r="F32" s="480"/>
      <c r="G32" s="480"/>
      <c r="H32" s="480"/>
      <c r="I32" s="480"/>
      <c r="J32" s="480"/>
      <c r="K32" s="480"/>
      <c r="L32" s="480"/>
      <c r="M32" s="480"/>
      <c r="N32" s="480"/>
      <c r="O32" s="480"/>
      <c r="P32" s="483"/>
      <c r="Q32" s="522" t="s">
        <v>62</v>
      </c>
      <c r="R32" s="480"/>
      <c r="S32" s="480"/>
      <c r="T32" s="480"/>
      <c r="U32" s="480"/>
      <c r="V32" s="480"/>
      <c r="W32" s="480"/>
      <c r="X32" s="480"/>
      <c r="Y32" s="480"/>
      <c r="Z32" s="480"/>
      <c r="AA32" s="480"/>
      <c r="AB32" s="480"/>
      <c r="AC32" s="480"/>
      <c r="AD32" s="483"/>
      <c r="AG32" s="87"/>
      <c r="AH32" s="87"/>
      <c r="AI32" s="87"/>
      <c r="AJ32" s="87"/>
      <c r="AK32" s="87"/>
      <c r="AL32" s="87"/>
      <c r="AM32" s="87"/>
      <c r="AN32" s="87"/>
      <c r="AO32" s="87"/>
    </row>
    <row r="33" spans="1:41" ht="27" customHeight="1" thickBot="1" x14ac:dyDescent="0.3">
      <c r="A33" s="634"/>
      <c r="B33" s="636"/>
      <c r="C33" s="802"/>
      <c r="D33" s="336" t="s">
        <v>30</v>
      </c>
      <c r="E33" s="343" t="s">
        <v>31</v>
      </c>
      <c r="F33" s="343" t="s">
        <v>32</v>
      </c>
      <c r="G33" s="343" t="s">
        <v>33</v>
      </c>
      <c r="H33" s="343" t="s">
        <v>34</v>
      </c>
      <c r="I33" s="343" t="s">
        <v>35</v>
      </c>
      <c r="J33" s="343" t="s">
        <v>36</v>
      </c>
      <c r="K33" s="343" t="s">
        <v>37</v>
      </c>
      <c r="L33" s="343" t="s">
        <v>38</v>
      </c>
      <c r="M33" s="343" t="s">
        <v>39</v>
      </c>
      <c r="N33" s="343" t="s">
        <v>8</v>
      </c>
      <c r="O33" s="343" t="s">
        <v>40</v>
      </c>
      <c r="P33" s="354" t="s">
        <v>41</v>
      </c>
      <c r="Q33" s="479" t="s">
        <v>63</v>
      </c>
      <c r="R33" s="481"/>
      <c r="S33" s="481"/>
      <c r="T33" s="481" t="s">
        <v>64</v>
      </c>
      <c r="U33" s="481"/>
      <c r="V33" s="481"/>
      <c r="W33" s="704" t="s">
        <v>65</v>
      </c>
      <c r="X33" s="564"/>
      <c r="Y33" s="564"/>
      <c r="Z33" s="810"/>
      <c r="AA33" s="704" t="s">
        <v>66</v>
      </c>
      <c r="AB33" s="564"/>
      <c r="AC33" s="564"/>
      <c r="AD33" s="565"/>
      <c r="AG33" s="87"/>
      <c r="AH33" s="87"/>
      <c r="AI33" s="87"/>
      <c r="AJ33" s="87"/>
      <c r="AK33" s="87"/>
      <c r="AL33" s="87"/>
      <c r="AM33" s="87"/>
      <c r="AN33" s="87"/>
      <c r="AO33" s="87"/>
    </row>
    <row r="34" spans="1:41" ht="164.25" customHeight="1" x14ac:dyDescent="0.25">
      <c r="A34" s="811" t="s">
        <v>176</v>
      </c>
      <c r="B34" s="812">
        <v>0.15</v>
      </c>
      <c r="C34" s="337" t="s">
        <v>67</v>
      </c>
      <c r="D34" s="355">
        <f>D69</f>
        <v>6.3999999999999986E-3</v>
      </c>
      <c r="E34" s="356">
        <f t="shared" ref="E34:O34" si="0">E69</f>
        <v>2.2400000000000003E-2</v>
      </c>
      <c r="F34" s="356">
        <f t="shared" si="0"/>
        <v>2.1864000000000005E-2</v>
      </c>
      <c r="G34" s="356">
        <f t="shared" si="0"/>
        <v>2.1864000000000005E-2</v>
      </c>
      <c r="H34" s="356">
        <f t="shared" si="0"/>
        <v>2.1864000000000005E-2</v>
      </c>
      <c r="I34" s="356">
        <f t="shared" si="0"/>
        <v>2.1864000000000005E-2</v>
      </c>
      <c r="J34" s="356">
        <f t="shared" si="0"/>
        <v>2.1864000000000005E-2</v>
      </c>
      <c r="K34" s="356">
        <f t="shared" si="0"/>
        <v>2.1864000000000005E-2</v>
      </c>
      <c r="L34" s="356">
        <f t="shared" si="0"/>
        <v>2.1864000000000005E-2</v>
      </c>
      <c r="M34" s="356">
        <f t="shared" si="0"/>
        <v>2.1864000000000005E-2</v>
      </c>
      <c r="N34" s="356">
        <f t="shared" si="0"/>
        <v>2.1063999999999999E-2</v>
      </c>
      <c r="O34" s="356">
        <f t="shared" si="0"/>
        <v>1.5224000000000005E-2</v>
      </c>
      <c r="P34" s="357">
        <f>SUM(D34:O34)</f>
        <v>0.24000000000000002</v>
      </c>
      <c r="Q34" s="864" t="s">
        <v>177</v>
      </c>
      <c r="R34" s="813"/>
      <c r="S34" s="814"/>
      <c r="T34" s="865" t="s">
        <v>178</v>
      </c>
      <c r="U34" s="866"/>
      <c r="V34" s="867"/>
      <c r="W34" s="816" t="s">
        <v>179</v>
      </c>
      <c r="X34" s="843"/>
      <c r="Y34" s="843"/>
      <c r="Z34" s="844"/>
      <c r="AA34" s="848" t="s">
        <v>180</v>
      </c>
      <c r="AB34" s="849"/>
      <c r="AC34" s="849"/>
      <c r="AD34" s="850"/>
      <c r="AG34" s="87"/>
      <c r="AH34" s="87"/>
      <c r="AI34" s="87"/>
      <c r="AJ34" s="87"/>
      <c r="AK34" s="87"/>
      <c r="AL34" s="87"/>
      <c r="AM34" s="87"/>
      <c r="AN34" s="87"/>
      <c r="AO34" s="87"/>
    </row>
    <row r="35" spans="1:41" ht="164.25" customHeight="1" thickBot="1" x14ac:dyDescent="0.3">
      <c r="A35" s="706"/>
      <c r="B35" s="502"/>
      <c r="C35" s="91" t="s">
        <v>72</v>
      </c>
      <c r="D35" s="228">
        <f>D66</f>
        <v>6.3999999999999986E-3</v>
      </c>
      <c r="E35" s="221">
        <f t="shared" ref="E35:M35" si="1">E66</f>
        <v>1.8400000000000007E-2</v>
      </c>
      <c r="F35" s="221">
        <f t="shared" si="1"/>
        <v>2.1864000000000005E-2</v>
      </c>
      <c r="G35" s="221">
        <f t="shared" si="1"/>
        <v>2.1864000000000005E-2</v>
      </c>
      <c r="H35" s="221">
        <f t="shared" si="1"/>
        <v>2.1864000000000005E-2</v>
      </c>
      <c r="I35" s="221">
        <f t="shared" si="1"/>
        <v>2.2664000000000007E-2</v>
      </c>
      <c r="J35" s="221">
        <f t="shared" si="1"/>
        <v>2.1864000000000005E-2</v>
      </c>
      <c r="K35" s="221">
        <f t="shared" si="1"/>
        <v>2.1864000000000005E-2</v>
      </c>
      <c r="L35" s="221">
        <f t="shared" si="1"/>
        <v>2.1464E-2</v>
      </c>
      <c r="M35" s="221">
        <f t="shared" si="1"/>
        <v>2.1864000000000005E-2</v>
      </c>
      <c r="N35" s="273">
        <v>0</v>
      </c>
      <c r="O35" s="353">
        <v>0</v>
      </c>
      <c r="P35" s="222">
        <f>SUM(D35:O35)</f>
        <v>0.20011200000000004</v>
      </c>
      <c r="Q35" s="676"/>
      <c r="R35" s="676"/>
      <c r="S35" s="677"/>
      <c r="T35" s="868"/>
      <c r="U35" s="869"/>
      <c r="V35" s="870"/>
      <c r="W35" s="845"/>
      <c r="X35" s="846"/>
      <c r="Y35" s="846"/>
      <c r="Z35" s="847"/>
      <c r="AA35" s="851"/>
      <c r="AB35" s="852"/>
      <c r="AC35" s="852"/>
      <c r="AD35" s="853"/>
      <c r="AE35" s="49"/>
      <c r="AG35" s="87"/>
      <c r="AH35" s="87"/>
      <c r="AI35" s="87"/>
      <c r="AJ35" s="87"/>
      <c r="AK35" s="87"/>
      <c r="AL35" s="87"/>
      <c r="AM35" s="87"/>
      <c r="AN35" s="87"/>
      <c r="AO35" s="87"/>
    </row>
    <row r="36" spans="1:41" ht="26.1" customHeight="1" x14ac:dyDescent="0.25">
      <c r="A36" s="478" t="s">
        <v>73</v>
      </c>
      <c r="B36" s="799" t="s">
        <v>74</v>
      </c>
      <c r="C36" s="482" t="s">
        <v>75</v>
      </c>
      <c r="D36" s="799"/>
      <c r="E36" s="799"/>
      <c r="F36" s="799"/>
      <c r="G36" s="799"/>
      <c r="H36" s="799"/>
      <c r="I36" s="799"/>
      <c r="J36" s="799"/>
      <c r="K36" s="799"/>
      <c r="L36" s="799"/>
      <c r="M36" s="799"/>
      <c r="N36" s="799"/>
      <c r="O36" s="799"/>
      <c r="P36" s="689"/>
      <c r="Q36" s="484" t="s">
        <v>76</v>
      </c>
      <c r="R36" s="485"/>
      <c r="S36" s="485"/>
      <c r="T36" s="485"/>
      <c r="U36" s="485"/>
      <c r="V36" s="485"/>
      <c r="W36" s="485"/>
      <c r="X36" s="485"/>
      <c r="Y36" s="485"/>
      <c r="Z36" s="485"/>
      <c r="AA36" s="485"/>
      <c r="AB36" s="485"/>
      <c r="AC36" s="485"/>
      <c r="AD36" s="486"/>
      <c r="AG36" s="87"/>
      <c r="AH36" s="87"/>
      <c r="AI36" s="87"/>
      <c r="AJ36" s="87"/>
      <c r="AK36" s="87"/>
      <c r="AL36" s="87"/>
      <c r="AM36" s="87"/>
      <c r="AN36" s="87"/>
      <c r="AO36" s="87"/>
    </row>
    <row r="37" spans="1:41" ht="26.1" customHeight="1" x14ac:dyDescent="0.25">
      <c r="A37" s="479"/>
      <c r="B37" s="481"/>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531" t="s">
        <v>91</v>
      </c>
      <c r="R37" s="854"/>
      <c r="S37" s="854"/>
      <c r="T37" s="854"/>
      <c r="U37" s="854"/>
      <c r="V37" s="854"/>
      <c r="W37" s="854"/>
      <c r="X37" s="854"/>
      <c r="Y37" s="854"/>
      <c r="Z37" s="854"/>
      <c r="AA37" s="854"/>
      <c r="AB37" s="854"/>
      <c r="AC37" s="854"/>
      <c r="AD37" s="855"/>
      <c r="AG37" s="94"/>
      <c r="AH37" s="94"/>
      <c r="AI37" s="94"/>
      <c r="AJ37" s="94"/>
      <c r="AK37" s="94"/>
      <c r="AL37" s="94"/>
      <c r="AM37" s="94"/>
      <c r="AN37" s="94"/>
      <c r="AO37" s="94"/>
    </row>
    <row r="38" spans="1:41" ht="63.75" customHeight="1" x14ac:dyDescent="0.25">
      <c r="A38" s="827" t="s">
        <v>181</v>
      </c>
      <c r="B38" s="657">
        <v>0.05</v>
      </c>
      <c r="C38" s="188" t="s">
        <v>67</v>
      </c>
      <c r="D38" s="262">
        <v>0</v>
      </c>
      <c r="E38" s="268">
        <v>0.1</v>
      </c>
      <c r="F38" s="268">
        <v>9.5000000000000001E-2</v>
      </c>
      <c r="G38" s="268">
        <v>9.5000000000000001E-2</v>
      </c>
      <c r="H38" s="268">
        <v>9.5000000000000001E-2</v>
      </c>
      <c r="I38" s="268">
        <v>9.5000000000000001E-2</v>
      </c>
      <c r="J38" s="268">
        <v>9.5000000000000001E-2</v>
      </c>
      <c r="K38" s="268">
        <v>9.5000000000000001E-2</v>
      </c>
      <c r="L38" s="268">
        <v>9.5000000000000001E-2</v>
      </c>
      <c r="M38" s="268">
        <v>9.5000000000000001E-2</v>
      </c>
      <c r="N38" s="268">
        <v>0.09</v>
      </c>
      <c r="O38" s="268">
        <v>0.05</v>
      </c>
      <c r="P38" s="96">
        <f t="shared" ref="P38:P43" si="2">SUM(D38:O38)</f>
        <v>0.99999999999999989</v>
      </c>
      <c r="Q38" s="862" t="s">
        <v>182</v>
      </c>
      <c r="R38" s="863"/>
      <c r="S38" s="863"/>
      <c r="T38" s="863"/>
      <c r="U38" s="863"/>
      <c r="V38" s="863"/>
      <c r="W38" s="863"/>
      <c r="X38" s="863"/>
      <c r="Y38" s="863"/>
      <c r="Z38" s="863"/>
      <c r="AA38" s="863"/>
      <c r="AB38" s="863"/>
      <c r="AC38" s="863"/>
      <c r="AD38" s="863"/>
      <c r="AE38" s="368">
        <f>30+28+34+20+15+24+30+11+9+29+34+20+26+36+27+22+9+22+8+36+26</f>
        <v>496</v>
      </c>
      <c r="AF38" s="50">
        <f>36+26</f>
        <v>62</v>
      </c>
      <c r="AG38" s="98"/>
      <c r="AH38" s="98"/>
      <c r="AI38" s="98"/>
      <c r="AJ38" s="98"/>
      <c r="AK38" s="98"/>
      <c r="AL38" s="98"/>
      <c r="AM38" s="98"/>
      <c r="AN38" s="98"/>
      <c r="AO38" s="98"/>
    </row>
    <row r="39" spans="1:41" ht="63.75" customHeight="1" x14ac:dyDescent="0.25">
      <c r="A39" s="694"/>
      <c r="B39" s="492"/>
      <c r="C39" s="189" t="s">
        <v>72</v>
      </c>
      <c r="D39" s="256">
        <v>0</v>
      </c>
      <c r="E39" s="257">
        <v>0.05</v>
      </c>
      <c r="F39" s="257">
        <v>9.5000000000000001E-2</v>
      </c>
      <c r="G39" s="257">
        <v>9.5000000000000001E-2</v>
      </c>
      <c r="H39" s="257">
        <v>9.5000000000000001E-2</v>
      </c>
      <c r="I39" s="257">
        <v>0.1</v>
      </c>
      <c r="J39" s="257">
        <v>9.5000000000000001E-2</v>
      </c>
      <c r="K39" s="257">
        <v>9.5000000000000001E-2</v>
      </c>
      <c r="L39" s="257">
        <v>9.5000000000000001E-2</v>
      </c>
      <c r="M39" s="257">
        <f>+M38</f>
        <v>9.5000000000000001E-2</v>
      </c>
      <c r="N39" s="257">
        <f>+N38</f>
        <v>0.09</v>
      </c>
      <c r="O39" s="257"/>
      <c r="P39" s="101">
        <f>SUM(D39:O39)</f>
        <v>0.90499999999999992</v>
      </c>
      <c r="Q39" s="863"/>
      <c r="R39" s="863"/>
      <c r="S39" s="863"/>
      <c r="T39" s="863"/>
      <c r="U39" s="863"/>
      <c r="V39" s="863"/>
      <c r="W39" s="863"/>
      <c r="X39" s="863"/>
      <c r="Y39" s="863"/>
      <c r="Z39" s="863"/>
      <c r="AA39" s="863"/>
      <c r="AB39" s="863"/>
      <c r="AC39" s="863"/>
      <c r="AD39" s="863"/>
      <c r="AE39" s="97"/>
    </row>
    <row r="40" spans="1:41" ht="35.25" customHeight="1" x14ac:dyDescent="0.25">
      <c r="A40" s="693" t="s">
        <v>183</v>
      </c>
      <c r="B40" s="470">
        <v>0.05</v>
      </c>
      <c r="C40" s="190" t="s">
        <v>67</v>
      </c>
      <c r="D40" s="263">
        <v>0</v>
      </c>
      <c r="E40" s="246">
        <v>0.1</v>
      </c>
      <c r="F40" s="269">
        <v>9.5000000000000001E-2</v>
      </c>
      <c r="G40" s="269">
        <v>9.5000000000000001E-2</v>
      </c>
      <c r="H40" s="246">
        <v>9.5000000000000001E-2</v>
      </c>
      <c r="I40" s="246">
        <v>9.5000000000000001E-2</v>
      </c>
      <c r="J40" s="246">
        <v>9.5000000000000001E-2</v>
      </c>
      <c r="K40" s="246">
        <v>9.5000000000000001E-2</v>
      </c>
      <c r="L40" s="246">
        <v>9.5000000000000001E-2</v>
      </c>
      <c r="M40" s="246">
        <v>9.5000000000000001E-2</v>
      </c>
      <c r="N40" s="246">
        <v>0.09</v>
      </c>
      <c r="O40" s="246">
        <v>0.05</v>
      </c>
      <c r="P40" s="224">
        <f t="shared" si="2"/>
        <v>0.99999999999999989</v>
      </c>
      <c r="Q40" s="856" t="s">
        <v>184</v>
      </c>
      <c r="R40" s="806"/>
      <c r="S40" s="806"/>
      <c r="T40" s="806"/>
      <c r="U40" s="806"/>
      <c r="V40" s="806"/>
      <c r="W40" s="806"/>
      <c r="X40" s="806"/>
      <c r="Y40" s="806"/>
      <c r="Z40" s="806"/>
      <c r="AA40" s="806"/>
      <c r="AB40" s="806"/>
      <c r="AC40" s="806"/>
      <c r="AD40" s="807"/>
      <c r="AE40" s="97"/>
    </row>
    <row r="41" spans="1:41" ht="35.25" customHeight="1" x14ac:dyDescent="0.25">
      <c r="A41" s="694"/>
      <c r="B41" s="492"/>
      <c r="C41" s="189" t="s">
        <v>72</v>
      </c>
      <c r="D41" s="256">
        <v>0</v>
      </c>
      <c r="E41" s="257">
        <v>0.1</v>
      </c>
      <c r="F41" s="257">
        <v>9.5000000000000001E-2</v>
      </c>
      <c r="G41" s="257">
        <v>9.5000000000000001E-2</v>
      </c>
      <c r="H41" s="257">
        <v>9.5000000000000001E-2</v>
      </c>
      <c r="I41" s="257">
        <v>0.1</v>
      </c>
      <c r="J41" s="257">
        <v>9.5000000000000001E-2</v>
      </c>
      <c r="K41" s="257">
        <v>9.5000000000000001E-2</v>
      </c>
      <c r="L41" s="257">
        <v>0.09</v>
      </c>
      <c r="M41" s="257">
        <f>+M40</f>
        <v>9.5000000000000001E-2</v>
      </c>
      <c r="N41" s="421" t="s">
        <v>48</v>
      </c>
      <c r="O41" s="257" t="s">
        <v>48</v>
      </c>
      <c r="P41" s="224">
        <f t="shared" si="2"/>
        <v>0.85999999999999988</v>
      </c>
      <c r="Q41" s="806"/>
      <c r="R41" s="806"/>
      <c r="S41" s="806"/>
      <c r="T41" s="806"/>
      <c r="U41" s="806"/>
      <c r="V41" s="806"/>
      <c r="W41" s="806"/>
      <c r="X41" s="806"/>
      <c r="Y41" s="806"/>
      <c r="Z41" s="806"/>
      <c r="AA41" s="806"/>
      <c r="AB41" s="806"/>
      <c r="AC41" s="806"/>
      <c r="AD41" s="807"/>
      <c r="AE41" s="97"/>
    </row>
    <row r="42" spans="1:41" ht="116.25" customHeight="1" x14ac:dyDescent="0.25">
      <c r="A42" s="701" t="s">
        <v>185</v>
      </c>
      <c r="B42" s="657">
        <v>0.05</v>
      </c>
      <c r="C42" s="190" t="s">
        <v>67</v>
      </c>
      <c r="D42" s="263">
        <v>0.08</v>
      </c>
      <c r="E42" s="246">
        <v>0.08</v>
      </c>
      <c r="F42" s="269">
        <v>8.3299999999999999E-2</v>
      </c>
      <c r="G42" s="269">
        <v>8.3299999999999999E-2</v>
      </c>
      <c r="H42" s="246">
        <v>8.3299999999999999E-2</v>
      </c>
      <c r="I42" s="246">
        <v>8.3299999999999999E-2</v>
      </c>
      <c r="J42" s="246">
        <v>8.3299999999999999E-2</v>
      </c>
      <c r="K42" s="246">
        <v>8.3299999999999999E-2</v>
      </c>
      <c r="L42" s="246">
        <v>8.3299999999999999E-2</v>
      </c>
      <c r="M42" s="246">
        <v>8.3299999999999999E-2</v>
      </c>
      <c r="N42" s="246">
        <v>8.3299999999999999E-2</v>
      </c>
      <c r="O42" s="246">
        <v>9.0300000000000005E-2</v>
      </c>
      <c r="P42" s="224">
        <f t="shared" si="2"/>
        <v>1.0000000000000002</v>
      </c>
      <c r="Q42" s="857" t="s">
        <v>186</v>
      </c>
      <c r="R42" s="858"/>
      <c r="S42" s="858"/>
      <c r="T42" s="858"/>
      <c r="U42" s="858"/>
      <c r="V42" s="858"/>
      <c r="W42" s="858"/>
      <c r="X42" s="858"/>
      <c r="Y42" s="858"/>
      <c r="Z42" s="858"/>
      <c r="AA42" s="858"/>
      <c r="AB42" s="858"/>
      <c r="AC42" s="858"/>
      <c r="AD42" s="859"/>
      <c r="AE42" s="97"/>
    </row>
    <row r="43" spans="1:41" ht="116.25" customHeight="1" x14ac:dyDescent="0.25">
      <c r="A43" s="702"/>
      <c r="B43" s="471"/>
      <c r="C43" s="238" t="s">
        <v>72</v>
      </c>
      <c r="D43" s="261">
        <v>0.08</v>
      </c>
      <c r="E43" s="248">
        <v>0.08</v>
      </c>
      <c r="F43" s="248">
        <v>8.3299999999999999E-2</v>
      </c>
      <c r="G43" s="248">
        <v>8.3299999999999999E-2</v>
      </c>
      <c r="H43" s="248">
        <v>8.3299999999999999E-2</v>
      </c>
      <c r="I43" s="248">
        <v>8.3299999999999999E-2</v>
      </c>
      <c r="J43" s="248">
        <v>8.3299999999999999E-2</v>
      </c>
      <c r="K43" s="248">
        <v>8.3299999999999999E-2</v>
      </c>
      <c r="L43" s="248">
        <v>8.3299999999999999E-2</v>
      </c>
      <c r="M43" s="248">
        <f>+M42</f>
        <v>8.3299999999999999E-2</v>
      </c>
      <c r="N43" s="427">
        <f>+N42</f>
        <v>8.3299999999999999E-2</v>
      </c>
      <c r="O43" s="248" t="s">
        <v>48</v>
      </c>
      <c r="P43" s="225">
        <f t="shared" si="2"/>
        <v>0.90970000000000018</v>
      </c>
      <c r="Q43" s="860"/>
      <c r="R43" s="860"/>
      <c r="S43" s="860"/>
      <c r="T43" s="860"/>
      <c r="U43" s="860"/>
      <c r="V43" s="860"/>
      <c r="W43" s="860"/>
      <c r="X43" s="860"/>
      <c r="Y43" s="860"/>
      <c r="Z43" s="860"/>
      <c r="AA43" s="860"/>
      <c r="AB43" s="860"/>
      <c r="AC43" s="860"/>
      <c r="AD43" s="861"/>
      <c r="AE43" s="97"/>
    </row>
    <row r="44" spans="1:41" x14ac:dyDescent="0.25">
      <c r="A44" s="50" t="s">
        <v>96</v>
      </c>
    </row>
    <row r="55" spans="1:30" x14ac:dyDescent="0.25">
      <c r="A55" s="454" t="s">
        <v>97</v>
      </c>
      <c r="B55" s="456" t="s">
        <v>74</v>
      </c>
      <c r="C55" s="458" t="s">
        <v>75</v>
      </c>
      <c r="D55" s="459"/>
      <c r="E55" s="459"/>
      <c r="F55" s="459"/>
      <c r="G55" s="459"/>
      <c r="H55" s="459"/>
      <c r="I55" s="459"/>
      <c r="J55" s="459"/>
      <c r="K55" s="459"/>
      <c r="L55" s="459"/>
      <c r="M55" s="459"/>
      <c r="N55" s="459"/>
      <c r="O55" s="459"/>
      <c r="P55" s="460"/>
      <c r="Q55" s="191"/>
      <c r="R55" s="191"/>
      <c r="S55" s="192"/>
      <c r="T55" s="192"/>
      <c r="U55" s="192"/>
      <c r="V55" s="192"/>
      <c r="W55" s="192"/>
      <c r="X55" s="192"/>
      <c r="Y55" s="192"/>
      <c r="Z55" s="192"/>
      <c r="AA55" s="192"/>
      <c r="AB55" s="192"/>
      <c r="AC55" s="192"/>
      <c r="AD55" s="192"/>
    </row>
    <row r="56" spans="1:30" ht="21" x14ac:dyDescent="0.25">
      <c r="A56" s="455"/>
      <c r="B56" s="457"/>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461" t="str">
        <f>A38</f>
        <v>9. Implementar el componente de formación para cuidadoras</v>
      </c>
      <c r="B57" s="463">
        <f>B38</f>
        <v>0.05</v>
      </c>
      <c r="C57" s="194" t="s">
        <v>67</v>
      </c>
      <c r="D57" s="195">
        <f>D38*$B$38/$P$38</f>
        <v>0</v>
      </c>
      <c r="E57" s="195">
        <f t="shared" ref="D57:O58" si="3">E38*$B$38/$P$38</f>
        <v>5.0000000000000018E-3</v>
      </c>
      <c r="F57" s="195">
        <f t="shared" si="3"/>
        <v>4.7500000000000016E-3</v>
      </c>
      <c r="G57" s="195">
        <f t="shared" si="3"/>
        <v>4.7500000000000016E-3</v>
      </c>
      <c r="H57" s="195">
        <f t="shared" si="3"/>
        <v>4.7500000000000016E-3</v>
      </c>
      <c r="I57" s="195">
        <f t="shared" si="3"/>
        <v>4.7500000000000016E-3</v>
      </c>
      <c r="J57" s="195">
        <f t="shared" si="3"/>
        <v>4.7500000000000016E-3</v>
      </c>
      <c r="K57" s="195">
        <f t="shared" si="3"/>
        <v>4.7500000000000016E-3</v>
      </c>
      <c r="L57" s="195">
        <f t="shared" si="3"/>
        <v>4.7500000000000016E-3</v>
      </c>
      <c r="M57" s="195">
        <f t="shared" si="3"/>
        <v>4.7500000000000016E-3</v>
      </c>
      <c r="N57" s="195">
        <f t="shared" si="3"/>
        <v>4.5000000000000005E-3</v>
      </c>
      <c r="O57" s="195">
        <f t="shared" si="3"/>
        <v>2.5000000000000009E-3</v>
      </c>
      <c r="P57" s="196">
        <f t="shared" ref="P57:P62" si="4">SUM(D57:O57)</f>
        <v>5.0000000000000017E-2</v>
      </c>
      <c r="Q57" s="197">
        <v>0.05</v>
      </c>
      <c r="R57" s="198">
        <f t="shared" ref="R57:R65" si="5">+P57-Q57</f>
        <v>0</v>
      </c>
      <c r="S57" s="192"/>
      <c r="T57" s="192"/>
      <c r="U57" s="192"/>
      <c r="V57" s="192"/>
      <c r="W57" s="192"/>
      <c r="X57" s="192"/>
      <c r="Y57" s="192"/>
      <c r="Z57" s="192"/>
      <c r="AA57" s="192"/>
      <c r="AB57" s="192"/>
      <c r="AC57" s="192"/>
      <c r="AD57" s="192"/>
    </row>
    <row r="58" spans="1:30" x14ac:dyDescent="0.25">
      <c r="A58" s="462"/>
      <c r="B58" s="464"/>
      <c r="C58" s="199" t="s">
        <v>72</v>
      </c>
      <c r="D58" s="200">
        <f t="shared" si="3"/>
        <v>0</v>
      </c>
      <c r="E58" s="200">
        <f t="shared" si="3"/>
        <v>2.5000000000000009E-3</v>
      </c>
      <c r="F58" s="200">
        <f t="shared" si="3"/>
        <v>4.7500000000000016E-3</v>
      </c>
      <c r="G58" s="200">
        <f t="shared" si="3"/>
        <v>4.7500000000000016E-3</v>
      </c>
      <c r="H58" s="200">
        <f t="shared" si="3"/>
        <v>4.7500000000000016E-3</v>
      </c>
      <c r="I58" s="200">
        <f t="shared" si="3"/>
        <v>5.0000000000000018E-3</v>
      </c>
      <c r="J58" s="200">
        <f t="shared" si="3"/>
        <v>4.7500000000000016E-3</v>
      </c>
      <c r="K58" s="200">
        <f t="shared" si="3"/>
        <v>4.7500000000000016E-3</v>
      </c>
      <c r="L58" s="200">
        <f t="shared" si="3"/>
        <v>4.7500000000000016E-3</v>
      </c>
      <c r="M58" s="200">
        <f t="shared" si="3"/>
        <v>4.7500000000000016E-3</v>
      </c>
      <c r="N58" s="200">
        <f t="shared" si="3"/>
        <v>4.5000000000000005E-3</v>
      </c>
      <c r="O58" s="200">
        <f t="shared" si="3"/>
        <v>0</v>
      </c>
      <c r="P58" s="201">
        <f t="shared" si="4"/>
        <v>4.5250000000000012E-2</v>
      </c>
      <c r="Q58" s="202">
        <f>+P58</f>
        <v>4.5250000000000012E-2</v>
      </c>
      <c r="R58" s="198">
        <f t="shared" si="5"/>
        <v>0</v>
      </c>
      <c r="S58" s="192"/>
      <c r="T58" s="192"/>
      <c r="U58" s="192"/>
      <c r="V58" s="192"/>
      <c r="W58" s="192"/>
      <c r="X58" s="192"/>
      <c r="Y58" s="192"/>
      <c r="Z58" s="192"/>
      <c r="AA58" s="192"/>
      <c r="AB58" s="192"/>
      <c r="AC58" s="192"/>
      <c r="AD58" s="192"/>
    </row>
    <row r="59" spans="1:30" x14ac:dyDescent="0.25">
      <c r="A59" s="461" t="str">
        <f>A40</f>
        <v xml:space="preserve">10. Implementar el componente de orientación psicojurídica para cuidadoras </v>
      </c>
      <c r="B59" s="466">
        <f>B40</f>
        <v>0.05</v>
      </c>
      <c r="C59" s="194" t="s">
        <v>67</v>
      </c>
      <c r="D59" s="195">
        <f t="shared" ref="D59:O60" si="6">D40*$B$40/$P$40</f>
        <v>0</v>
      </c>
      <c r="E59" s="195">
        <f t="shared" si="6"/>
        <v>5.0000000000000018E-3</v>
      </c>
      <c r="F59" s="195">
        <f t="shared" si="6"/>
        <v>4.7500000000000016E-3</v>
      </c>
      <c r="G59" s="195">
        <f t="shared" si="6"/>
        <v>4.7500000000000016E-3</v>
      </c>
      <c r="H59" s="195">
        <f t="shared" si="6"/>
        <v>4.7500000000000016E-3</v>
      </c>
      <c r="I59" s="195">
        <f t="shared" si="6"/>
        <v>4.7500000000000016E-3</v>
      </c>
      <c r="J59" s="195">
        <f t="shared" si="6"/>
        <v>4.7500000000000016E-3</v>
      </c>
      <c r="K59" s="195">
        <f t="shared" si="6"/>
        <v>4.7500000000000016E-3</v>
      </c>
      <c r="L59" s="195">
        <f t="shared" si="6"/>
        <v>4.7500000000000016E-3</v>
      </c>
      <c r="M59" s="195">
        <f t="shared" si="6"/>
        <v>4.7500000000000016E-3</v>
      </c>
      <c r="N59" s="195">
        <f t="shared" si="6"/>
        <v>4.5000000000000005E-3</v>
      </c>
      <c r="O59" s="195">
        <f t="shared" si="6"/>
        <v>2.5000000000000009E-3</v>
      </c>
      <c r="P59" s="196">
        <f t="shared" si="4"/>
        <v>5.0000000000000017E-2</v>
      </c>
      <c r="Q59" s="197">
        <v>2.5000000000000001E-2</v>
      </c>
      <c r="R59" s="198">
        <f t="shared" si="5"/>
        <v>2.5000000000000015E-2</v>
      </c>
      <c r="S59" s="192"/>
      <c r="T59" s="192"/>
      <c r="U59" s="192"/>
      <c r="V59" s="192"/>
      <c r="W59" s="192"/>
      <c r="X59" s="192"/>
      <c r="Y59" s="192"/>
      <c r="Z59" s="192"/>
      <c r="AA59" s="192"/>
      <c r="AB59" s="192"/>
      <c r="AC59" s="192"/>
      <c r="AD59" s="192"/>
    </row>
    <row r="60" spans="1:30" x14ac:dyDescent="0.25">
      <c r="A60" s="465"/>
      <c r="B60" s="467"/>
      <c r="C60" s="199" t="s">
        <v>72</v>
      </c>
      <c r="D60" s="200">
        <f t="shared" si="6"/>
        <v>0</v>
      </c>
      <c r="E60" s="200">
        <f t="shared" si="6"/>
        <v>5.0000000000000018E-3</v>
      </c>
      <c r="F60" s="200">
        <f t="shared" si="6"/>
        <v>4.7500000000000016E-3</v>
      </c>
      <c r="G60" s="200">
        <f t="shared" si="6"/>
        <v>4.7500000000000016E-3</v>
      </c>
      <c r="H60" s="200">
        <f t="shared" si="6"/>
        <v>4.7500000000000016E-3</v>
      </c>
      <c r="I60" s="200">
        <f t="shared" si="6"/>
        <v>5.0000000000000018E-3</v>
      </c>
      <c r="J60" s="200">
        <f t="shared" si="6"/>
        <v>4.7500000000000016E-3</v>
      </c>
      <c r="K60" s="200">
        <f t="shared" si="6"/>
        <v>4.7500000000000016E-3</v>
      </c>
      <c r="L60" s="200">
        <f t="shared" si="6"/>
        <v>4.5000000000000005E-3</v>
      </c>
      <c r="M60" s="200">
        <f t="shared" si="6"/>
        <v>4.7500000000000016E-3</v>
      </c>
      <c r="N60" s="200" t="e">
        <f t="shared" si="6"/>
        <v>#VALUE!</v>
      </c>
      <c r="O60" s="200" t="e">
        <f t="shared" si="6"/>
        <v>#VALUE!</v>
      </c>
      <c r="P60" s="201" t="e">
        <f t="shared" si="4"/>
        <v>#VALUE!</v>
      </c>
      <c r="Q60" s="202" t="e">
        <f>+P60</f>
        <v>#VALUE!</v>
      </c>
      <c r="R60" s="198" t="e">
        <f t="shared" si="5"/>
        <v>#VALUE!</v>
      </c>
      <c r="S60" s="192"/>
      <c r="T60" s="192"/>
      <c r="U60" s="192"/>
      <c r="V60" s="192"/>
      <c r="W60" s="192"/>
      <c r="X60" s="192"/>
      <c r="Y60" s="192"/>
      <c r="Z60" s="192"/>
      <c r="AA60" s="192"/>
      <c r="AB60" s="192"/>
      <c r="AC60" s="192"/>
      <c r="AD60" s="192"/>
    </row>
    <row r="61" spans="1:30" x14ac:dyDescent="0.25">
      <c r="A61" s="461" t="str">
        <f>A42</f>
        <v xml:space="preserve">11. Implementar, monitorear y hacer seguimiento al Plan Integral de Acciones Afirmativas </v>
      </c>
      <c r="B61" s="466">
        <f>B42</f>
        <v>0.05</v>
      </c>
      <c r="C61" s="194" t="s">
        <v>67</v>
      </c>
      <c r="D61" s="195">
        <f t="shared" ref="D61:O62" si="7">D42*$B$42/$P$42</f>
        <v>3.9999999999999992E-3</v>
      </c>
      <c r="E61" s="195">
        <f t="shared" si="7"/>
        <v>3.9999999999999992E-3</v>
      </c>
      <c r="F61" s="195">
        <f t="shared" si="7"/>
        <v>4.1649999999999994E-3</v>
      </c>
      <c r="G61" s="195">
        <f t="shared" si="7"/>
        <v>4.1649999999999994E-3</v>
      </c>
      <c r="H61" s="195">
        <f t="shared" si="7"/>
        <v>4.1649999999999994E-3</v>
      </c>
      <c r="I61" s="195">
        <f t="shared" si="7"/>
        <v>4.1649999999999994E-3</v>
      </c>
      <c r="J61" s="195">
        <f t="shared" si="7"/>
        <v>4.1649999999999994E-3</v>
      </c>
      <c r="K61" s="195">
        <f t="shared" si="7"/>
        <v>4.1649999999999994E-3</v>
      </c>
      <c r="L61" s="195">
        <f t="shared" si="7"/>
        <v>4.1649999999999994E-3</v>
      </c>
      <c r="M61" s="195">
        <f t="shared" si="7"/>
        <v>4.1649999999999994E-3</v>
      </c>
      <c r="N61" s="195">
        <f t="shared" si="7"/>
        <v>4.1649999999999994E-3</v>
      </c>
      <c r="O61" s="195">
        <f t="shared" si="7"/>
        <v>4.5149999999999999E-3</v>
      </c>
      <c r="P61" s="196">
        <f t="shared" si="4"/>
        <v>4.9999999999999996E-2</v>
      </c>
      <c r="Q61" s="197">
        <v>2.5000000000000001E-2</v>
      </c>
      <c r="R61" s="198">
        <f t="shared" si="5"/>
        <v>2.4999999999999994E-2</v>
      </c>
      <c r="S61" s="192"/>
      <c r="T61" s="192"/>
      <c r="U61" s="192"/>
      <c r="V61" s="192"/>
      <c r="W61" s="192"/>
      <c r="X61" s="192"/>
      <c r="Y61" s="192"/>
      <c r="Z61" s="192"/>
      <c r="AA61" s="192"/>
      <c r="AB61" s="192"/>
      <c r="AC61" s="192"/>
      <c r="AD61" s="192"/>
    </row>
    <row r="62" spans="1:30" x14ac:dyDescent="0.25">
      <c r="A62" s="465"/>
      <c r="B62" s="467"/>
      <c r="C62" s="199" t="s">
        <v>72</v>
      </c>
      <c r="D62" s="200">
        <f t="shared" si="7"/>
        <v>3.9999999999999992E-3</v>
      </c>
      <c r="E62" s="200">
        <f t="shared" si="7"/>
        <v>3.9999999999999992E-3</v>
      </c>
      <c r="F62" s="200">
        <f t="shared" si="7"/>
        <v>4.1649999999999994E-3</v>
      </c>
      <c r="G62" s="200">
        <f t="shared" si="7"/>
        <v>4.1649999999999994E-3</v>
      </c>
      <c r="H62" s="200">
        <f t="shared" si="7"/>
        <v>4.1649999999999994E-3</v>
      </c>
      <c r="I62" s="200">
        <f t="shared" si="7"/>
        <v>4.1649999999999994E-3</v>
      </c>
      <c r="J62" s="200">
        <f t="shared" si="7"/>
        <v>4.1649999999999994E-3</v>
      </c>
      <c r="K62" s="200">
        <f t="shared" si="7"/>
        <v>4.1649999999999994E-3</v>
      </c>
      <c r="L62" s="200">
        <f t="shared" si="7"/>
        <v>4.1649999999999994E-3</v>
      </c>
      <c r="M62" s="200">
        <f t="shared" si="7"/>
        <v>4.1649999999999994E-3</v>
      </c>
      <c r="N62" s="200">
        <f t="shared" si="7"/>
        <v>4.1649999999999994E-3</v>
      </c>
      <c r="O62" s="200" t="e">
        <f t="shared" si="7"/>
        <v>#VALUE!</v>
      </c>
      <c r="P62" s="201" t="e">
        <f t="shared" si="4"/>
        <v>#VALUE!</v>
      </c>
      <c r="Q62" s="202" t="e">
        <f>+P62</f>
        <v>#VALUE!</v>
      </c>
      <c r="R62" s="198" t="e">
        <f t="shared" si="5"/>
        <v>#VALUE!</v>
      </c>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D58+D60+D62</f>
        <v>3.9999999999999992E-3</v>
      </c>
      <c r="E65" s="213">
        <f t="shared" ref="E65:O65" si="8">E58+E60+E62</f>
        <v>1.1500000000000003E-2</v>
      </c>
      <c r="F65" s="213">
        <f t="shared" si="8"/>
        <v>1.3665000000000004E-2</v>
      </c>
      <c r="G65" s="213">
        <f t="shared" si="8"/>
        <v>1.3665000000000004E-2</v>
      </c>
      <c r="H65" s="213">
        <f t="shared" si="8"/>
        <v>1.3665000000000004E-2</v>
      </c>
      <c r="I65" s="213">
        <f t="shared" si="8"/>
        <v>1.4165000000000004E-2</v>
      </c>
      <c r="J65" s="213">
        <f t="shared" si="8"/>
        <v>1.3665000000000004E-2</v>
      </c>
      <c r="K65" s="213">
        <f t="shared" si="8"/>
        <v>1.3665000000000004E-2</v>
      </c>
      <c r="L65" s="213">
        <f t="shared" si="8"/>
        <v>1.3415E-2</v>
      </c>
      <c r="M65" s="213">
        <f t="shared" si="8"/>
        <v>1.3665000000000004E-2</v>
      </c>
      <c r="N65" s="213" t="e">
        <f t="shared" si="8"/>
        <v>#VALUE!</v>
      </c>
      <c r="O65" s="213" t="e">
        <f t="shared" si="8"/>
        <v>#VALUE!</v>
      </c>
      <c r="P65" s="213" t="e">
        <f>P58+P60+P62</f>
        <v>#VALUE!</v>
      </c>
      <c r="Q65" s="191"/>
      <c r="R65" s="198" t="e">
        <f t="shared" si="5"/>
        <v>#VALUE!</v>
      </c>
      <c r="S65" s="192"/>
      <c r="T65" s="192"/>
      <c r="U65" s="192"/>
      <c r="V65" s="192"/>
      <c r="W65" s="192"/>
      <c r="X65" s="192"/>
      <c r="Y65" s="192"/>
      <c r="Z65" s="192"/>
      <c r="AA65" s="192"/>
      <c r="AB65" s="192"/>
      <c r="AC65" s="192"/>
      <c r="AD65" s="192"/>
    </row>
    <row r="66" spans="1:30" x14ac:dyDescent="0.25">
      <c r="A66" s="191"/>
      <c r="B66" s="214"/>
      <c r="C66" s="215" t="s">
        <v>72</v>
      </c>
      <c r="D66" s="216">
        <f t="shared" ref="D66:O66" si="9">D65*$W$17/$B$34</f>
        <v>6.3999999999999986E-3</v>
      </c>
      <c r="E66" s="216">
        <f t="shared" si="9"/>
        <v>1.8400000000000007E-2</v>
      </c>
      <c r="F66" s="216">
        <f t="shared" si="9"/>
        <v>2.1864000000000005E-2</v>
      </c>
      <c r="G66" s="216">
        <f t="shared" si="9"/>
        <v>2.1864000000000005E-2</v>
      </c>
      <c r="H66" s="216">
        <f t="shared" si="9"/>
        <v>2.1864000000000005E-2</v>
      </c>
      <c r="I66" s="216">
        <f t="shared" si="9"/>
        <v>2.2664000000000007E-2</v>
      </c>
      <c r="J66" s="216">
        <f t="shared" si="9"/>
        <v>2.1864000000000005E-2</v>
      </c>
      <c r="K66" s="216">
        <f t="shared" si="9"/>
        <v>2.1864000000000005E-2</v>
      </c>
      <c r="L66" s="216">
        <f t="shared" si="9"/>
        <v>2.1464E-2</v>
      </c>
      <c r="M66" s="216">
        <f t="shared" si="9"/>
        <v>2.1864000000000005E-2</v>
      </c>
      <c r="N66" s="216" t="e">
        <f t="shared" si="9"/>
        <v>#VALUE!</v>
      </c>
      <c r="O66" s="216" t="e">
        <f t="shared" si="9"/>
        <v>#VALUE!</v>
      </c>
      <c r="P66" s="217" t="e">
        <f>SUM(D66:O66)</f>
        <v>#VALUE!</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 t="shared" ref="D68:P68" si="10">+D57+D59+D61</f>
        <v>3.9999999999999992E-3</v>
      </c>
      <c r="E68" s="213">
        <f t="shared" si="10"/>
        <v>1.4000000000000002E-2</v>
      </c>
      <c r="F68" s="213">
        <f t="shared" si="10"/>
        <v>1.3665000000000004E-2</v>
      </c>
      <c r="G68" s="213">
        <f t="shared" si="10"/>
        <v>1.3665000000000004E-2</v>
      </c>
      <c r="H68" s="213">
        <f t="shared" si="10"/>
        <v>1.3665000000000004E-2</v>
      </c>
      <c r="I68" s="213">
        <f t="shared" si="10"/>
        <v>1.3665000000000004E-2</v>
      </c>
      <c r="J68" s="213">
        <f t="shared" si="10"/>
        <v>1.3665000000000004E-2</v>
      </c>
      <c r="K68" s="213">
        <f t="shared" si="10"/>
        <v>1.3665000000000004E-2</v>
      </c>
      <c r="L68" s="213">
        <f t="shared" si="10"/>
        <v>1.3665000000000004E-2</v>
      </c>
      <c r="M68" s="213">
        <f t="shared" si="10"/>
        <v>1.3665000000000004E-2</v>
      </c>
      <c r="N68" s="213">
        <f t="shared" si="10"/>
        <v>1.3165E-2</v>
      </c>
      <c r="O68" s="213">
        <f t="shared" si="10"/>
        <v>9.5150000000000026E-3</v>
      </c>
      <c r="P68" s="213">
        <f t="shared" si="10"/>
        <v>0.15000000000000002</v>
      </c>
      <c r="Q68" s="197"/>
      <c r="R68" s="197"/>
      <c r="S68" s="192"/>
      <c r="T68" s="192"/>
      <c r="U68" s="192"/>
      <c r="V68" s="192"/>
      <c r="W68" s="192"/>
      <c r="X68" s="192"/>
      <c r="Y68" s="192"/>
      <c r="Z68" s="192"/>
      <c r="AA68" s="192"/>
      <c r="AB68" s="192"/>
      <c r="AC68" s="192"/>
      <c r="AD68" s="192"/>
    </row>
    <row r="69" spans="1:30" x14ac:dyDescent="0.25">
      <c r="A69" s="197"/>
      <c r="B69" s="108"/>
      <c r="C69" s="215" t="s">
        <v>67</v>
      </c>
      <c r="D69" s="216">
        <f t="shared" ref="D69:O69" si="11">D68*$W$17/$B$34</f>
        <v>6.3999999999999986E-3</v>
      </c>
      <c r="E69" s="216">
        <f t="shared" si="11"/>
        <v>2.2400000000000003E-2</v>
      </c>
      <c r="F69" s="216">
        <f t="shared" si="11"/>
        <v>2.1864000000000005E-2</v>
      </c>
      <c r="G69" s="216">
        <f t="shared" si="11"/>
        <v>2.1864000000000005E-2</v>
      </c>
      <c r="H69" s="216">
        <f t="shared" si="11"/>
        <v>2.1864000000000005E-2</v>
      </c>
      <c r="I69" s="216">
        <f t="shared" si="11"/>
        <v>2.1864000000000005E-2</v>
      </c>
      <c r="J69" s="216">
        <f t="shared" si="11"/>
        <v>2.1864000000000005E-2</v>
      </c>
      <c r="K69" s="216">
        <f t="shared" si="11"/>
        <v>2.1864000000000005E-2</v>
      </c>
      <c r="L69" s="216">
        <f t="shared" si="11"/>
        <v>2.1864000000000005E-2</v>
      </c>
      <c r="M69" s="216">
        <f t="shared" si="11"/>
        <v>2.1864000000000005E-2</v>
      </c>
      <c r="N69" s="216">
        <f t="shared" si="11"/>
        <v>2.1063999999999999E-2</v>
      </c>
      <c r="O69" s="216">
        <f t="shared" si="11"/>
        <v>1.5224000000000005E-2</v>
      </c>
      <c r="P69" s="217">
        <f>SUM(D69:O69)</f>
        <v>0.24000000000000002</v>
      </c>
      <c r="Q69" s="197"/>
      <c r="R69" s="197"/>
      <c r="S69" s="192"/>
      <c r="T69" s="192"/>
      <c r="U69" s="192"/>
      <c r="V69" s="192"/>
      <c r="W69" s="192"/>
      <c r="X69" s="192"/>
      <c r="Y69" s="192"/>
      <c r="Z69" s="192"/>
      <c r="AA69" s="192"/>
      <c r="AB69" s="192"/>
      <c r="AC69" s="192"/>
      <c r="AD69" s="192"/>
    </row>
  </sheetData>
  <mergeCells count="89">
    <mergeCell ref="AF22:AM25"/>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 ref="A61:A62"/>
    <mergeCell ref="B61:B62"/>
    <mergeCell ref="C55:P55"/>
    <mergeCell ref="A55:A56"/>
    <mergeCell ref="B55:B56"/>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W34 Q38:AD43"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3DD8B0F5-85E4-4415-976B-4D6D072AB433}"/>
  </dataValidations>
  <pageMargins left="0.25" right="0.25" top="0.75" bottom="0.75" header="0.3" footer="0.3"/>
  <pageSetup scale="22"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AO72"/>
  <sheetViews>
    <sheetView showGridLines="0" topLeftCell="A19" zoomScale="55" zoomScaleNormal="55" workbookViewId="0">
      <selection activeCell="M24" sqref="M2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19.28515625" style="50" customWidth="1"/>
    <col min="20" max="22" width="30.425781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89"/>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1"/>
      <c r="AB1" s="566" t="s">
        <v>1</v>
      </c>
      <c r="AC1" s="567"/>
      <c r="AD1" s="568"/>
    </row>
    <row r="2" spans="1:30" ht="30.75" customHeight="1" thickBot="1" x14ac:dyDescent="0.3">
      <c r="A2" s="590"/>
      <c r="B2" s="569" t="s">
        <v>2</v>
      </c>
      <c r="C2" s="570"/>
      <c r="D2" s="570"/>
      <c r="E2" s="570"/>
      <c r="F2" s="570"/>
      <c r="G2" s="570"/>
      <c r="H2" s="570"/>
      <c r="I2" s="570"/>
      <c r="J2" s="570"/>
      <c r="K2" s="570"/>
      <c r="L2" s="570"/>
      <c r="M2" s="570"/>
      <c r="N2" s="570"/>
      <c r="O2" s="570"/>
      <c r="P2" s="570"/>
      <c r="Q2" s="570"/>
      <c r="R2" s="570"/>
      <c r="S2" s="570"/>
      <c r="T2" s="570"/>
      <c r="U2" s="570"/>
      <c r="V2" s="570"/>
      <c r="W2" s="570"/>
      <c r="X2" s="570"/>
      <c r="Y2" s="570"/>
      <c r="Z2" s="570"/>
      <c r="AA2" s="571"/>
      <c r="AB2" s="572" t="s">
        <v>3</v>
      </c>
      <c r="AC2" s="573"/>
      <c r="AD2" s="574"/>
    </row>
    <row r="3" spans="1:30" ht="24" customHeight="1" x14ac:dyDescent="0.25">
      <c r="A3" s="590"/>
      <c r="B3" s="575" t="s">
        <v>4</v>
      </c>
      <c r="C3" s="576"/>
      <c r="D3" s="576"/>
      <c r="E3" s="576"/>
      <c r="F3" s="576"/>
      <c r="G3" s="576"/>
      <c r="H3" s="576"/>
      <c r="I3" s="576"/>
      <c r="J3" s="576"/>
      <c r="K3" s="576"/>
      <c r="L3" s="576"/>
      <c r="M3" s="576"/>
      <c r="N3" s="576"/>
      <c r="O3" s="576"/>
      <c r="P3" s="576"/>
      <c r="Q3" s="576"/>
      <c r="R3" s="576"/>
      <c r="S3" s="576"/>
      <c r="T3" s="576"/>
      <c r="U3" s="576"/>
      <c r="V3" s="576"/>
      <c r="W3" s="576"/>
      <c r="X3" s="576"/>
      <c r="Y3" s="576"/>
      <c r="Z3" s="576"/>
      <c r="AA3" s="577"/>
      <c r="AB3" s="572" t="s">
        <v>5</v>
      </c>
      <c r="AC3" s="573"/>
      <c r="AD3" s="574"/>
    </row>
    <row r="4" spans="1:30" ht="21.95" customHeight="1" thickBot="1" x14ac:dyDescent="0.3">
      <c r="A4" s="591"/>
      <c r="B4" s="500"/>
      <c r="C4" s="502"/>
      <c r="D4" s="502"/>
      <c r="E4" s="502"/>
      <c r="F4" s="502"/>
      <c r="G4" s="502"/>
      <c r="H4" s="502"/>
      <c r="I4" s="502"/>
      <c r="J4" s="502"/>
      <c r="K4" s="502"/>
      <c r="L4" s="502"/>
      <c r="M4" s="502"/>
      <c r="N4" s="502"/>
      <c r="O4" s="502"/>
      <c r="P4" s="502"/>
      <c r="Q4" s="502"/>
      <c r="R4" s="502"/>
      <c r="S4" s="502"/>
      <c r="T4" s="502"/>
      <c r="U4" s="502"/>
      <c r="V4" s="502"/>
      <c r="W4" s="502"/>
      <c r="X4" s="502"/>
      <c r="Y4" s="502"/>
      <c r="Z4" s="502"/>
      <c r="AA4" s="578"/>
      <c r="AB4" s="579" t="s">
        <v>6</v>
      </c>
      <c r="AC4" s="580"/>
      <c r="AD4" s="581"/>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96" t="s">
        <v>7</v>
      </c>
      <c r="B7" s="597"/>
      <c r="C7" s="602" t="s">
        <v>8</v>
      </c>
      <c r="D7" s="596" t="s">
        <v>9</v>
      </c>
      <c r="E7" s="614"/>
      <c r="F7" s="614"/>
      <c r="G7" s="614"/>
      <c r="H7" s="597"/>
      <c r="I7" s="631">
        <v>45265</v>
      </c>
      <c r="J7" s="618"/>
      <c r="K7" s="596" t="s">
        <v>10</v>
      </c>
      <c r="L7" s="597"/>
      <c r="M7" s="584" t="s">
        <v>11</v>
      </c>
      <c r="N7" s="585"/>
      <c r="O7" s="623"/>
      <c r="P7" s="624"/>
      <c r="Q7" s="54"/>
      <c r="R7" s="54"/>
      <c r="S7" s="54"/>
      <c r="T7" s="54"/>
      <c r="U7" s="54"/>
      <c r="V7" s="54"/>
      <c r="W7" s="54"/>
      <c r="X7" s="54"/>
      <c r="Y7" s="54"/>
      <c r="Z7" s="55"/>
      <c r="AA7" s="54"/>
      <c r="AB7" s="54"/>
      <c r="AC7" s="60"/>
      <c r="AD7" s="61"/>
    </row>
    <row r="8" spans="1:30" ht="15" customHeight="1" x14ac:dyDescent="0.25">
      <c r="A8" s="598"/>
      <c r="B8" s="599"/>
      <c r="C8" s="603"/>
      <c r="D8" s="598"/>
      <c r="E8" s="615"/>
      <c r="F8" s="615"/>
      <c r="G8" s="615"/>
      <c r="H8" s="599"/>
      <c r="I8" s="619"/>
      <c r="J8" s="620"/>
      <c r="K8" s="598"/>
      <c r="L8" s="599"/>
      <c r="M8" s="625" t="s">
        <v>12</v>
      </c>
      <c r="N8" s="626"/>
      <c r="O8" s="627"/>
      <c r="P8" s="628"/>
      <c r="Q8" s="54"/>
      <c r="R8" s="54"/>
      <c r="S8" s="54"/>
      <c r="T8" s="54"/>
      <c r="U8" s="54"/>
      <c r="V8" s="54"/>
      <c r="W8" s="54"/>
      <c r="X8" s="54"/>
      <c r="Y8" s="54"/>
      <c r="Z8" s="55"/>
      <c r="AA8" s="54"/>
      <c r="AB8" s="54"/>
      <c r="AC8" s="60"/>
      <c r="AD8" s="61"/>
    </row>
    <row r="9" spans="1:30" ht="15.75" customHeight="1" x14ac:dyDescent="0.25">
      <c r="A9" s="600"/>
      <c r="B9" s="601"/>
      <c r="C9" s="604"/>
      <c r="D9" s="600"/>
      <c r="E9" s="616"/>
      <c r="F9" s="616"/>
      <c r="G9" s="616"/>
      <c r="H9" s="601"/>
      <c r="I9" s="621"/>
      <c r="J9" s="622"/>
      <c r="K9" s="600"/>
      <c r="L9" s="601"/>
      <c r="M9" s="629" t="s">
        <v>13</v>
      </c>
      <c r="N9" s="630"/>
      <c r="O9" s="582" t="s">
        <v>14</v>
      </c>
      <c r="P9" s="583"/>
      <c r="Q9" s="54"/>
      <c r="R9" s="54"/>
      <c r="S9" s="54"/>
      <c r="T9" s="54"/>
      <c r="U9" s="54"/>
      <c r="V9" s="54"/>
      <c r="W9" s="54"/>
      <c r="X9" s="54"/>
      <c r="Y9" s="54"/>
      <c r="Z9" s="55"/>
      <c r="AA9" s="54"/>
      <c r="AB9" s="54"/>
      <c r="AC9" s="60"/>
      <c r="AD9" s="61"/>
    </row>
    <row r="10" spans="1:30" ht="15" customHeight="1" x14ac:dyDescent="0.25">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596" t="s">
        <v>15</v>
      </c>
      <c r="B11" s="597"/>
      <c r="C11" s="605" t="s">
        <v>16</v>
      </c>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7"/>
    </row>
    <row r="12" spans="1:30" ht="15" customHeight="1" x14ac:dyDescent="0.25">
      <c r="A12" s="598"/>
      <c r="B12" s="599"/>
      <c r="C12" s="608"/>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10"/>
    </row>
    <row r="13" spans="1:30" ht="15" customHeight="1" thickBot="1" x14ac:dyDescent="0.3">
      <c r="A13" s="600"/>
      <c r="B13" s="601"/>
      <c r="C13" s="611"/>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47" t="s">
        <v>17</v>
      </c>
      <c r="B15" s="548"/>
      <c r="C15" s="586" t="s">
        <v>18</v>
      </c>
      <c r="D15" s="587"/>
      <c r="E15" s="587"/>
      <c r="F15" s="587"/>
      <c r="G15" s="587"/>
      <c r="H15" s="587"/>
      <c r="I15" s="587"/>
      <c r="J15" s="587"/>
      <c r="K15" s="588"/>
      <c r="L15" s="555" t="s">
        <v>19</v>
      </c>
      <c r="M15" s="559"/>
      <c r="N15" s="559"/>
      <c r="O15" s="559"/>
      <c r="P15" s="559"/>
      <c r="Q15" s="556"/>
      <c r="R15" s="552" t="s">
        <v>20</v>
      </c>
      <c r="S15" s="553"/>
      <c r="T15" s="553"/>
      <c r="U15" s="553"/>
      <c r="V15" s="553"/>
      <c r="W15" s="553"/>
      <c r="X15" s="554"/>
      <c r="Y15" s="555" t="s">
        <v>21</v>
      </c>
      <c r="Z15" s="556"/>
      <c r="AA15" s="543" t="s">
        <v>22</v>
      </c>
      <c r="AB15" s="544"/>
      <c r="AC15" s="544"/>
      <c r="AD15" s="545"/>
    </row>
    <row r="16" spans="1:30" ht="9" customHeight="1" thickBot="1" x14ac:dyDescent="0.3">
      <c r="A16" s="59"/>
      <c r="B16" s="54"/>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73"/>
      <c r="AD16" s="74"/>
    </row>
    <row r="17" spans="1:41" s="76" customFormat="1" ht="37.5" customHeight="1" thickBot="1" x14ac:dyDescent="0.3">
      <c r="A17" s="547" t="s">
        <v>23</v>
      </c>
      <c r="B17" s="548"/>
      <c r="C17" s="549" t="s">
        <v>144</v>
      </c>
      <c r="D17" s="550"/>
      <c r="E17" s="550"/>
      <c r="F17" s="550"/>
      <c r="G17" s="550"/>
      <c r="H17" s="550"/>
      <c r="I17" s="550"/>
      <c r="J17" s="550"/>
      <c r="K17" s="550"/>
      <c r="L17" s="550"/>
      <c r="M17" s="550"/>
      <c r="N17" s="550"/>
      <c r="O17" s="550"/>
      <c r="P17" s="550"/>
      <c r="Q17" s="551"/>
      <c r="R17" s="555" t="s">
        <v>25</v>
      </c>
      <c r="S17" s="559"/>
      <c r="T17" s="559"/>
      <c r="U17" s="559"/>
      <c r="V17" s="556"/>
      <c r="W17" s="557">
        <v>1</v>
      </c>
      <c r="X17" s="558"/>
      <c r="Y17" s="559" t="s">
        <v>26</v>
      </c>
      <c r="Z17" s="559"/>
      <c r="AA17" s="559"/>
      <c r="AB17" s="556"/>
      <c r="AC17" s="594">
        <v>0.1</v>
      </c>
      <c r="AD17" s="59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55" t="s">
        <v>27</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6"/>
      <c r="AE19" s="83"/>
      <c r="AF19" s="83"/>
    </row>
    <row r="20" spans="1:41" ht="32.1" customHeight="1" thickBot="1" x14ac:dyDescent="0.3">
      <c r="A20" s="82"/>
      <c r="B20" s="60"/>
      <c r="C20" s="563" t="s">
        <v>28</v>
      </c>
      <c r="D20" s="564"/>
      <c r="E20" s="564"/>
      <c r="F20" s="564"/>
      <c r="G20" s="564"/>
      <c r="H20" s="564"/>
      <c r="I20" s="564"/>
      <c r="J20" s="564"/>
      <c r="K20" s="564"/>
      <c r="L20" s="564"/>
      <c r="M20" s="564"/>
      <c r="N20" s="564"/>
      <c r="O20" s="564"/>
      <c r="P20" s="565"/>
      <c r="Q20" s="560" t="s">
        <v>29</v>
      </c>
      <c r="R20" s="561"/>
      <c r="S20" s="561"/>
      <c r="T20" s="561"/>
      <c r="U20" s="561"/>
      <c r="V20" s="561"/>
      <c r="W20" s="561"/>
      <c r="X20" s="561"/>
      <c r="Y20" s="561"/>
      <c r="Z20" s="561"/>
      <c r="AA20" s="561"/>
      <c r="AB20" s="561"/>
      <c r="AC20" s="561"/>
      <c r="AD20" s="562"/>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8</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8</v>
      </c>
      <c r="AB21" s="147" t="s">
        <v>40</v>
      </c>
      <c r="AC21" s="147" t="s">
        <v>41</v>
      </c>
      <c r="AD21" s="148" t="s">
        <v>42</v>
      </c>
      <c r="AE21" s="3"/>
      <c r="AF21" s="3"/>
    </row>
    <row r="22" spans="1:41" ht="32.1" customHeight="1" x14ac:dyDescent="0.25">
      <c r="A22" s="522" t="s">
        <v>43</v>
      </c>
      <c r="B22" s="593"/>
      <c r="C22" s="168"/>
      <c r="D22" s="166"/>
      <c r="E22" s="166"/>
      <c r="F22" s="166"/>
      <c r="G22" s="166"/>
      <c r="H22" s="166"/>
      <c r="I22" s="166"/>
      <c r="J22" s="166"/>
      <c r="K22" s="166"/>
      <c r="L22" s="166"/>
      <c r="M22" s="166"/>
      <c r="N22" s="166"/>
      <c r="O22" s="166">
        <f>SUM(C22:N22)</f>
        <v>0</v>
      </c>
      <c r="P22" s="169"/>
      <c r="Q22" s="168">
        <v>367342350</v>
      </c>
      <c r="R22" s="166"/>
      <c r="S22" s="166"/>
      <c r="T22" s="166">
        <v>21559511</v>
      </c>
      <c r="U22" s="166"/>
      <c r="V22" s="166">
        <f>2139478+34249272-10290230</f>
        <v>26098520</v>
      </c>
      <c r="W22" s="166"/>
      <c r="X22" s="166"/>
      <c r="Y22" s="166"/>
      <c r="Z22" s="166">
        <v>-38389884</v>
      </c>
      <c r="AA22" s="166"/>
      <c r="AB22" s="166"/>
      <c r="AC22" s="166">
        <f>SUM(Q22:AB22)</f>
        <v>376610497</v>
      </c>
      <c r="AD22" s="173"/>
      <c r="AE22" s="3"/>
      <c r="AF22" s="592" t="s">
        <v>145</v>
      </c>
      <c r="AG22" s="592"/>
      <c r="AH22" s="592"/>
      <c r="AI22" s="592"/>
      <c r="AJ22" s="592"/>
      <c r="AK22" s="592"/>
      <c r="AL22" s="592"/>
      <c r="AM22" s="592"/>
    </row>
    <row r="23" spans="1:41" ht="32.1" customHeight="1" x14ac:dyDescent="0.25">
      <c r="A23" s="523" t="s">
        <v>45</v>
      </c>
      <c r="B23" s="535"/>
      <c r="C23" s="163"/>
      <c r="D23" s="162"/>
      <c r="E23" s="162"/>
      <c r="F23" s="162"/>
      <c r="G23" s="162"/>
      <c r="H23" s="162"/>
      <c r="I23" s="162"/>
      <c r="J23" s="162"/>
      <c r="K23" s="162"/>
      <c r="L23" s="162"/>
      <c r="M23" s="162"/>
      <c r="N23" s="162"/>
      <c r="O23" s="162">
        <f>SUM(C23:N23)</f>
        <v>0</v>
      </c>
      <c r="P23" s="174" t="str">
        <f>IFERROR(O23/(SUMIF(C23:N23,"&gt;0",C22:N22))," ")</f>
        <v xml:space="preserve"> </v>
      </c>
      <c r="Q23" s="168">
        <v>131719000</v>
      </c>
      <c r="R23" s="162">
        <v>160636483</v>
      </c>
      <c r="S23" s="162">
        <v>24103734</v>
      </c>
      <c r="T23" s="162">
        <v>-7934917</v>
      </c>
      <c r="U23" s="162">
        <v>50047197</v>
      </c>
      <c r="V23" s="162">
        <v>11200000</v>
      </c>
      <c r="W23" s="162" t="s">
        <v>100</v>
      </c>
      <c r="X23" s="162">
        <v>-1750000</v>
      </c>
      <c r="Y23" s="162"/>
      <c r="Z23" s="162">
        <v>1260000</v>
      </c>
      <c r="AA23" s="162">
        <v>1701000</v>
      </c>
      <c r="AB23" s="162"/>
      <c r="AC23" s="162">
        <f>SUM(Q23:AB23)</f>
        <v>370982497</v>
      </c>
      <c r="AD23" s="171">
        <f>+AC23/AC22</f>
        <v>0.98505617861203698</v>
      </c>
      <c r="AE23" s="3"/>
      <c r="AF23" s="592"/>
      <c r="AG23" s="592"/>
      <c r="AH23" s="592"/>
      <c r="AI23" s="592"/>
      <c r="AJ23" s="592"/>
      <c r="AK23" s="592"/>
      <c r="AL23" s="592"/>
      <c r="AM23" s="592"/>
    </row>
    <row r="24" spans="1:41" ht="32.1" customHeight="1" x14ac:dyDescent="0.25">
      <c r="A24" s="523" t="s">
        <v>47</v>
      </c>
      <c r="B24" s="535"/>
      <c r="C24" s="300">
        <v>19304536</v>
      </c>
      <c r="D24" s="301">
        <f>1166667+432600+475860+4505046</f>
        <v>6580173</v>
      </c>
      <c r="E24" s="301" t="s">
        <v>101</v>
      </c>
      <c r="F24" s="301" t="s">
        <v>101</v>
      </c>
      <c r="G24" s="301" t="s">
        <v>101</v>
      </c>
      <c r="H24" s="301" t="s">
        <v>101</v>
      </c>
      <c r="I24" s="301" t="s">
        <v>101</v>
      </c>
      <c r="J24" s="301" t="s">
        <v>101</v>
      </c>
      <c r="K24" s="301">
        <v>-10128</v>
      </c>
      <c r="L24" s="162"/>
      <c r="M24" s="162">
        <v>-1166666</v>
      </c>
      <c r="N24" s="162"/>
      <c r="O24" s="184">
        <f>SUM(C24:N24)</f>
        <v>24707915</v>
      </c>
      <c r="P24" s="167"/>
      <c r="Q24" s="163"/>
      <c r="R24" s="301">
        <v>15581050</v>
      </c>
      <c r="S24" s="162">
        <v>31978300</v>
      </c>
      <c r="T24" s="162">
        <v>31978300</v>
      </c>
      <c r="U24" s="162">
        <f>31978300+21559511</f>
        <v>53537811</v>
      </c>
      <c r="V24" s="162">
        <f>31978300-10290230</f>
        <v>21688070</v>
      </c>
      <c r="W24" s="162">
        <f>31978300+2139478+11416424</f>
        <v>45534202</v>
      </c>
      <c r="X24" s="162">
        <v>31978300</v>
      </c>
      <c r="Y24" s="162">
        <f>31978300+11416424</f>
        <v>43394724</v>
      </c>
      <c r="Z24" s="162">
        <f>31978300-38389884</f>
        <v>-6411584</v>
      </c>
      <c r="AA24" s="162">
        <f>31978300+11416424</f>
        <v>43394724</v>
      </c>
      <c r="AB24" s="162">
        <v>63956600</v>
      </c>
      <c r="AC24" s="162">
        <f>SUM(Q24:AB24)</f>
        <v>376610497</v>
      </c>
      <c r="AD24" s="171"/>
      <c r="AE24" s="3"/>
      <c r="AF24" s="592"/>
      <c r="AG24" s="592"/>
      <c r="AH24" s="592"/>
      <c r="AI24" s="592"/>
      <c r="AJ24" s="592"/>
      <c r="AK24" s="592"/>
      <c r="AL24" s="592"/>
      <c r="AM24" s="592"/>
    </row>
    <row r="25" spans="1:41" ht="32.1" customHeight="1" x14ac:dyDescent="0.25">
      <c r="A25" s="479" t="s">
        <v>50</v>
      </c>
      <c r="B25" s="542"/>
      <c r="C25" s="310">
        <v>475860</v>
      </c>
      <c r="D25" s="299">
        <v>18698718</v>
      </c>
      <c r="E25" s="299" t="s">
        <v>51</v>
      </c>
      <c r="F25" s="299">
        <v>5151217</v>
      </c>
      <c r="G25" s="299" t="s">
        <v>101</v>
      </c>
      <c r="H25" s="299">
        <v>382120</v>
      </c>
      <c r="I25" s="299" t="s">
        <v>101</v>
      </c>
      <c r="J25" s="299" t="s">
        <v>101</v>
      </c>
      <c r="K25" s="299" t="s">
        <v>101</v>
      </c>
      <c r="L25" s="165">
        <v>0</v>
      </c>
      <c r="M25" s="165">
        <v>0</v>
      </c>
      <c r="N25" s="165"/>
      <c r="O25" s="165">
        <f>SUM(C25:N25)</f>
        <v>24707915</v>
      </c>
      <c r="P25" s="170">
        <f>IFERROR(O25/(SUMIF(C25:N25,"&gt;0",C24:N24))," ")</f>
        <v>0.95453709755825344</v>
      </c>
      <c r="Q25" s="164"/>
      <c r="R25" s="299">
        <v>1210733</v>
      </c>
      <c r="S25" s="299">
        <v>15704100</v>
      </c>
      <c r="T25" s="299">
        <v>25939467</v>
      </c>
      <c r="U25" s="299">
        <v>29819500</v>
      </c>
      <c r="V25" s="299">
        <v>29772367</v>
      </c>
      <c r="W25" s="299">
        <v>58576730</v>
      </c>
      <c r="X25" s="299">
        <v>33823900</v>
      </c>
      <c r="Y25" s="299">
        <v>30111700</v>
      </c>
      <c r="Z25" s="165">
        <v>29176499</v>
      </c>
      <c r="AA25" s="165">
        <v>37730601</v>
      </c>
      <c r="AB25" s="165"/>
      <c r="AC25" s="165">
        <f>SUM(Q25:AB25)</f>
        <v>291865597</v>
      </c>
      <c r="AD25" s="172">
        <f>+AC25/AC24</f>
        <v>0.77497998416119562</v>
      </c>
      <c r="AE25" s="3"/>
      <c r="AF25" s="592"/>
      <c r="AG25" s="592"/>
      <c r="AH25" s="592"/>
      <c r="AI25" s="592"/>
      <c r="AJ25" s="592"/>
      <c r="AK25" s="592"/>
      <c r="AL25" s="592"/>
      <c r="AM25" s="592"/>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38" t="s">
        <v>52</v>
      </c>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1"/>
    </row>
    <row r="28" spans="1:41" ht="15" customHeight="1" x14ac:dyDescent="0.25">
      <c r="A28" s="531" t="s">
        <v>53</v>
      </c>
      <c r="B28" s="533" t="s">
        <v>54</v>
      </c>
      <c r="C28" s="534"/>
      <c r="D28" s="535" t="s">
        <v>55</v>
      </c>
      <c r="E28" s="536"/>
      <c r="F28" s="536"/>
      <c r="G28" s="536"/>
      <c r="H28" s="536"/>
      <c r="I28" s="536"/>
      <c r="J28" s="536"/>
      <c r="K28" s="536"/>
      <c r="L28" s="536"/>
      <c r="M28" s="536"/>
      <c r="N28" s="536"/>
      <c r="O28" s="530"/>
      <c r="P28" s="524" t="s">
        <v>41</v>
      </c>
      <c r="Q28" s="524" t="s">
        <v>56</v>
      </c>
      <c r="R28" s="524"/>
      <c r="S28" s="524"/>
      <c r="T28" s="524"/>
      <c r="U28" s="524"/>
      <c r="V28" s="524"/>
      <c r="W28" s="524"/>
      <c r="X28" s="524"/>
      <c r="Y28" s="524"/>
      <c r="Z28" s="524"/>
      <c r="AA28" s="524"/>
      <c r="AB28" s="524"/>
      <c r="AC28" s="524"/>
      <c r="AD28" s="537"/>
    </row>
    <row r="29" spans="1:41" ht="27" customHeight="1" x14ac:dyDescent="0.25">
      <c r="A29" s="532"/>
      <c r="B29" s="527"/>
      <c r="C29" s="482"/>
      <c r="D29" s="88" t="s">
        <v>30</v>
      </c>
      <c r="E29" s="88" t="s">
        <v>31</v>
      </c>
      <c r="F29" s="88" t="s">
        <v>32</v>
      </c>
      <c r="G29" s="88" t="s">
        <v>33</v>
      </c>
      <c r="H29" s="88" t="s">
        <v>34</v>
      </c>
      <c r="I29" s="88" t="s">
        <v>35</v>
      </c>
      <c r="J29" s="88" t="s">
        <v>36</v>
      </c>
      <c r="K29" s="88" t="s">
        <v>37</v>
      </c>
      <c r="L29" s="88" t="s">
        <v>38</v>
      </c>
      <c r="M29" s="88" t="s">
        <v>39</v>
      </c>
      <c r="N29" s="88" t="s">
        <v>8</v>
      </c>
      <c r="O29" s="88" t="s">
        <v>40</v>
      </c>
      <c r="P29" s="530"/>
      <c r="Q29" s="524"/>
      <c r="R29" s="524"/>
      <c r="S29" s="524"/>
      <c r="T29" s="524"/>
      <c r="U29" s="524"/>
      <c r="V29" s="524"/>
      <c r="W29" s="524"/>
      <c r="X29" s="524"/>
      <c r="Y29" s="524"/>
      <c r="Z29" s="524"/>
      <c r="AA29" s="524"/>
      <c r="AB29" s="524"/>
      <c r="AC29" s="524"/>
      <c r="AD29" s="537"/>
    </row>
    <row r="30" spans="1:41" ht="86.25" customHeight="1" thickBot="1" x14ac:dyDescent="0.3">
      <c r="A30" s="85" t="s">
        <v>146</v>
      </c>
      <c r="B30" s="515"/>
      <c r="C30" s="516"/>
      <c r="D30" s="89"/>
      <c r="E30" s="89"/>
      <c r="F30" s="89"/>
      <c r="G30" s="89"/>
      <c r="H30" s="89"/>
      <c r="I30" s="89"/>
      <c r="J30" s="89"/>
      <c r="K30" s="89"/>
      <c r="L30" s="89"/>
      <c r="M30" s="89"/>
      <c r="N30" s="89"/>
      <c r="O30" s="89"/>
      <c r="P30" s="86">
        <f>SUM(D30:O30)</f>
        <v>0</v>
      </c>
      <c r="Q30" s="517"/>
      <c r="R30" s="517"/>
      <c r="S30" s="517"/>
      <c r="T30" s="517"/>
      <c r="U30" s="517"/>
      <c r="V30" s="517"/>
      <c r="W30" s="517"/>
      <c r="X30" s="517"/>
      <c r="Y30" s="517"/>
      <c r="Z30" s="517"/>
      <c r="AA30" s="517"/>
      <c r="AB30" s="517"/>
      <c r="AC30" s="517"/>
      <c r="AD30" s="518"/>
    </row>
    <row r="31" spans="1:41" ht="45" customHeight="1" thickBot="1" x14ac:dyDescent="0.3">
      <c r="A31" s="519" t="s">
        <v>58</v>
      </c>
      <c r="B31" s="520"/>
      <c r="C31" s="520"/>
      <c r="D31" s="520"/>
      <c r="E31" s="520"/>
      <c r="F31" s="520"/>
      <c r="G31" s="520"/>
      <c r="H31" s="520"/>
      <c r="I31" s="520"/>
      <c r="J31" s="520"/>
      <c r="K31" s="520"/>
      <c r="L31" s="520"/>
      <c r="M31" s="520"/>
      <c r="N31" s="520"/>
      <c r="O31" s="520"/>
      <c r="P31" s="520"/>
      <c r="Q31" s="576"/>
      <c r="R31" s="576"/>
      <c r="S31" s="576"/>
      <c r="T31" s="576"/>
      <c r="U31" s="576"/>
      <c r="V31" s="576"/>
      <c r="W31" s="576"/>
      <c r="X31" s="576"/>
      <c r="Y31" s="576"/>
      <c r="Z31" s="576"/>
      <c r="AA31" s="576"/>
      <c r="AB31" s="576"/>
      <c r="AC31" s="576"/>
      <c r="AD31" s="577"/>
    </row>
    <row r="32" spans="1:41" ht="20.25" customHeight="1" x14ac:dyDescent="0.25">
      <c r="A32" s="522" t="s">
        <v>59</v>
      </c>
      <c r="B32" s="480" t="s">
        <v>60</v>
      </c>
      <c r="C32" s="480" t="s">
        <v>54</v>
      </c>
      <c r="D32" s="526" t="s">
        <v>61</v>
      </c>
      <c r="E32" s="480"/>
      <c r="F32" s="480"/>
      <c r="G32" s="480"/>
      <c r="H32" s="480"/>
      <c r="I32" s="480"/>
      <c r="J32" s="480"/>
      <c r="K32" s="480"/>
      <c r="L32" s="480"/>
      <c r="M32" s="480"/>
      <c r="N32" s="480"/>
      <c r="O32" s="480"/>
      <c r="P32" s="483"/>
      <c r="Q32" s="522" t="s">
        <v>62</v>
      </c>
      <c r="R32" s="480"/>
      <c r="S32" s="480"/>
      <c r="T32" s="480"/>
      <c r="U32" s="480"/>
      <c r="V32" s="480"/>
      <c r="W32" s="480"/>
      <c r="X32" s="480"/>
      <c r="Y32" s="480"/>
      <c r="Z32" s="480"/>
      <c r="AA32" s="480"/>
      <c r="AB32" s="480"/>
      <c r="AC32" s="480"/>
      <c r="AD32" s="483"/>
      <c r="AG32" s="87"/>
      <c r="AH32" s="87"/>
      <c r="AI32" s="87"/>
      <c r="AJ32" s="87"/>
      <c r="AK32" s="87"/>
      <c r="AL32" s="87"/>
      <c r="AM32" s="87"/>
      <c r="AN32" s="87"/>
      <c r="AO32" s="87"/>
    </row>
    <row r="33" spans="1:41" ht="27" customHeight="1" thickBot="1" x14ac:dyDescent="0.3">
      <c r="A33" s="634"/>
      <c r="B33" s="636"/>
      <c r="C33" s="802"/>
      <c r="D33" s="336" t="s">
        <v>30</v>
      </c>
      <c r="E33" s="343" t="s">
        <v>31</v>
      </c>
      <c r="F33" s="343" t="s">
        <v>32</v>
      </c>
      <c r="G33" s="343" t="s">
        <v>33</v>
      </c>
      <c r="H33" s="343" t="s">
        <v>34</v>
      </c>
      <c r="I33" s="343" t="s">
        <v>35</v>
      </c>
      <c r="J33" s="343" t="s">
        <v>36</v>
      </c>
      <c r="K33" s="343" t="s">
        <v>37</v>
      </c>
      <c r="L33" s="343" t="s">
        <v>38</v>
      </c>
      <c r="M33" s="343" t="s">
        <v>39</v>
      </c>
      <c r="N33" s="343" t="s">
        <v>8</v>
      </c>
      <c r="O33" s="343" t="s">
        <v>40</v>
      </c>
      <c r="P33" s="354" t="s">
        <v>41</v>
      </c>
      <c r="Q33" s="479" t="s">
        <v>63</v>
      </c>
      <c r="R33" s="481"/>
      <c r="S33" s="481"/>
      <c r="T33" s="481" t="s">
        <v>64</v>
      </c>
      <c r="U33" s="481"/>
      <c r="V33" s="481"/>
      <c r="W33" s="704" t="s">
        <v>65</v>
      </c>
      <c r="X33" s="564"/>
      <c r="Y33" s="564"/>
      <c r="Z33" s="810"/>
      <c r="AA33" s="704" t="s">
        <v>66</v>
      </c>
      <c r="AB33" s="564"/>
      <c r="AC33" s="564"/>
      <c r="AD33" s="565"/>
      <c r="AG33" s="87"/>
      <c r="AH33" s="87"/>
      <c r="AI33" s="87"/>
      <c r="AJ33" s="87"/>
      <c r="AK33" s="87"/>
      <c r="AL33" s="87"/>
      <c r="AM33" s="87"/>
      <c r="AN33" s="87"/>
      <c r="AO33" s="87"/>
    </row>
    <row r="34" spans="1:41" ht="104.25" customHeight="1" x14ac:dyDescent="0.25">
      <c r="A34" s="811" t="s">
        <v>146</v>
      </c>
      <c r="B34" s="812">
        <v>0.1</v>
      </c>
      <c r="C34" s="337" t="s">
        <v>67</v>
      </c>
      <c r="D34" s="364">
        <v>1</v>
      </c>
      <c r="E34" s="365">
        <v>1</v>
      </c>
      <c r="F34" s="365">
        <v>1</v>
      </c>
      <c r="G34" s="365">
        <v>1</v>
      </c>
      <c r="H34" s="365">
        <v>1</v>
      </c>
      <c r="I34" s="365">
        <v>1</v>
      </c>
      <c r="J34" s="365">
        <v>1</v>
      </c>
      <c r="K34" s="365">
        <v>1</v>
      </c>
      <c r="L34" s="365">
        <v>1</v>
      </c>
      <c r="M34" s="365">
        <v>1</v>
      </c>
      <c r="N34" s="365">
        <v>1</v>
      </c>
      <c r="O34" s="365">
        <v>1</v>
      </c>
      <c r="P34" s="366">
        <v>1</v>
      </c>
      <c r="Q34" s="813" t="s">
        <v>147</v>
      </c>
      <c r="R34" s="813"/>
      <c r="S34" s="814"/>
      <c r="T34" s="813" t="s">
        <v>148</v>
      </c>
      <c r="U34" s="813"/>
      <c r="V34" s="814"/>
      <c r="W34" s="815" t="s">
        <v>149</v>
      </c>
      <c r="X34" s="813"/>
      <c r="Y34" s="813"/>
      <c r="Z34" s="814"/>
      <c r="AA34" s="815"/>
      <c r="AB34" s="813"/>
      <c r="AC34" s="813"/>
      <c r="AD34" s="814"/>
      <c r="AG34" s="87"/>
      <c r="AH34" s="87"/>
      <c r="AI34" s="87"/>
      <c r="AJ34" s="87"/>
      <c r="AK34" s="87"/>
      <c r="AL34" s="87"/>
      <c r="AM34" s="87"/>
      <c r="AN34" s="87"/>
      <c r="AO34" s="87"/>
    </row>
    <row r="35" spans="1:41" ht="104.25" customHeight="1" thickBot="1" x14ac:dyDescent="0.3">
      <c r="A35" s="706"/>
      <c r="B35" s="502"/>
      <c r="C35" s="91" t="s">
        <v>72</v>
      </c>
      <c r="D35" s="273">
        <v>1</v>
      </c>
      <c r="E35" s="273">
        <v>1</v>
      </c>
      <c r="F35" s="273">
        <v>1</v>
      </c>
      <c r="G35" s="273">
        <v>1</v>
      </c>
      <c r="H35" s="273">
        <v>1</v>
      </c>
      <c r="I35" s="273">
        <v>1</v>
      </c>
      <c r="J35" s="273">
        <v>1</v>
      </c>
      <c r="K35" s="273">
        <v>1</v>
      </c>
      <c r="L35" s="273">
        <v>1</v>
      </c>
      <c r="M35" s="367">
        <f>+M34</f>
        <v>1</v>
      </c>
      <c r="N35" s="273">
        <v>0</v>
      </c>
      <c r="O35" s="353">
        <v>0</v>
      </c>
      <c r="P35" s="358">
        <v>1</v>
      </c>
      <c r="Q35" s="676"/>
      <c r="R35" s="676"/>
      <c r="S35" s="677"/>
      <c r="T35" s="676"/>
      <c r="U35" s="676"/>
      <c r="V35" s="677"/>
      <c r="W35" s="675"/>
      <c r="X35" s="676"/>
      <c r="Y35" s="676"/>
      <c r="Z35" s="677"/>
      <c r="AA35" s="675"/>
      <c r="AB35" s="676"/>
      <c r="AC35" s="676"/>
      <c r="AD35" s="677"/>
      <c r="AE35" s="49"/>
      <c r="AG35" s="87"/>
      <c r="AH35" s="87"/>
      <c r="AI35" s="87"/>
      <c r="AJ35" s="87"/>
      <c r="AK35" s="87"/>
      <c r="AL35" s="87"/>
      <c r="AM35" s="87"/>
      <c r="AN35" s="87"/>
      <c r="AO35" s="87"/>
    </row>
    <row r="36" spans="1:41" ht="26.1" customHeight="1" x14ac:dyDescent="0.25">
      <c r="A36" s="522" t="s">
        <v>73</v>
      </c>
      <c r="B36" s="593" t="s">
        <v>74</v>
      </c>
      <c r="C36" s="522" t="s">
        <v>75</v>
      </c>
      <c r="D36" s="480"/>
      <c r="E36" s="480"/>
      <c r="F36" s="480"/>
      <c r="G36" s="480"/>
      <c r="H36" s="480"/>
      <c r="I36" s="480"/>
      <c r="J36" s="480"/>
      <c r="K36" s="480"/>
      <c r="L36" s="480"/>
      <c r="M36" s="480"/>
      <c r="N36" s="480"/>
      <c r="O36" s="480"/>
      <c r="P36" s="483"/>
      <c r="Q36" s="643" t="s">
        <v>76</v>
      </c>
      <c r="R36" s="643"/>
      <c r="S36" s="643"/>
      <c r="T36" s="643"/>
      <c r="U36" s="643"/>
      <c r="V36" s="643"/>
      <c r="W36" s="643"/>
      <c r="X36" s="643"/>
      <c r="Y36" s="643"/>
      <c r="Z36" s="643"/>
      <c r="AA36" s="643"/>
      <c r="AB36" s="643"/>
      <c r="AC36" s="643"/>
      <c r="AD36" s="644"/>
      <c r="AG36" s="87"/>
      <c r="AH36" s="87"/>
      <c r="AI36" s="87"/>
      <c r="AJ36" s="87"/>
      <c r="AK36" s="87"/>
      <c r="AL36" s="87"/>
      <c r="AM36" s="87"/>
      <c r="AN36" s="87"/>
      <c r="AO36" s="87"/>
    </row>
    <row r="37" spans="1:41" ht="26.1" customHeight="1" x14ac:dyDescent="0.25">
      <c r="A37" s="523"/>
      <c r="B37" s="535"/>
      <c r="C37" s="187"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45" t="s">
        <v>91</v>
      </c>
      <c r="R37" s="645"/>
      <c r="S37" s="645"/>
      <c r="T37" s="645"/>
      <c r="U37" s="645"/>
      <c r="V37" s="645"/>
      <c r="W37" s="645"/>
      <c r="X37" s="645"/>
      <c r="Y37" s="645"/>
      <c r="Z37" s="645"/>
      <c r="AA37" s="645"/>
      <c r="AB37" s="645"/>
      <c r="AC37" s="645"/>
      <c r="AD37" s="646"/>
      <c r="AG37" s="94"/>
      <c r="AH37" s="94"/>
      <c r="AI37" s="94"/>
      <c r="AJ37" s="94"/>
      <c r="AK37" s="94"/>
      <c r="AL37" s="94"/>
      <c r="AM37" s="94"/>
      <c r="AN37" s="94"/>
      <c r="AO37" s="94"/>
    </row>
    <row r="38" spans="1:41" ht="35.25" customHeight="1" x14ac:dyDescent="0.25">
      <c r="A38" s="693" t="s">
        <v>150</v>
      </c>
      <c r="B38" s="804">
        <v>0.1</v>
      </c>
      <c r="C38" s="102" t="s">
        <v>67</v>
      </c>
      <c r="D38" s="327">
        <v>0</v>
      </c>
      <c r="E38" s="328">
        <v>9.5000000000000001E-2</v>
      </c>
      <c r="F38" s="328">
        <v>9.5000000000000001E-2</v>
      </c>
      <c r="G38" s="328">
        <v>9.5000000000000001E-2</v>
      </c>
      <c r="H38" s="328">
        <v>9.5000000000000001E-2</v>
      </c>
      <c r="I38" s="328">
        <v>9.5000000000000001E-2</v>
      </c>
      <c r="J38" s="328">
        <v>9.5000000000000001E-2</v>
      </c>
      <c r="K38" s="328">
        <v>9.5000000000000001E-2</v>
      </c>
      <c r="L38" s="328">
        <v>9.5000000000000001E-2</v>
      </c>
      <c r="M38" s="328">
        <v>9.5000000000000001E-2</v>
      </c>
      <c r="N38" s="328">
        <v>9.5000000000000001E-2</v>
      </c>
      <c r="O38" s="328">
        <v>0.05</v>
      </c>
      <c r="P38" s="318">
        <f>SUM(D38:O38)</f>
        <v>0.99999999999999989</v>
      </c>
      <c r="Q38" s="806" t="s">
        <v>151</v>
      </c>
      <c r="R38" s="806"/>
      <c r="S38" s="806"/>
      <c r="T38" s="806"/>
      <c r="U38" s="806"/>
      <c r="V38" s="806"/>
      <c r="W38" s="806"/>
      <c r="X38" s="806"/>
      <c r="Y38" s="806"/>
      <c r="Z38" s="806"/>
      <c r="AA38" s="806"/>
      <c r="AB38" s="806"/>
      <c r="AC38" s="806"/>
      <c r="AD38" s="807"/>
      <c r="AE38" s="97"/>
      <c r="AG38" s="98"/>
      <c r="AH38" s="98"/>
      <c r="AI38" s="98"/>
      <c r="AJ38" s="98"/>
      <c r="AK38" s="98"/>
      <c r="AL38" s="98"/>
      <c r="AM38" s="98"/>
      <c r="AN38" s="98"/>
      <c r="AO38" s="98"/>
    </row>
    <row r="39" spans="1:41" ht="35.25" customHeight="1" x14ac:dyDescent="0.25">
      <c r="A39" s="803"/>
      <c r="B39" s="805"/>
      <c r="C39" s="91" t="s">
        <v>72</v>
      </c>
      <c r="D39" s="329" t="s">
        <v>48</v>
      </c>
      <c r="E39" s="330">
        <f>+E38</f>
        <v>9.5000000000000001E-2</v>
      </c>
      <c r="F39" s="330">
        <v>9.5000000000000001E-2</v>
      </c>
      <c r="G39" s="330">
        <v>9.5000000000000001E-2</v>
      </c>
      <c r="H39" s="330">
        <v>9.5000000000000001E-2</v>
      </c>
      <c r="I39" s="330">
        <v>9.5000000000000001E-2</v>
      </c>
      <c r="J39" s="330">
        <v>9.5000000000000001E-2</v>
      </c>
      <c r="K39" s="330">
        <v>9.5000000000000001E-2</v>
      </c>
      <c r="L39" s="330">
        <v>9.5000000000000001E-2</v>
      </c>
      <c r="M39" s="330">
        <v>9.5000000000000001E-2</v>
      </c>
      <c r="N39" s="430">
        <f>+N38</f>
        <v>9.5000000000000001E-2</v>
      </c>
      <c r="O39" s="330" t="s">
        <v>48</v>
      </c>
      <c r="P39" s="321">
        <f>SUM(D39:O39)</f>
        <v>0.94999999999999984</v>
      </c>
      <c r="Q39" s="808"/>
      <c r="R39" s="808"/>
      <c r="S39" s="808"/>
      <c r="T39" s="808"/>
      <c r="U39" s="808"/>
      <c r="V39" s="808"/>
      <c r="W39" s="808"/>
      <c r="X39" s="808"/>
      <c r="Y39" s="808"/>
      <c r="Z39" s="808"/>
      <c r="AA39" s="808"/>
      <c r="AB39" s="808"/>
      <c r="AC39" s="808"/>
      <c r="AD39" s="809"/>
      <c r="AE39" s="97"/>
    </row>
    <row r="40" spans="1:41" x14ac:dyDescent="0.25">
      <c r="A40" s="50" t="s">
        <v>96</v>
      </c>
    </row>
    <row r="55" spans="1:30" x14ac:dyDescent="0.25">
      <c r="A55" s="454" t="s">
        <v>97</v>
      </c>
      <c r="B55" s="456" t="s">
        <v>74</v>
      </c>
      <c r="C55" s="458" t="s">
        <v>75</v>
      </c>
      <c r="D55" s="459"/>
      <c r="E55" s="459"/>
      <c r="F55" s="459"/>
      <c r="G55" s="459"/>
      <c r="H55" s="459"/>
      <c r="I55" s="459"/>
      <c r="J55" s="459"/>
      <c r="K55" s="459"/>
      <c r="L55" s="459"/>
      <c r="M55" s="459"/>
      <c r="N55" s="459"/>
      <c r="O55" s="459"/>
      <c r="P55" s="460"/>
      <c r="Q55" s="191"/>
      <c r="R55" s="191"/>
      <c r="S55" s="192"/>
      <c r="T55" s="192"/>
      <c r="U55" s="192"/>
      <c r="V55" s="192"/>
      <c r="W55" s="192"/>
      <c r="X55" s="192"/>
      <c r="Y55" s="192"/>
      <c r="Z55" s="192"/>
      <c r="AA55" s="192"/>
      <c r="AB55" s="192"/>
      <c r="AC55" s="192"/>
      <c r="AD55" s="192"/>
    </row>
    <row r="56" spans="1:30" ht="21" x14ac:dyDescent="0.25">
      <c r="A56" s="455"/>
      <c r="B56" s="457"/>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461" t="str">
        <f>A38</f>
        <v xml:space="preserve">12. Diseñar, publicar y socializar una caja de herramientas de la Estrategia Pedagógica y de Cambio Cultural.  </v>
      </c>
      <c r="B57" s="463">
        <f>B38</f>
        <v>0.1</v>
      </c>
      <c r="C57" s="194" t="s">
        <v>67</v>
      </c>
      <c r="D57" s="195">
        <f>D38*$B$38/$P$38</f>
        <v>0</v>
      </c>
      <c r="E57" s="195">
        <f t="shared" ref="D57:O58" si="0">E38*$B$38/$P$38</f>
        <v>9.5000000000000032E-3</v>
      </c>
      <c r="F57" s="195">
        <f t="shared" si="0"/>
        <v>9.5000000000000032E-3</v>
      </c>
      <c r="G57" s="195">
        <f t="shared" si="0"/>
        <v>9.5000000000000032E-3</v>
      </c>
      <c r="H57" s="195">
        <f t="shared" si="0"/>
        <v>9.5000000000000032E-3</v>
      </c>
      <c r="I57" s="195">
        <f t="shared" si="0"/>
        <v>9.5000000000000032E-3</v>
      </c>
      <c r="J57" s="195">
        <f t="shared" si="0"/>
        <v>9.5000000000000032E-3</v>
      </c>
      <c r="K57" s="195">
        <f t="shared" si="0"/>
        <v>9.5000000000000032E-3</v>
      </c>
      <c r="L57" s="195">
        <f t="shared" si="0"/>
        <v>9.5000000000000032E-3</v>
      </c>
      <c r="M57" s="195">
        <f t="shared" si="0"/>
        <v>9.5000000000000032E-3</v>
      </c>
      <c r="N57" s="195">
        <f t="shared" si="0"/>
        <v>9.5000000000000032E-3</v>
      </c>
      <c r="O57" s="195">
        <f t="shared" si="0"/>
        <v>5.0000000000000018E-3</v>
      </c>
      <c r="P57" s="196">
        <f>SUM(D57:O57)</f>
        <v>0.10000000000000005</v>
      </c>
      <c r="Q57" s="197">
        <v>0.05</v>
      </c>
      <c r="R57" s="198">
        <f>+P57-Q57</f>
        <v>5.0000000000000044E-2</v>
      </c>
      <c r="S57" s="192"/>
      <c r="T57" s="192"/>
      <c r="U57" s="192"/>
      <c r="V57" s="192"/>
      <c r="W57" s="192"/>
      <c r="X57" s="192"/>
      <c r="Y57" s="192"/>
      <c r="Z57" s="192"/>
      <c r="AA57" s="192"/>
      <c r="AB57" s="192"/>
      <c r="AC57" s="192"/>
      <c r="AD57" s="192"/>
    </row>
    <row r="58" spans="1:30" x14ac:dyDescent="0.25">
      <c r="A58" s="462"/>
      <c r="B58" s="464"/>
      <c r="C58" s="203" t="s">
        <v>72</v>
      </c>
      <c r="D58" s="200" t="e">
        <f t="shared" si="0"/>
        <v>#VALUE!</v>
      </c>
      <c r="E58" s="200">
        <f t="shared" si="0"/>
        <v>9.5000000000000032E-3</v>
      </c>
      <c r="F58" s="200">
        <f t="shared" si="0"/>
        <v>9.5000000000000032E-3</v>
      </c>
      <c r="G58" s="200">
        <f t="shared" si="0"/>
        <v>9.5000000000000032E-3</v>
      </c>
      <c r="H58" s="200">
        <f t="shared" si="0"/>
        <v>9.5000000000000032E-3</v>
      </c>
      <c r="I58" s="200">
        <f t="shared" si="0"/>
        <v>9.5000000000000032E-3</v>
      </c>
      <c r="J58" s="200">
        <f t="shared" si="0"/>
        <v>9.5000000000000032E-3</v>
      </c>
      <c r="K58" s="200">
        <f t="shared" si="0"/>
        <v>9.5000000000000032E-3</v>
      </c>
      <c r="L58" s="200">
        <f t="shared" si="0"/>
        <v>9.5000000000000032E-3</v>
      </c>
      <c r="M58" s="200">
        <f t="shared" si="0"/>
        <v>9.5000000000000032E-3</v>
      </c>
      <c r="N58" s="200">
        <f t="shared" si="0"/>
        <v>9.5000000000000032E-3</v>
      </c>
      <c r="O58" s="200" t="e">
        <f t="shared" si="0"/>
        <v>#VALUE!</v>
      </c>
      <c r="P58" s="201" t="e">
        <f>SUM(D58:O58)</f>
        <v>#VALUE!</v>
      </c>
      <c r="Q58" s="202" t="e">
        <f>+P58</f>
        <v>#VALUE!</v>
      </c>
      <c r="R58" s="198" t="e">
        <f>+P58-Q58</f>
        <v>#VALUE!</v>
      </c>
      <c r="S58" s="192"/>
      <c r="T58" s="192"/>
      <c r="U58" s="192"/>
      <c r="V58" s="192"/>
      <c r="W58" s="192"/>
      <c r="X58" s="192"/>
      <c r="Y58" s="192"/>
      <c r="Z58" s="192"/>
      <c r="AA58" s="192"/>
      <c r="AB58" s="192"/>
      <c r="AC58" s="192"/>
      <c r="AD58" s="192"/>
    </row>
    <row r="59" spans="1:30" x14ac:dyDescent="0.25">
      <c r="A59" s="450"/>
      <c r="B59" s="452"/>
      <c r="C59" s="206"/>
      <c r="D59" s="195"/>
      <c r="E59" s="195"/>
      <c r="F59" s="195"/>
      <c r="G59" s="195"/>
      <c r="H59" s="195"/>
      <c r="I59" s="195"/>
      <c r="J59" s="195"/>
      <c r="K59" s="195"/>
      <c r="L59" s="195"/>
      <c r="M59" s="195"/>
      <c r="N59" s="195"/>
      <c r="O59" s="195"/>
      <c r="P59" s="207"/>
      <c r="Q59" s="197"/>
      <c r="R59" s="198"/>
      <c r="S59" s="192"/>
      <c r="T59" s="192"/>
      <c r="U59" s="192"/>
      <c r="V59" s="192"/>
      <c r="W59" s="192"/>
      <c r="X59" s="192"/>
      <c r="Y59" s="192"/>
      <c r="Z59" s="192"/>
      <c r="AA59" s="192"/>
      <c r="AB59" s="192"/>
      <c r="AC59" s="192"/>
      <c r="AD59" s="192"/>
    </row>
    <row r="60" spans="1:30" x14ac:dyDescent="0.25">
      <c r="A60" s="451"/>
      <c r="B60" s="453"/>
      <c r="C60" s="206"/>
      <c r="D60" s="210"/>
      <c r="E60" s="210"/>
      <c r="F60" s="210"/>
      <c r="G60" s="210"/>
      <c r="H60" s="210"/>
      <c r="I60" s="210"/>
      <c r="J60" s="210"/>
      <c r="K60" s="210"/>
      <c r="L60" s="210"/>
      <c r="M60" s="210"/>
      <c r="N60" s="210"/>
      <c r="O60" s="210"/>
      <c r="P60" s="207"/>
      <c r="Q60" s="202"/>
      <c r="R60" s="198"/>
      <c r="S60" s="192"/>
      <c r="T60" s="192"/>
      <c r="U60" s="192"/>
      <c r="V60" s="192"/>
      <c r="W60" s="192"/>
      <c r="X60" s="192"/>
      <c r="Y60" s="192"/>
      <c r="Z60" s="192"/>
      <c r="AA60" s="192"/>
      <c r="AB60" s="192"/>
      <c r="AC60" s="192"/>
      <c r="AD60" s="192"/>
    </row>
    <row r="61" spans="1:30" x14ac:dyDescent="0.25">
      <c r="A61" s="450"/>
      <c r="B61" s="452"/>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5">
      <c r="A62" s="451"/>
      <c r="B62" s="453"/>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t="e">
        <f>D58</f>
        <v>#VALUE!</v>
      </c>
      <c r="E65" s="213">
        <f t="shared" ref="E65:O65" si="1">E58</f>
        <v>9.5000000000000032E-3</v>
      </c>
      <c r="F65" s="213">
        <f t="shared" si="1"/>
        <v>9.5000000000000032E-3</v>
      </c>
      <c r="G65" s="213">
        <f t="shared" si="1"/>
        <v>9.5000000000000032E-3</v>
      </c>
      <c r="H65" s="213">
        <f t="shared" si="1"/>
        <v>9.5000000000000032E-3</v>
      </c>
      <c r="I65" s="213">
        <f t="shared" si="1"/>
        <v>9.5000000000000032E-3</v>
      </c>
      <c r="J65" s="213">
        <f t="shared" si="1"/>
        <v>9.5000000000000032E-3</v>
      </c>
      <c r="K65" s="213">
        <f t="shared" si="1"/>
        <v>9.5000000000000032E-3</v>
      </c>
      <c r="L65" s="213">
        <f t="shared" si="1"/>
        <v>9.5000000000000032E-3</v>
      </c>
      <c r="M65" s="213">
        <f t="shared" si="1"/>
        <v>9.5000000000000032E-3</v>
      </c>
      <c r="N65" s="213">
        <f t="shared" si="1"/>
        <v>9.5000000000000032E-3</v>
      </c>
      <c r="O65" s="213" t="e">
        <f t="shared" si="1"/>
        <v>#VALUE!</v>
      </c>
      <c r="P65" s="213" t="e">
        <f>P58+P60+P62</f>
        <v>#VALUE!</v>
      </c>
      <c r="Q65" s="191"/>
      <c r="R65" s="198" t="e">
        <f>+P65-Q65</f>
        <v>#VALUE!</v>
      </c>
      <c r="S65" s="192"/>
      <c r="T65" s="192"/>
      <c r="U65" s="192"/>
      <c r="V65" s="192"/>
      <c r="W65" s="192"/>
      <c r="X65" s="192"/>
      <c r="Y65" s="192"/>
      <c r="Z65" s="192"/>
      <c r="AA65" s="192"/>
      <c r="AB65" s="192"/>
      <c r="AC65" s="192"/>
      <c r="AD65" s="192"/>
    </row>
    <row r="66" spans="1:30" x14ac:dyDescent="0.25">
      <c r="A66" s="191"/>
      <c r="B66" s="214"/>
      <c r="C66" s="215" t="s">
        <v>72</v>
      </c>
      <c r="D66" s="216" t="e">
        <f>D65*$W$17/$B$34</f>
        <v>#VALUE!</v>
      </c>
      <c r="E66" s="216">
        <f t="shared" ref="E66:O66" si="2">E65*$W$17/$B$34</f>
        <v>9.5000000000000029E-2</v>
      </c>
      <c r="F66" s="216">
        <f t="shared" si="2"/>
        <v>9.5000000000000029E-2</v>
      </c>
      <c r="G66" s="216">
        <f t="shared" si="2"/>
        <v>9.5000000000000029E-2</v>
      </c>
      <c r="H66" s="216">
        <f t="shared" si="2"/>
        <v>9.5000000000000029E-2</v>
      </c>
      <c r="I66" s="216">
        <f t="shared" si="2"/>
        <v>9.5000000000000029E-2</v>
      </c>
      <c r="J66" s="216">
        <f t="shared" si="2"/>
        <v>9.5000000000000029E-2</v>
      </c>
      <c r="K66" s="216">
        <f t="shared" si="2"/>
        <v>9.5000000000000029E-2</v>
      </c>
      <c r="L66" s="216">
        <f t="shared" si="2"/>
        <v>9.5000000000000029E-2</v>
      </c>
      <c r="M66" s="216">
        <f t="shared" si="2"/>
        <v>9.5000000000000029E-2</v>
      </c>
      <c r="N66" s="216">
        <f t="shared" si="2"/>
        <v>9.5000000000000029E-2</v>
      </c>
      <c r="O66" s="216" t="e">
        <f t="shared" si="2"/>
        <v>#VALUE!</v>
      </c>
      <c r="P66" s="217" t="e">
        <f>SUM(D66:O66)</f>
        <v>#VALUE!</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+D57</f>
        <v>0</v>
      </c>
      <c r="E68" s="213">
        <f t="shared" ref="E68:O68" si="3">+E57</f>
        <v>9.5000000000000032E-3</v>
      </c>
      <c r="F68" s="213">
        <f t="shared" si="3"/>
        <v>9.5000000000000032E-3</v>
      </c>
      <c r="G68" s="213">
        <f t="shared" si="3"/>
        <v>9.5000000000000032E-3</v>
      </c>
      <c r="H68" s="213">
        <f t="shared" si="3"/>
        <v>9.5000000000000032E-3</v>
      </c>
      <c r="I68" s="213">
        <f t="shared" si="3"/>
        <v>9.5000000000000032E-3</v>
      </c>
      <c r="J68" s="213">
        <f t="shared" si="3"/>
        <v>9.5000000000000032E-3</v>
      </c>
      <c r="K68" s="213">
        <f t="shared" si="3"/>
        <v>9.5000000000000032E-3</v>
      </c>
      <c r="L68" s="213">
        <f t="shared" si="3"/>
        <v>9.5000000000000032E-3</v>
      </c>
      <c r="M68" s="213">
        <f t="shared" si="3"/>
        <v>9.5000000000000032E-3</v>
      </c>
      <c r="N68" s="213">
        <f t="shared" si="3"/>
        <v>9.5000000000000032E-3</v>
      </c>
      <c r="O68" s="213">
        <f t="shared" si="3"/>
        <v>5.0000000000000018E-3</v>
      </c>
      <c r="P68" s="213">
        <f>+P57+P59+P61</f>
        <v>0.10000000000000005</v>
      </c>
      <c r="Q68" s="197"/>
      <c r="R68" s="197"/>
      <c r="S68" s="192"/>
      <c r="T68" s="192"/>
      <c r="U68" s="192"/>
      <c r="V68" s="192"/>
      <c r="W68" s="192"/>
      <c r="X68" s="192"/>
      <c r="Y68" s="192"/>
      <c r="Z68" s="192"/>
      <c r="AA68" s="192"/>
      <c r="AB68" s="192"/>
      <c r="AC68" s="192"/>
      <c r="AD68" s="192"/>
    </row>
    <row r="69" spans="1:30" x14ac:dyDescent="0.25">
      <c r="A69" s="197"/>
      <c r="B69" s="108"/>
      <c r="C69" s="215" t="s">
        <v>67</v>
      </c>
      <c r="D69" s="216">
        <f t="shared" ref="D69:O69" si="4">D68*$W$17/$B$34</f>
        <v>0</v>
      </c>
      <c r="E69" s="216">
        <f t="shared" si="4"/>
        <v>9.5000000000000029E-2</v>
      </c>
      <c r="F69" s="216">
        <f t="shared" si="4"/>
        <v>9.5000000000000029E-2</v>
      </c>
      <c r="G69" s="216">
        <f t="shared" si="4"/>
        <v>9.5000000000000029E-2</v>
      </c>
      <c r="H69" s="216">
        <f t="shared" si="4"/>
        <v>9.5000000000000029E-2</v>
      </c>
      <c r="I69" s="216">
        <f t="shared" si="4"/>
        <v>9.5000000000000029E-2</v>
      </c>
      <c r="J69" s="216">
        <f t="shared" si="4"/>
        <v>9.5000000000000029E-2</v>
      </c>
      <c r="K69" s="216">
        <f t="shared" si="4"/>
        <v>9.5000000000000029E-2</v>
      </c>
      <c r="L69" s="216">
        <f t="shared" si="4"/>
        <v>9.5000000000000029E-2</v>
      </c>
      <c r="M69" s="216">
        <f t="shared" si="4"/>
        <v>9.5000000000000029E-2</v>
      </c>
      <c r="N69" s="216">
        <f t="shared" si="4"/>
        <v>9.5000000000000029E-2</v>
      </c>
      <c r="O69" s="216">
        <f t="shared" si="4"/>
        <v>5.0000000000000017E-2</v>
      </c>
      <c r="P69" s="217">
        <f>SUM(D69:O69)</f>
        <v>1.0000000000000002</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sheetData>
  <mergeCells count="83">
    <mergeCell ref="AF22:AM25"/>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W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B9C6B0D9-F7BD-4B64-A1AC-F58F3868D92C}"/>
  </dataValidations>
  <pageMargins left="0.25" right="0.25" top="0.75" bottom="0.75" header="0.3" footer="0.3"/>
  <pageSetup scale="22"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AO74"/>
  <sheetViews>
    <sheetView showGridLines="0" topLeftCell="A15" zoomScale="55" zoomScaleNormal="55" workbookViewId="0">
      <selection activeCell="L29" sqref="L2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5.28515625" style="50" customWidth="1"/>
    <col min="20" max="22" width="23.42578125" style="50" customWidth="1"/>
    <col min="23" max="28" width="14.42578125" style="50" customWidth="1"/>
    <col min="29" max="29" width="16.85546875" style="50" customWidth="1"/>
    <col min="30" max="30" width="8.8554687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89"/>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1"/>
      <c r="AB1" s="566" t="s">
        <v>1</v>
      </c>
      <c r="AC1" s="567"/>
      <c r="AD1" s="568"/>
    </row>
    <row r="2" spans="1:30" ht="30.75" customHeight="1" thickBot="1" x14ac:dyDescent="0.3">
      <c r="A2" s="590"/>
      <c r="B2" s="569" t="s">
        <v>2</v>
      </c>
      <c r="C2" s="570"/>
      <c r="D2" s="570"/>
      <c r="E2" s="570"/>
      <c r="F2" s="570"/>
      <c r="G2" s="570"/>
      <c r="H2" s="570"/>
      <c r="I2" s="570"/>
      <c r="J2" s="570"/>
      <c r="K2" s="570"/>
      <c r="L2" s="570"/>
      <c r="M2" s="570"/>
      <c r="N2" s="570"/>
      <c r="O2" s="570"/>
      <c r="P2" s="570"/>
      <c r="Q2" s="570"/>
      <c r="R2" s="570"/>
      <c r="S2" s="570"/>
      <c r="T2" s="570"/>
      <c r="U2" s="570"/>
      <c r="V2" s="570"/>
      <c r="W2" s="570"/>
      <c r="X2" s="570"/>
      <c r="Y2" s="570"/>
      <c r="Z2" s="570"/>
      <c r="AA2" s="571"/>
      <c r="AB2" s="572" t="s">
        <v>3</v>
      </c>
      <c r="AC2" s="573"/>
      <c r="AD2" s="574"/>
    </row>
    <row r="3" spans="1:30" ht="24" customHeight="1" x14ac:dyDescent="0.25">
      <c r="A3" s="590"/>
      <c r="B3" s="575" t="s">
        <v>4</v>
      </c>
      <c r="C3" s="576"/>
      <c r="D3" s="576"/>
      <c r="E3" s="576"/>
      <c r="F3" s="576"/>
      <c r="G3" s="576"/>
      <c r="H3" s="576"/>
      <c r="I3" s="576"/>
      <c r="J3" s="576"/>
      <c r="K3" s="576"/>
      <c r="L3" s="576"/>
      <c r="M3" s="576"/>
      <c r="N3" s="576"/>
      <c r="O3" s="576"/>
      <c r="P3" s="576"/>
      <c r="Q3" s="576"/>
      <c r="R3" s="576"/>
      <c r="S3" s="576"/>
      <c r="T3" s="576"/>
      <c r="U3" s="576"/>
      <c r="V3" s="576"/>
      <c r="W3" s="576"/>
      <c r="X3" s="576"/>
      <c r="Y3" s="576"/>
      <c r="Z3" s="576"/>
      <c r="AA3" s="577"/>
      <c r="AB3" s="572" t="s">
        <v>5</v>
      </c>
      <c r="AC3" s="573"/>
      <c r="AD3" s="574"/>
    </row>
    <row r="4" spans="1:30" ht="21.95" customHeight="1" thickBot="1" x14ac:dyDescent="0.3">
      <c r="A4" s="591"/>
      <c r="B4" s="500"/>
      <c r="C4" s="502"/>
      <c r="D4" s="502"/>
      <c r="E4" s="502"/>
      <c r="F4" s="502"/>
      <c r="G4" s="502"/>
      <c r="H4" s="502"/>
      <c r="I4" s="502"/>
      <c r="J4" s="502"/>
      <c r="K4" s="502"/>
      <c r="L4" s="502"/>
      <c r="M4" s="502"/>
      <c r="N4" s="502"/>
      <c r="O4" s="502"/>
      <c r="P4" s="502"/>
      <c r="Q4" s="502"/>
      <c r="R4" s="502"/>
      <c r="S4" s="502"/>
      <c r="T4" s="502"/>
      <c r="U4" s="502"/>
      <c r="V4" s="502"/>
      <c r="W4" s="502"/>
      <c r="X4" s="502"/>
      <c r="Y4" s="502"/>
      <c r="Z4" s="502"/>
      <c r="AA4" s="578"/>
      <c r="AB4" s="579" t="s">
        <v>6</v>
      </c>
      <c r="AC4" s="580"/>
      <c r="AD4" s="581"/>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96" t="s">
        <v>7</v>
      </c>
      <c r="B7" s="597"/>
      <c r="C7" s="602" t="s">
        <v>8</v>
      </c>
      <c r="D7" s="596" t="s">
        <v>9</v>
      </c>
      <c r="E7" s="614"/>
      <c r="F7" s="614"/>
      <c r="G7" s="614"/>
      <c r="H7" s="597"/>
      <c r="I7" s="631">
        <v>45265</v>
      </c>
      <c r="J7" s="618"/>
      <c r="K7" s="596" t="s">
        <v>10</v>
      </c>
      <c r="L7" s="597"/>
      <c r="M7" s="584" t="s">
        <v>11</v>
      </c>
      <c r="N7" s="585"/>
      <c r="O7" s="623"/>
      <c r="P7" s="624"/>
      <c r="Q7" s="54"/>
      <c r="R7" s="54"/>
      <c r="S7" s="54"/>
      <c r="T7" s="54"/>
      <c r="U7" s="54"/>
      <c r="V7" s="54"/>
      <c r="W7" s="54"/>
      <c r="X7" s="54"/>
      <c r="Y7" s="54"/>
      <c r="Z7" s="55"/>
      <c r="AA7" s="54"/>
      <c r="AB7" s="54"/>
      <c r="AC7" s="60"/>
      <c r="AD7" s="61"/>
    </row>
    <row r="8" spans="1:30" ht="15" customHeight="1" x14ac:dyDescent="0.25">
      <c r="A8" s="598"/>
      <c r="B8" s="599"/>
      <c r="C8" s="603"/>
      <c r="D8" s="598"/>
      <c r="E8" s="615"/>
      <c r="F8" s="615"/>
      <c r="G8" s="615"/>
      <c r="H8" s="599"/>
      <c r="I8" s="619"/>
      <c r="J8" s="620"/>
      <c r="K8" s="598"/>
      <c r="L8" s="599"/>
      <c r="M8" s="625" t="s">
        <v>12</v>
      </c>
      <c r="N8" s="626"/>
      <c r="O8" s="627"/>
      <c r="P8" s="628"/>
      <c r="Q8" s="54"/>
      <c r="R8" s="54"/>
      <c r="S8" s="54"/>
      <c r="T8" s="54"/>
      <c r="U8" s="54"/>
      <c r="V8" s="54"/>
      <c r="W8" s="54"/>
      <c r="X8" s="54"/>
      <c r="Y8" s="54"/>
      <c r="Z8" s="55"/>
      <c r="AA8" s="54"/>
      <c r="AB8" s="54"/>
      <c r="AC8" s="60"/>
      <c r="AD8" s="61"/>
    </row>
    <row r="9" spans="1:30" ht="15.75" customHeight="1" x14ac:dyDescent="0.25">
      <c r="A9" s="600"/>
      <c r="B9" s="601"/>
      <c r="C9" s="604"/>
      <c r="D9" s="600"/>
      <c r="E9" s="616"/>
      <c r="F9" s="616"/>
      <c r="G9" s="616"/>
      <c r="H9" s="601"/>
      <c r="I9" s="621"/>
      <c r="J9" s="622"/>
      <c r="K9" s="600"/>
      <c r="L9" s="601"/>
      <c r="M9" s="629" t="s">
        <v>13</v>
      </c>
      <c r="N9" s="630"/>
      <c r="O9" s="582" t="s">
        <v>14</v>
      </c>
      <c r="P9" s="583"/>
      <c r="Q9" s="54"/>
      <c r="R9" s="54"/>
      <c r="S9" s="54"/>
      <c r="T9" s="54"/>
      <c r="U9" s="54"/>
      <c r="V9" s="54"/>
      <c r="W9" s="54"/>
      <c r="X9" s="54"/>
      <c r="Y9" s="54"/>
      <c r="Z9" s="55"/>
      <c r="AA9" s="54"/>
      <c r="AB9" s="54"/>
      <c r="AC9" s="60"/>
      <c r="AD9" s="61"/>
    </row>
    <row r="10" spans="1:30" ht="15" customHeight="1" x14ac:dyDescent="0.25">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596" t="s">
        <v>15</v>
      </c>
      <c r="B11" s="597"/>
      <c r="C11" s="605" t="s">
        <v>16</v>
      </c>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7"/>
    </row>
    <row r="12" spans="1:30" ht="15" customHeight="1" x14ac:dyDescent="0.25">
      <c r="A12" s="598"/>
      <c r="B12" s="599"/>
      <c r="C12" s="608"/>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10"/>
    </row>
    <row r="13" spans="1:30" ht="15" customHeight="1" thickBot="1" x14ac:dyDescent="0.3">
      <c r="A13" s="600"/>
      <c r="B13" s="601"/>
      <c r="C13" s="611"/>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47" t="s">
        <v>17</v>
      </c>
      <c r="B15" s="548"/>
      <c r="C15" s="586" t="s">
        <v>18</v>
      </c>
      <c r="D15" s="587"/>
      <c r="E15" s="587"/>
      <c r="F15" s="587"/>
      <c r="G15" s="587"/>
      <c r="H15" s="587"/>
      <c r="I15" s="587"/>
      <c r="J15" s="587"/>
      <c r="K15" s="588"/>
      <c r="L15" s="555" t="s">
        <v>19</v>
      </c>
      <c r="M15" s="559"/>
      <c r="N15" s="559"/>
      <c r="O15" s="559"/>
      <c r="P15" s="559"/>
      <c r="Q15" s="556"/>
      <c r="R15" s="552" t="s">
        <v>20</v>
      </c>
      <c r="S15" s="553"/>
      <c r="T15" s="553"/>
      <c r="U15" s="553"/>
      <c r="V15" s="553"/>
      <c r="W15" s="553"/>
      <c r="X15" s="554"/>
      <c r="Y15" s="555" t="s">
        <v>21</v>
      </c>
      <c r="Z15" s="556"/>
      <c r="AA15" s="543" t="s">
        <v>22</v>
      </c>
      <c r="AB15" s="544"/>
      <c r="AC15" s="544"/>
      <c r="AD15" s="545"/>
    </row>
    <row r="16" spans="1:30" ht="9" customHeight="1" thickBot="1" x14ac:dyDescent="0.3">
      <c r="A16" s="59"/>
      <c r="B16" s="54"/>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73"/>
      <c r="AD16" s="74"/>
    </row>
    <row r="17" spans="1:41" s="76" customFormat="1" ht="37.5" customHeight="1" thickBot="1" x14ac:dyDescent="0.3">
      <c r="A17" s="547" t="s">
        <v>23</v>
      </c>
      <c r="B17" s="548"/>
      <c r="C17" s="549" t="s">
        <v>152</v>
      </c>
      <c r="D17" s="550"/>
      <c r="E17" s="550"/>
      <c r="F17" s="550"/>
      <c r="G17" s="550"/>
      <c r="H17" s="550"/>
      <c r="I17" s="550"/>
      <c r="J17" s="550"/>
      <c r="K17" s="550"/>
      <c r="L17" s="550"/>
      <c r="M17" s="550"/>
      <c r="N17" s="550"/>
      <c r="O17" s="550"/>
      <c r="P17" s="550"/>
      <c r="Q17" s="551"/>
      <c r="R17" s="555" t="s">
        <v>25</v>
      </c>
      <c r="S17" s="559"/>
      <c r="T17" s="559"/>
      <c r="U17" s="559"/>
      <c r="V17" s="556"/>
      <c r="W17" s="557">
        <v>1</v>
      </c>
      <c r="X17" s="558"/>
      <c r="Y17" s="559" t="s">
        <v>26</v>
      </c>
      <c r="Z17" s="559"/>
      <c r="AA17" s="559"/>
      <c r="AB17" s="556"/>
      <c r="AC17" s="594">
        <v>0.2</v>
      </c>
      <c r="AD17" s="59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55" t="s">
        <v>27</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6"/>
      <c r="AE19" s="83"/>
      <c r="AF19" s="83"/>
    </row>
    <row r="20" spans="1:41" ht="32.1" customHeight="1" thickBot="1" x14ac:dyDescent="0.3">
      <c r="A20" s="82"/>
      <c r="B20" s="60"/>
      <c r="C20" s="563" t="s">
        <v>28</v>
      </c>
      <c r="D20" s="564"/>
      <c r="E20" s="564"/>
      <c r="F20" s="564"/>
      <c r="G20" s="564"/>
      <c r="H20" s="564"/>
      <c r="I20" s="564"/>
      <c r="J20" s="564"/>
      <c r="K20" s="564"/>
      <c r="L20" s="564"/>
      <c r="M20" s="564"/>
      <c r="N20" s="564"/>
      <c r="O20" s="564"/>
      <c r="P20" s="565"/>
      <c r="Q20" s="560" t="s">
        <v>29</v>
      </c>
      <c r="R20" s="561"/>
      <c r="S20" s="561"/>
      <c r="T20" s="561"/>
      <c r="U20" s="561"/>
      <c r="V20" s="561"/>
      <c r="W20" s="561"/>
      <c r="X20" s="561"/>
      <c r="Y20" s="561"/>
      <c r="Z20" s="561"/>
      <c r="AA20" s="561"/>
      <c r="AB20" s="561"/>
      <c r="AC20" s="561"/>
      <c r="AD20" s="562"/>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8</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8</v>
      </c>
      <c r="AB21" s="147" t="s">
        <v>40</v>
      </c>
      <c r="AC21" s="147" t="s">
        <v>41</v>
      </c>
      <c r="AD21" s="148" t="s">
        <v>42</v>
      </c>
      <c r="AE21" s="3"/>
      <c r="AF21" s="3"/>
    </row>
    <row r="22" spans="1:41" ht="32.1" customHeight="1" x14ac:dyDescent="0.25">
      <c r="A22" s="522" t="s">
        <v>43</v>
      </c>
      <c r="B22" s="593"/>
      <c r="C22" s="168"/>
      <c r="D22" s="166"/>
      <c r="E22" s="166"/>
      <c r="F22" s="166"/>
      <c r="G22" s="166"/>
      <c r="H22" s="166"/>
      <c r="I22" s="166"/>
      <c r="J22" s="166"/>
      <c r="K22" s="166"/>
      <c r="L22" s="166"/>
      <c r="M22" s="166"/>
      <c r="N22" s="166"/>
      <c r="O22" s="166">
        <f>SUM(C22:N22)</f>
        <v>0</v>
      </c>
      <c r="P22" s="169"/>
      <c r="Q22" s="168">
        <v>425475150</v>
      </c>
      <c r="R22" s="166"/>
      <c r="S22" s="166">
        <v>19186925</v>
      </c>
      <c r="T22" s="166">
        <f>35000000+21559511</f>
        <v>56559511</v>
      </c>
      <c r="U22" s="166"/>
      <c r="V22" s="166">
        <f>2139477+34249272+6542287</f>
        <v>42931036</v>
      </c>
      <c r="W22" s="166"/>
      <c r="X22" s="166"/>
      <c r="Y22" s="166"/>
      <c r="Z22" s="166">
        <v>-30960150</v>
      </c>
      <c r="AA22" s="166"/>
      <c r="AB22" s="166"/>
      <c r="AC22" s="166">
        <f>SUM(Q22:AB22)</f>
        <v>513192472</v>
      </c>
      <c r="AD22" s="173"/>
      <c r="AE22" s="3"/>
      <c r="AF22" s="592" t="s">
        <v>145</v>
      </c>
      <c r="AG22" s="592"/>
      <c r="AH22" s="592"/>
      <c r="AI22" s="592"/>
      <c r="AJ22" s="592"/>
      <c r="AK22" s="592"/>
      <c r="AL22" s="592"/>
      <c r="AM22" s="592"/>
    </row>
    <row r="23" spans="1:41" ht="32.1" customHeight="1" x14ac:dyDescent="0.25">
      <c r="A23" s="523" t="s">
        <v>45</v>
      </c>
      <c r="B23" s="535"/>
      <c r="C23" s="163"/>
      <c r="D23" s="162"/>
      <c r="E23" s="162"/>
      <c r="F23" s="162"/>
      <c r="G23" s="162"/>
      <c r="H23" s="162"/>
      <c r="I23" s="162"/>
      <c r="J23" s="162"/>
      <c r="K23" s="162"/>
      <c r="L23" s="162"/>
      <c r="M23" s="162"/>
      <c r="N23" s="162"/>
      <c r="O23" s="162">
        <f>SUM(C23:N23)</f>
        <v>0</v>
      </c>
      <c r="P23" s="174" t="str">
        <f>IFERROR(O23/(SUMIF(C23:N23,"&gt;0",C22:N22))," ")</f>
        <v xml:space="preserve"> </v>
      </c>
      <c r="Q23" s="168">
        <v>45618029</v>
      </c>
      <c r="R23" s="162">
        <v>274389683</v>
      </c>
      <c r="S23" s="162">
        <v>37936095</v>
      </c>
      <c r="T23" s="162">
        <v>9781083</v>
      </c>
      <c r="U23" s="162">
        <v>50047197</v>
      </c>
      <c r="V23" s="162">
        <v>21021262</v>
      </c>
      <c r="W23" s="162">
        <v>35000000</v>
      </c>
      <c r="X23" s="162">
        <v>-1750000</v>
      </c>
      <c r="Y23" s="162" t="s">
        <v>100</v>
      </c>
      <c r="Z23" s="162">
        <v>19800000</v>
      </c>
      <c r="AA23" s="162">
        <v>1701000</v>
      </c>
      <c r="AB23" s="162"/>
      <c r="AC23" s="162">
        <f>SUM(Q23:AB23)</f>
        <v>493544349</v>
      </c>
      <c r="AD23" s="171">
        <f>+AC23/AC22</f>
        <v>0.96171392981773907</v>
      </c>
      <c r="AE23" s="3"/>
      <c r="AF23" s="592"/>
      <c r="AG23" s="592"/>
      <c r="AH23" s="592"/>
      <c r="AI23" s="592"/>
      <c r="AJ23" s="592"/>
      <c r="AK23" s="592"/>
      <c r="AL23" s="592"/>
      <c r="AM23" s="592"/>
    </row>
    <row r="24" spans="1:41" ht="32.1" customHeight="1" x14ac:dyDescent="0.25">
      <c r="A24" s="523" t="s">
        <v>47</v>
      </c>
      <c r="B24" s="535"/>
      <c r="C24" s="300">
        <f>25110242+1804187+19304540</f>
        <v>46218969</v>
      </c>
      <c r="D24" s="301">
        <f>1749515+3375000+3750000+461422+1166666+618000+432600+475860+4505045</f>
        <v>16534108</v>
      </c>
      <c r="E24" s="162">
        <v>4956875</v>
      </c>
      <c r="F24" s="162">
        <v>5038625</v>
      </c>
      <c r="G24" s="162" t="s">
        <v>101</v>
      </c>
      <c r="H24" s="162" t="s">
        <v>101</v>
      </c>
      <c r="I24" s="162" t="s">
        <v>101</v>
      </c>
      <c r="J24" s="162" t="s">
        <v>101</v>
      </c>
      <c r="K24" s="162">
        <v>-10128</v>
      </c>
      <c r="L24" s="162"/>
      <c r="M24" s="162">
        <v>-1166666</v>
      </c>
      <c r="N24" s="162"/>
      <c r="O24" s="184">
        <f>SUM(C24:N24)</f>
        <v>71571783</v>
      </c>
      <c r="P24" s="167"/>
      <c r="Q24" s="163"/>
      <c r="R24" s="301">
        <v>18502650</v>
      </c>
      <c r="S24" s="162">
        <v>36997500</v>
      </c>
      <c r="T24" s="162">
        <f>36997500+1918693</f>
        <v>38916193</v>
      </c>
      <c r="U24" s="162">
        <f>36997500+1918693+3888889+21559511</f>
        <v>64364593</v>
      </c>
      <c r="V24" s="162">
        <f>36997500+1918693+3888889+6542287</f>
        <v>49347369</v>
      </c>
      <c r="W24" s="162">
        <f>36997500+1918693+2139477+3888889+11416424</f>
        <v>56360983</v>
      </c>
      <c r="X24" s="162">
        <f>36997500+1918693+3888889</f>
        <v>42805082</v>
      </c>
      <c r="Y24" s="162">
        <f>36997500+1918692+3888889+11416424</f>
        <v>54221505</v>
      </c>
      <c r="Z24" s="162">
        <f>36997500+1918692+3888889-30960150</f>
        <v>11844931</v>
      </c>
      <c r="AA24" s="162">
        <f>36997500+1918692+3888889+11416424</f>
        <v>54221505</v>
      </c>
      <c r="AB24" s="162">
        <f>73995000+3837384+7777777</f>
        <v>85610161</v>
      </c>
      <c r="AC24" s="162">
        <f>SUM(Q24:AB24)</f>
        <v>513192472</v>
      </c>
      <c r="AD24" s="171"/>
      <c r="AE24" s="3"/>
      <c r="AF24" s="592"/>
      <c r="AG24" s="592"/>
      <c r="AH24" s="592"/>
      <c r="AI24" s="592"/>
      <c r="AJ24" s="592"/>
      <c r="AK24" s="592"/>
      <c r="AL24" s="592"/>
      <c r="AM24" s="592"/>
    </row>
    <row r="25" spans="1:41" ht="32.1" customHeight="1" x14ac:dyDescent="0.25">
      <c r="A25" s="479" t="s">
        <v>50</v>
      </c>
      <c r="B25" s="542"/>
      <c r="C25" s="310">
        <v>2894648</v>
      </c>
      <c r="D25" s="299">
        <v>31987653</v>
      </c>
      <c r="E25" s="299">
        <v>22040035</v>
      </c>
      <c r="F25" s="299">
        <v>10889552</v>
      </c>
      <c r="G25" s="299" t="s">
        <v>101</v>
      </c>
      <c r="H25" s="299">
        <v>384895</v>
      </c>
      <c r="I25" s="299" t="s">
        <v>101</v>
      </c>
      <c r="J25" s="299" t="s">
        <v>101</v>
      </c>
      <c r="K25" s="299" t="s">
        <v>101</v>
      </c>
      <c r="L25" s="165">
        <v>3375000</v>
      </c>
      <c r="M25" s="165">
        <v>0</v>
      </c>
      <c r="N25" s="165"/>
      <c r="O25" s="165">
        <f>SUM(C25:N25)</f>
        <v>71571783</v>
      </c>
      <c r="P25" s="170">
        <f>IFERROR(O25/(SUMIF(C25:N25,"&gt;0",C24:N24))," ")</f>
        <v>0.98382382104876087</v>
      </c>
      <c r="Q25" s="164"/>
      <c r="R25" s="299">
        <v>944067</v>
      </c>
      <c r="S25" s="299">
        <v>14912614</v>
      </c>
      <c r="T25" s="299">
        <v>28115866</v>
      </c>
      <c r="U25" s="299">
        <v>36909462</v>
      </c>
      <c r="V25" s="299">
        <v>45540923</v>
      </c>
      <c r="W25" s="299">
        <v>64584730</v>
      </c>
      <c r="X25" s="299">
        <v>37854300</v>
      </c>
      <c r="Y25" s="299">
        <v>36737124</v>
      </c>
      <c r="Z25" s="165">
        <v>50273231</v>
      </c>
      <c r="AA25" s="165">
        <v>47767096</v>
      </c>
      <c r="AB25" s="165"/>
      <c r="AC25" s="165">
        <f>SUM(Q25:AB25)</f>
        <v>363639413</v>
      </c>
      <c r="AD25" s="172">
        <f>+AC25/AC24</f>
        <v>0.70858290571339477</v>
      </c>
      <c r="AE25" s="3"/>
      <c r="AF25" s="592"/>
      <c r="AG25" s="592"/>
      <c r="AH25" s="592"/>
      <c r="AI25" s="592"/>
      <c r="AJ25" s="592"/>
      <c r="AK25" s="592"/>
      <c r="AL25" s="592"/>
      <c r="AM25" s="592"/>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38" t="s">
        <v>52</v>
      </c>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1"/>
    </row>
    <row r="28" spans="1:41" ht="15" customHeight="1" x14ac:dyDescent="0.25">
      <c r="A28" s="531" t="s">
        <v>53</v>
      </c>
      <c r="B28" s="533" t="s">
        <v>54</v>
      </c>
      <c r="C28" s="534"/>
      <c r="D28" s="535" t="s">
        <v>55</v>
      </c>
      <c r="E28" s="536"/>
      <c r="F28" s="536"/>
      <c r="G28" s="536"/>
      <c r="H28" s="536"/>
      <c r="I28" s="536"/>
      <c r="J28" s="536"/>
      <c r="K28" s="536"/>
      <c r="L28" s="536"/>
      <c r="M28" s="536"/>
      <c r="N28" s="536"/>
      <c r="O28" s="530"/>
      <c r="P28" s="524" t="s">
        <v>41</v>
      </c>
      <c r="Q28" s="524" t="s">
        <v>56</v>
      </c>
      <c r="R28" s="524"/>
      <c r="S28" s="524"/>
      <c r="T28" s="524"/>
      <c r="U28" s="524"/>
      <c r="V28" s="524"/>
      <c r="W28" s="524"/>
      <c r="X28" s="524"/>
      <c r="Y28" s="524"/>
      <c r="Z28" s="524"/>
      <c r="AA28" s="524"/>
      <c r="AB28" s="524"/>
      <c r="AC28" s="524"/>
      <c r="AD28" s="537"/>
    </row>
    <row r="29" spans="1:41" ht="27" customHeight="1" x14ac:dyDescent="0.25">
      <c r="A29" s="532"/>
      <c r="B29" s="527"/>
      <c r="C29" s="482"/>
      <c r="D29" s="88" t="s">
        <v>30</v>
      </c>
      <c r="E29" s="88" t="s">
        <v>31</v>
      </c>
      <c r="F29" s="88" t="s">
        <v>32</v>
      </c>
      <c r="G29" s="88" t="s">
        <v>33</v>
      </c>
      <c r="H29" s="88" t="s">
        <v>34</v>
      </c>
      <c r="I29" s="88" t="s">
        <v>35</v>
      </c>
      <c r="J29" s="88" t="s">
        <v>36</v>
      </c>
      <c r="K29" s="88" t="s">
        <v>37</v>
      </c>
      <c r="L29" s="88" t="s">
        <v>38</v>
      </c>
      <c r="M29" s="88" t="s">
        <v>39</v>
      </c>
      <c r="N29" s="88" t="s">
        <v>8</v>
      </c>
      <c r="O29" s="88" t="s">
        <v>40</v>
      </c>
      <c r="P29" s="530"/>
      <c r="Q29" s="524"/>
      <c r="R29" s="524"/>
      <c r="S29" s="524"/>
      <c r="T29" s="524"/>
      <c r="U29" s="524"/>
      <c r="V29" s="524"/>
      <c r="W29" s="524"/>
      <c r="X29" s="524"/>
      <c r="Y29" s="524"/>
      <c r="Z29" s="524"/>
      <c r="AA29" s="524"/>
      <c r="AB29" s="524"/>
      <c r="AC29" s="524"/>
      <c r="AD29" s="537"/>
    </row>
    <row r="30" spans="1:41" ht="68.25" customHeight="1" thickBot="1" x14ac:dyDescent="0.3">
      <c r="A30" s="85" t="s">
        <v>153</v>
      </c>
      <c r="B30" s="515"/>
      <c r="C30" s="516"/>
      <c r="D30" s="89"/>
      <c r="E30" s="89"/>
      <c r="F30" s="89"/>
      <c r="G30" s="89"/>
      <c r="H30" s="89"/>
      <c r="I30" s="89"/>
      <c r="J30" s="89"/>
      <c r="K30" s="89"/>
      <c r="L30" s="89"/>
      <c r="M30" s="89"/>
      <c r="N30" s="89"/>
      <c r="O30" s="89"/>
      <c r="P30" s="86">
        <f>SUM(D30:O30)</f>
        <v>0</v>
      </c>
      <c r="Q30" s="517"/>
      <c r="R30" s="517"/>
      <c r="S30" s="517"/>
      <c r="T30" s="517"/>
      <c r="U30" s="517"/>
      <c r="V30" s="517"/>
      <c r="W30" s="517"/>
      <c r="X30" s="517"/>
      <c r="Y30" s="517"/>
      <c r="Z30" s="517"/>
      <c r="AA30" s="517"/>
      <c r="AB30" s="517"/>
      <c r="AC30" s="517"/>
      <c r="AD30" s="518"/>
    </row>
    <row r="31" spans="1:41" ht="45" customHeight="1" thickBot="1" x14ac:dyDescent="0.3">
      <c r="A31" s="519" t="s">
        <v>58</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1"/>
    </row>
    <row r="32" spans="1:41" ht="23.1" customHeight="1" x14ac:dyDescent="0.25">
      <c r="A32" s="522" t="s">
        <v>59</v>
      </c>
      <c r="B32" s="480" t="s">
        <v>60</v>
      </c>
      <c r="C32" s="480" t="s">
        <v>54</v>
      </c>
      <c r="D32" s="526" t="s">
        <v>61</v>
      </c>
      <c r="E32" s="480"/>
      <c r="F32" s="480"/>
      <c r="G32" s="480"/>
      <c r="H32" s="480"/>
      <c r="I32" s="480"/>
      <c r="J32" s="480"/>
      <c r="K32" s="480"/>
      <c r="L32" s="480"/>
      <c r="M32" s="480"/>
      <c r="N32" s="480"/>
      <c r="O32" s="480"/>
      <c r="P32" s="483"/>
      <c r="Q32" s="522" t="s">
        <v>62</v>
      </c>
      <c r="R32" s="480"/>
      <c r="S32" s="480"/>
      <c r="T32" s="480"/>
      <c r="U32" s="480"/>
      <c r="V32" s="480"/>
      <c r="W32" s="480"/>
      <c r="X32" s="480"/>
      <c r="Y32" s="480"/>
      <c r="Z32" s="480"/>
      <c r="AA32" s="480"/>
      <c r="AB32" s="480"/>
      <c r="AC32" s="480"/>
      <c r="AD32" s="483"/>
      <c r="AG32" s="87"/>
      <c r="AH32" s="87"/>
      <c r="AI32" s="87"/>
      <c r="AJ32" s="87"/>
      <c r="AK32" s="87"/>
      <c r="AL32" s="87"/>
      <c r="AM32" s="87"/>
      <c r="AN32" s="87"/>
      <c r="AO32" s="87"/>
    </row>
    <row r="33" spans="1:41" ht="27" customHeight="1" x14ac:dyDescent="0.25">
      <c r="A33" s="523"/>
      <c r="B33" s="524"/>
      <c r="C33" s="790"/>
      <c r="D33" s="232" t="s">
        <v>30</v>
      </c>
      <c r="E33" s="226" t="s">
        <v>31</v>
      </c>
      <c r="F33" s="226" t="s">
        <v>32</v>
      </c>
      <c r="G33" s="226" t="s">
        <v>33</v>
      </c>
      <c r="H33" s="226" t="s">
        <v>34</v>
      </c>
      <c r="I33" s="226" t="s">
        <v>35</v>
      </c>
      <c r="J33" s="226" t="s">
        <v>36</v>
      </c>
      <c r="K33" s="226" t="s">
        <v>37</v>
      </c>
      <c r="L33" s="226" t="s">
        <v>38</v>
      </c>
      <c r="M33" s="226" t="s">
        <v>39</v>
      </c>
      <c r="N33" s="226" t="s">
        <v>8</v>
      </c>
      <c r="O33" s="226" t="s">
        <v>40</v>
      </c>
      <c r="P33" s="227" t="s">
        <v>41</v>
      </c>
      <c r="Q33" s="479" t="s">
        <v>63</v>
      </c>
      <c r="R33" s="481"/>
      <c r="S33" s="481"/>
      <c r="T33" s="481" t="s">
        <v>64</v>
      </c>
      <c r="U33" s="481"/>
      <c r="V33" s="481"/>
      <c r="W33" s="704" t="s">
        <v>65</v>
      </c>
      <c r="X33" s="564"/>
      <c r="Y33" s="564"/>
      <c r="Z33" s="810"/>
      <c r="AA33" s="704" t="s">
        <v>66</v>
      </c>
      <c r="AB33" s="564"/>
      <c r="AC33" s="564"/>
      <c r="AD33" s="565"/>
      <c r="AG33" s="87"/>
      <c r="AH33" s="87"/>
      <c r="AI33" s="87"/>
      <c r="AJ33" s="87"/>
      <c r="AK33" s="87"/>
      <c r="AL33" s="87"/>
      <c r="AM33" s="87"/>
      <c r="AN33" s="87"/>
      <c r="AO33" s="87"/>
    </row>
    <row r="34" spans="1:41" ht="158.25" customHeight="1" x14ac:dyDescent="0.25">
      <c r="A34" s="705" t="s">
        <v>153</v>
      </c>
      <c r="B34" s="501">
        <v>0.2</v>
      </c>
      <c r="C34" s="102" t="s">
        <v>67</v>
      </c>
      <c r="D34" s="239">
        <v>1</v>
      </c>
      <c r="E34" s="240">
        <v>1</v>
      </c>
      <c r="F34" s="240">
        <v>1</v>
      </c>
      <c r="G34" s="240">
        <v>1</v>
      </c>
      <c r="H34" s="240">
        <v>1</v>
      </c>
      <c r="I34" s="240">
        <v>1</v>
      </c>
      <c r="J34" s="240">
        <v>1</v>
      </c>
      <c r="K34" s="240">
        <v>1</v>
      </c>
      <c r="L34" s="240">
        <v>1</v>
      </c>
      <c r="M34" s="240">
        <v>1</v>
      </c>
      <c r="N34" s="240">
        <v>1</v>
      </c>
      <c r="O34" s="240">
        <v>1</v>
      </c>
      <c r="P34" s="240">
        <v>1</v>
      </c>
      <c r="Q34" s="813" t="s">
        <v>154</v>
      </c>
      <c r="R34" s="813"/>
      <c r="S34" s="814"/>
      <c r="T34" s="813" t="s">
        <v>155</v>
      </c>
      <c r="U34" s="813"/>
      <c r="V34" s="814"/>
      <c r="W34" s="816" t="s">
        <v>156</v>
      </c>
      <c r="X34" s="817"/>
      <c r="Y34" s="817"/>
      <c r="Z34" s="818"/>
      <c r="AA34" s="816"/>
      <c r="AB34" s="817"/>
      <c r="AC34" s="817"/>
      <c r="AD34" s="822"/>
      <c r="AG34" s="87"/>
      <c r="AH34" s="87"/>
      <c r="AI34" s="87"/>
      <c r="AJ34" s="87"/>
      <c r="AK34" s="87"/>
      <c r="AL34" s="87"/>
      <c r="AM34" s="87"/>
      <c r="AN34" s="87"/>
      <c r="AO34" s="87"/>
    </row>
    <row r="35" spans="1:41" ht="76.5" customHeight="1" x14ac:dyDescent="0.25">
      <c r="A35" s="706"/>
      <c r="B35" s="502"/>
      <c r="C35" s="91" t="s">
        <v>72</v>
      </c>
      <c r="D35" s="273">
        <v>0</v>
      </c>
      <c r="E35" s="273">
        <v>1</v>
      </c>
      <c r="F35" s="273">
        <v>1</v>
      </c>
      <c r="G35" s="273">
        <v>1</v>
      </c>
      <c r="H35" s="273">
        <v>1</v>
      </c>
      <c r="I35" s="273">
        <v>1</v>
      </c>
      <c r="J35" s="273">
        <v>1</v>
      </c>
      <c r="K35" s="273">
        <v>1</v>
      </c>
      <c r="L35" s="273">
        <v>1</v>
      </c>
      <c r="M35" s="273">
        <v>1</v>
      </c>
      <c r="N35" s="273" t="s">
        <v>48</v>
      </c>
      <c r="O35" s="353" t="s">
        <v>48</v>
      </c>
      <c r="P35" s="358">
        <v>1</v>
      </c>
      <c r="Q35" s="676"/>
      <c r="R35" s="676"/>
      <c r="S35" s="677"/>
      <c r="T35" s="676"/>
      <c r="U35" s="676"/>
      <c r="V35" s="677"/>
      <c r="W35" s="819"/>
      <c r="X35" s="820"/>
      <c r="Y35" s="820"/>
      <c r="Z35" s="821"/>
      <c r="AA35" s="819"/>
      <c r="AB35" s="820"/>
      <c r="AC35" s="820"/>
      <c r="AD35" s="823"/>
      <c r="AE35" s="49"/>
      <c r="AG35" s="87"/>
      <c r="AH35" s="87"/>
      <c r="AI35" s="87"/>
      <c r="AJ35" s="87"/>
      <c r="AK35" s="87"/>
      <c r="AL35" s="87"/>
      <c r="AM35" s="87"/>
      <c r="AN35" s="87"/>
      <c r="AO35" s="87"/>
    </row>
    <row r="36" spans="1:41" ht="26.1" customHeight="1" x14ac:dyDescent="0.25">
      <c r="A36" s="522" t="s">
        <v>73</v>
      </c>
      <c r="B36" s="480" t="s">
        <v>74</v>
      </c>
      <c r="C36" s="526" t="s">
        <v>75</v>
      </c>
      <c r="D36" s="480"/>
      <c r="E36" s="480"/>
      <c r="F36" s="480"/>
      <c r="G36" s="480"/>
      <c r="H36" s="480"/>
      <c r="I36" s="480"/>
      <c r="J36" s="480"/>
      <c r="K36" s="480"/>
      <c r="L36" s="480"/>
      <c r="M36" s="480"/>
      <c r="N36" s="480"/>
      <c r="O36" s="480"/>
      <c r="P36" s="483"/>
      <c r="Q36" s="691" t="s">
        <v>76</v>
      </c>
      <c r="R36" s="643"/>
      <c r="S36" s="643"/>
      <c r="T36" s="643"/>
      <c r="U36" s="643"/>
      <c r="V36" s="643"/>
      <c r="W36" s="643"/>
      <c r="X36" s="643"/>
      <c r="Y36" s="643"/>
      <c r="Z36" s="643"/>
      <c r="AA36" s="643"/>
      <c r="AB36" s="643"/>
      <c r="AC36" s="643"/>
      <c r="AD36" s="644"/>
      <c r="AG36" s="87"/>
      <c r="AH36" s="87"/>
      <c r="AI36" s="87"/>
      <c r="AJ36" s="87"/>
      <c r="AK36" s="87"/>
      <c r="AL36" s="87"/>
      <c r="AM36" s="87"/>
      <c r="AN36" s="87"/>
      <c r="AO36" s="87"/>
    </row>
    <row r="37" spans="1:41" ht="26.1" customHeight="1" x14ac:dyDescent="0.25">
      <c r="A37" s="479"/>
      <c r="B37" s="481"/>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92" t="s">
        <v>91</v>
      </c>
      <c r="R37" s="645"/>
      <c r="S37" s="645"/>
      <c r="T37" s="645"/>
      <c r="U37" s="645"/>
      <c r="V37" s="645"/>
      <c r="W37" s="645"/>
      <c r="X37" s="645"/>
      <c r="Y37" s="645"/>
      <c r="Z37" s="645"/>
      <c r="AA37" s="645"/>
      <c r="AB37" s="645"/>
      <c r="AC37" s="645"/>
      <c r="AD37" s="646"/>
      <c r="AG37" s="94"/>
      <c r="AH37" s="94"/>
      <c r="AI37" s="94"/>
      <c r="AJ37" s="94"/>
      <c r="AK37" s="94"/>
      <c r="AL37" s="94"/>
      <c r="AM37" s="94"/>
      <c r="AN37" s="94"/>
      <c r="AO37" s="94"/>
    </row>
    <row r="38" spans="1:41" ht="56.25" customHeight="1" x14ac:dyDescent="0.25">
      <c r="A38" s="827" t="s">
        <v>157</v>
      </c>
      <c r="B38" s="657">
        <v>0.08</v>
      </c>
      <c r="C38" s="188" t="s">
        <v>67</v>
      </c>
      <c r="D38" s="262">
        <v>0</v>
      </c>
      <c r="E38" s="268">
        <v>0.06</v>
      </c>
      <c r="F38" s="268">
        <v>0.105</v>
      </c>
      <c r="G38" s="268">
        <v>0.105</v>
      </c>
      <c r="H38" s="268">
        <v>0.105</v>
      </c>
      <c r="I38" s="268">
        <v>0.105</v>
      </c>
      <c r="J38" s="268">
        <v>0.105</v>
      </c>
      <c r="K38" s="268">
        <v>0.105</v>
      </c>
      <c r="L38" s="268">
        <v>0.105</v>
      </c>
      <c r="M38" s="268">
        <v>0.105</v>
      </c>
      <c r="N38" s="268">
        <v>0.1</v>
      </c>
      <c r="O38" s="268">
        <v>0</v>
      </c>
      <c r="P38" s="223">
        <f t="shared" ref="P38:P43" si="0">SUM(D38:O38)</f>
        <v>0.99999999999999989</v>
      </c>
      <c r="Q38" s="806" t="s">
        <v>158</v>
      </c>
      <c r="R38" s="806"/>
      <c r="S38" s="806"/>
      <c r="T38" s="806"/>
      <c r="U38" s="806"/>
      <c r="V38" s="806"/>
      <c r="W38" s="806"/>
      <c r="X38" s="806"/>
      <c r="Y38" s="806"/>
      <c r="Z38" s="806"/>
      <c r="AA38" s="806"/>
      <c r="AB38" s="806"/>
      <c r="AC38" s="806"/>
      <c r="AD38" s="807"/>
      <c r="AE38" s="97"/>
      <c r="AG38" s="98"/>
      <c r="AH38" s="98"/>
      <c r="AI38" s="98"/>
      <c r="AJ38" s="98"/>
      <c r="AK38" s="98"/>
      <c r="AL38" s="98"/>
      <c r="AM38" s="98"/>
      <c r="AN38" s="98"/>
      <c r="AO38" s="98"/>
    </row>
    <row r="39" spans="1:41" ht="56.25" customHeight="1" x14ac:dyDescent="0.25">
      <c r="A39" s="694"/>
      <c r="B39" s="492"/>
      <c r="C39" s="189" t="s">
        <v>72</v>
      </c>
      <c r="D39" s="256">
        <v>0</v>
      </c>
      <c r="E39" s="257">
        <v>0.06</v>
      </c>
      <c r="F39" s="257">
        <v>0.105</v>
      </c>
      <c r="G39" s="257">
        <v>0.105</v>
      </c>
      <c r="H39" s="257">
        <v>0.105</v>
      </c>
      <c r="I39" s="257">
        <v>0.105</v>
      </c>
      <c r="J39" s="257">
        <v>0.105</v>
      </c>
      <c r="K39" s="257">
        <v>0.105</v>
      </c>
      <c r="L39" s="257">
        <v>0.105</v>
      </c>
      <c r="M39" s="257">
        <f>+M38</f>
        <v>0.105</v>
      </c>
      <c r="N39" s="433">
        <f>+N38</f>
        <v>0.1</v>
      </c>
      <c r="O39" s="257" t="s">
        <v>48</v>
      </c>
      <c r="P39" s="224">
        <f t="shared" si="0"/>
        <v>0.99999999999999989</v>
      </c>
      <c r="Q39" s="806"/>
      <c r="R39" s="806"/>
      <c r="S39" s="806"/>
      <c r="T39" s="806"/>
      <c r="U39" s="806"/>
      <c r="V39" s="806"/>
      <c r="W39" s="806"/>
      <c r="X39" s="806"/>
      <c r="Y39" s="806"/>
      <c r="Z39" s="806"/>
      <c r="AA39" s="806"/>
      <c r="AB39" s="806"/>
      <c r="AC39" s="806"/>
      <c r="AD39" s="807"/>
      <c r="AE39" s="97"/>
    </row>
    <row r="40" spans="1:41" ht="35.25" customHeight="1" x14ac:dyDescent="0.25">
      <c r="A40" s="693" t="s">
        <v>159</v>
      </c>
      <c r="B40" s="470">
        <v>7.0000000000000007E-2</v>
      </c>
      <c r="C40" s="190" t="s">
        <v>67</v>
      </c>
      <c r="D40" s="263">
        <v>0</v>
      </c>
      <c r="E40" s="246">
        <v>9.5000000000000001E-2</v>
      </c>
      <c r="F40" s="246">
        <v>9.5000000000000001E-2</v>
      </c>
      <c r="G40" s="246">
        <v>9.5000000000000001E-2</v>
      </c>
      <c r="H40" s="246">
        <v>9.5000000000000001E-2</v>
      </c>
      <c r="I40" s="246">
        <v>9.5000000000000001E-2</v>
      </c>
      <c r="J40" s="246">
        <v>9.5000000000000001E-2</v>
      </c>
      <c r="K40" s="246">
        <v>9.5000000000000001E-2</v>
      </c>
      <c r="L40" s="246">
        <v>9.5000000000000001E-2</v>
      </c>
      <c r="M40" s="246">
        <v>9.5000000000000001E-2</v>
      </c>
      <c r="N40" s="246">
        <v>9.5000000000000001E-2</v>
      </c>
      <c r="O40" s="246">
        <v>0.05</v>
      </c>
      <c r="P40" s="224">
        <f t="shared" si="0"/>
        <v>0.99999999999999989</v>
      </c>
      <c r="Q40" s="826" t="s">
        <v>160</v>
      </c>
      <c r="R40" s="824"/>
      <c r="S40" s="824"/>
      <c r="T40" s="824"/>
      <c r="U40" s="824"/>
      <c r="V40" s="824"/>
      <c r="W40" s="824"/>
      <c r="X40" s="824"/>
      <c r="Y40" s="824"/>
      <c r="Z40" s="824"/>
      <c r="AA40" s="824"/>
      <c r="AB40" s="824"/>
      <c r="AC40" s="824"/>
      <c r="AD40" s="825"/>
      <c r="AE40" s="97"/>
    </row>
    <row r="41" spans="1:41" ht="35.25" customHeight="1" x14ac:dyDescent="0.25">
      <c r="A41" s="694"/>
      <c r="B41" s="492"/>
      <c r="C41" s="189" t="s">
        <v>72</v>
      </c>
      <c r="D41" s="256">
        <v>0</v>
      </c>
      <c r="E41" s="257">
        <v>9.5000000000000001E-2</v>
      </c>
      <c r="F41" s="257">
        <v>9.5000000000000001E-2</v>
      </c>
      <c r="G41" s="257">
        <v>9.5000000000000001E-2</v>
      </c>
      <c r="H41" s="257">
        <v>9.5000000000000001E-2</v>
      </c>
      <c r="I41" s="257">
        <v>9.5000000000000001E-2</v>
      </c>
      <c r="J41" s="257">
        <v>9.5000000000000001E-2</v>
      </c>
      <c r="K41" s="257">
        <v>9.5000000000000001E-2</v>
      </c>
      <c r="L41" s="257">
        <v>9.5000000000000001E-2</v>
      </c>
      <c r="M41" s="257">
        <f>+M40</f>
        <v>9.5000000000000001E-2</v>
      </c>
      <c r="N41" s="433">
        <f>+N40</f>
        <v>9.5000000000000001E-2</v>
      </c>
      <c r="O41" s="257" t="s">
        <v>48</v>
      </c>
      <c r="P41" s="224">
        <f t="shared" si="0"/>
        <v>0.94999999999999984</v>
      </c>
      <c r="Q41" s="806"/>
      <c r="R41" s="806"/>
      <c r="S41" s="806"/>
      <c r="T41" s="806"/>
      <c r="U41" s="806"/>
      <c r="V41" s="806"/>
      <c r="W41" s="806"/>
      <c r="X41" s="806"/>
      <c r="Y41" s="806"/>
      <c r="Z41" s="806"/>
      <c r="AA41" s="806"/>
      <c r="AB41" s="806"/>
      <c r="AC41" s="806"/>
      <c r="AD41" s="807"/>
      <c r="AE41" s="97"/>
    </row>
    <row r="42" spans="1:41" ht="35.25" customHeight="1" x14ac:dyDescent="0.25">
      <c r="A42" s="701" t="s">
        <v>161</v>
      </c>
      <c r="B42" s="657">
        <v>0.05</v>
      </c>
      <c r="C42" s="190" t="s">
        <v>67</v>
      </c>
      <c r="D42" s="263">
        <v>0</v>
      </c>
      <c r="E42" s="246">
        <v>0.17</v>
      </c>
      <c r="F42" s="246">
        <v>0</v>
      </c>
      <c r="G42" s="246">
        <v>0.16600000000000001</v>
      </c>
      <c r="H42" s="246">
        <v>0</v>
      </c>
      <c r="I42" s="246">
        <v>0.16600000000000001</v>
      </c>
      <c r="J42" s="246">
        <v>0</v>
      </c>
      <c r="K42" s="246">
        <v>0.16600000000000001</v>
      </c>
      <c r="L42" s="246">
        <v>0</v>
      </c>
      <c r="M42" s="246">
        <v>0.16600000000000001</v>
      </c>
      <c r="N42" s="246">
        <v>0</v>
      </c>
      <c r="O42" s="246">
        <v>0.16600000000000001</v>
      </c>
      <c r="P42" s="224">
        <f t="shared" si="0"/>
        <v>1</v>
      </c>
      <c r="Q42" s="824" t="s">
        <v>162</v>
      </c>
      <c r="R42" s="824"/>
      <c r="S42" s="824"/>
      <c r="T42" s="824"/>
      <c r="U42" s="824"/>
      <c r="V42" s="824"/>
      <c r="W42" s="824"/>
      <c r="X42" s="824"/>
      <c r="Y42" s="824"/>
      <c r="Z42" s="824"/>
      <c r="AA42" s="824"/>
      <c r="AB42" s="824"/>
      <c r="AC42" s="824"/>
      <c r="AD42" s="825"/>
      <c r="AE42" s="97"/>
    </row>
    <row r="43" spans="1:41" ht="35.25" customHeight="1" x14ac:dyDescent="0.25">
      <c r="A43" s="702"/>
      <c r="B43" s="471"/>
      <c r="C43" s="238" t="s">
        <v>72</v>
      </c>
      <c r="D43" s="261">
        <v>0</v>
      </c>
      <c r="E43" s="248">
        <v>0.17</v>
      </c>
      <c r="F43" s="248">
        <v>0</v>
      </c>
      <c r="G43" s="248">
        <v>0.16600000000000001</v>
      </c>
      <c r="H43" s="248">
        <v>0</v>
      </c>
      <c r="I43" s="248">
        <v>0.16600000000000001</v>
      </c>
      <c r="J43" s="248">
        <v>0</v>
      </c>
      <c r="K43" s="248">
        <v>0.16600000000000001</v>
      </c>
      <c r="L43" s="257">
        <v>0</v>
      </c>
      <c r="M43" s="257">
        <f>+M42</f>
        <v>0.16600000000000001</v>
      </c>
      <c r="N43" s="433">
        <f>+N42</f>
        <v>0</v>
      </c>
      <c r="O43" s="248" t="s">
        <v>48</v>
      </c>
      <c r="P43" s="225">
        <f t="shared" si="0"/>
        <v>0.83400000000000007</v>
      </c>
      <c r="Q43" s="808"/>
      <c r="R43" s="808"/>
      <c r="S43" s="808"/>
      <c r="T43" s="808"/>
      <c r="U43" s="808"/>
      <c r="V43" s="808"/>
      <c r="W43" s="808"/>
      <c r="X43" s="808"/>
      <c r="Y43" s="808"/>
      <c r="Z43" s="808"/>
      <c r="AA43" s="808"/>
      <c r="AB43" s="808"/>
      <c r="AC43" s="808"/>
      <c r="AD43" s="809"/>
      <c r="AE43" s="97"/>
    </row>
    <row r="44" spans="1:41" x14ac:dyDescent="0.25">
      <c r="A44" s="50" t="s">
        <v>96</v>
      </c>
    </row>
    <row r="55" spans="1:30" x14ac:dyDescent="0.25">
      <c r="A55" s="454" t="s">
        <v>97</v>
      </c>
      <c r="B55" s="456" t="s">
        <v>74</v>
      </c>
      <c r="C55" s="458" t="s">
        <v>75</v>
      </c>
      <c r="D55" s="459"/>
      <c r="E55" s="459"/>
      <c r="F55" s="459"/>
      <c r="G55" s="459"/>
      <c r="H55" s="459"/>
      <c r="I55" s="459"/>
      <c r="J55" s="459"/>
      <c r="K55" s="459"/>
      <c r="L55" s="459"/>
      <c r="M55" s="459"/>
      <c r="N55" s="459"/>
      <c r="O55" s="459"/>
      <c r="P55" s="460"/>
      <c r="Q55" s="191"/>
      <c r="R55" s="191"/>
      <c r="S55" s="192"/>
      <c r="T55" s="192"/>
      <c r="U55" s="192"/>
      <c r="V55" s="192"/>
      <c r="W55" s="192"/>
      <c r="X55" s="192"/>
      <c r="Y55" s="192"/>
      <c r="Z55" s="192"/>
      <c r="AA55" s="192"/>
      <c r="AB55" s="192"/>
      <c r="AC55" s="192"/>
      <c r="AD55" s="192"/>
    </row>
    <row r="56" spans="1:30" ht="21" x14ac:dyDescent="0.25">
      <c r="A56" s="455"/>
      <c r="B56" s="457"/>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461" t="str">
        <f>A38</f>
        <v xml:space="preserve">13. Implementar los talleres de cambio cultural </v>
      </c>
      <c r="B57" s="463">
        <f>B38</f>
        <v>0.08</v>
      </c>
      <c r="C57" s="194" t="s">
        <v>67</v>
      </c>
      <c r="D57" s="195">
        <f>D38*$B$38/$P$38</f>
        <v>0</v>
      </c>
      <c r="E57" s="195">
        <f t="shared" ref="D57:O58" si="1">E38*$B$38/$P$38</f>
        <v>4.8000000000000004E-3</v>
      </c>
      <c r="F57" s="195">
        <f t="shared" si="1"/>
        <v>8.4000000000000012E-3</v>
      </c>
      <c r="G57" s="195">
        <f t="shared" si="1"/>
        <v>8.4000000000000012E-3</v>
      </c>
      <c r="H57" s="195">
        <f t="shared" si="1"/>
        <v>8.4000000000000012E-3</v>
      </c>
      <c r="I57" s="195">
        <f t="shared" si="1"/>
        <v>8.4000000000000012E-3</v>
      </c>
      <c r="J57" s="195">
        <f t="shared" si="1"/>
        <v>8.4000000000000012E-3</v>
      </c>
      <c r="K57" s="195">
        <f t="shared" si="1"/>
        <v>8.4000000000000012E-3</v>
      </c>
      <c r="L57" s="195">
        <f t="shared" si="1"/>
        <v>8.4000000000000012E-3</v>
      </c>
      <c r="M57" s="195">
        <f t="shared" si="1"/>
        <v>8.4000000000000012E-3</v>
      </c>
      <c r="N57" s="195">
        <f t="shared" si="1"/>
        <v>8.0000000000000019E-3</v>
      </c>
      <c r="O57" s="195">
        <f t="shared" si="1"/>
        <v>0</v>
      </c>
      <c r="P57" s="196">
        <f t="shared" ref="P57:P62" si="2">SUM(D57:O57)</f>
        <v>8.0000000000000029E-2</v>
      </c>
      <c r="Q57" s="197">
        <v>0.05</v>
      </c>
      <c r="R57" s="198">
        <f t="shared" ref="R57:R65" si="3">+P57-Q57</f>
        <v>3.0000000000000027E-2</v>
      </c>
      <c r="S57" s="192"/>
      <c r="T57" s="192"/>
      <c r="U57" s="192"/>
      <c r="V57" s="192"/>
      <c r="W57" s="192"/>
      <c r="X57" s="192"/>
      <c r="Y57" s="192"/>
      <c r="Z57" s="192"/>
      <c r="AA57" s="192"/>
      <c r="AB57" s="192"/>
      <c r="AC57" s="192"/>
      <c r="AD57" s="192"/>
    </row>
    <row r="58" spans="1:30" x14ac:dyDescent="0.25">
      <c r="A58" s="462"/>
      <c r="B58" s="464"/>
      <c r="C58" s="199" t="s">
        <v>72</v>
      </c>
      <c r="D58" s="200">
        <f t="shared" si="1"/>
        <v>0</v>
      </c>
      <c r="E58" s="200">
        <f t="shared" si="1"/>
        <v>4.8000000000000004E-3</v>
      </c>
      <c r="F58" s="200">
        <f t="shared" si="1"/>
        <v>8.4000000000000012E-3</v>
      </c>
      <c r="G58" s="200">
        <f t="shared" si="1"/>
        <v>8.4000000000000012E-3</v>
      </c>
      <c r="H58" s="200">
        <f t="shared" si="1"/>
        <v>8.4000000000000012E-3</v>
      </c>
      <c r="I58" s="200">
        <f t="shared" si="1"/>
        <v>8.4000000000000012E-3</v>
      </c>
      <c r="J58" s="200">
        <f t="shared" si="1"/>
        <v>8.4000000000000012E-3</v>
      </c>
      <c r="K58" s="200">
        <f t="shared" si="1"/>
        <v>8.4000000000000012E-3</v>
      </c>
      <c r="L58" s="200">
        <f t="shared" si="1"/>
        <v>8.4000000000000012E-3</v>
      </c>
      <c r="M58" s="200">
        <f t="shared" si="1"/>
        <v>8.4000000000000012E-3</v>
      </c>
      <c r="N58" s="200">
        <f t="shared" si="1"/>
        <v>8.0000000000000019E-3</v>
      </c>
      <c r="O58" s="200" t="e">
        <f t="shared" si="1"/>
        <v>#VALUE!</v>
      </c>
      <c r="P58" s="201" t="e">
        <f t="shared" si="2"/>
        <v>#VALUE!</v>
      </c>
      <c r="Q58" s="202" t="e">
        <f>+P58</f>
        <v>#VALUE!</v>
      </c>
      <c r="R58" s="198" t="e">
        <f t="shared" si="3"/>
        <v>#VALUE!</v>
      </c>
      <c r="S58" s="192"/>
      <c r="T58" s="192"/>
      <c r="U58" s="192"/>
      <c r="V58" s="192"/>
      <c r="W58" s="192"/>
      <c r="X58" s="192"/>
      <c r="Y58" s="192"/>
      <c r="Z58" s="192"/>
      <c r="AA58" s="192"/>
      <c r="AB58" s="192"/>
      <c r="AC58" s="192"/>
      <c r="AD58" s="192"/>
    </row>
    <row r="59" spans="1:30" x14ac:dyDescent="0.25">
      <c r="A59" s="461" t="str">
        <f>A40</f>
        <v>14. Implementar la Red de Alianzas del Cuidado</v>
      </c>
      <c r="B59" s="466">
        <f>B40</f>
        <v>7.0000000000000007E-2</v>
      </c>
      <c r="C59" s="194" t="s">
        <v>67</v>
      </c>
      <c r="D59" s="195">
        <f t="shared" ref="D59:O60" si="4">D40*$B$40/$P$40</f>
        <v>0</v>
      </c>
      <c r="E59" s="195">
        <f t="shared" si="4"/>
        <v>6.6500000000000014E-3</v>
      </c>
      <c r="F59" s="195">
        <f t="shared" si="4"/>
        <v>6.6500000000000014E-3</v>
      </c>
      <c r="G59" s="195">
        <f t="shared" si="4"/>
        <v>6.6500000000000014E-3</v>
      </c>
      <c r="H59" s="195">
        <f t="shared" si="4"/>
        <v>6.6500000000000014E-3</v>
      </c>
      <c r="I59" s="195">
        <f t="shared" si="4"/>
        <v>6.6500000000000014E-3</v>
      </c>
      <c r="J59" s="195">
        <f t="shared" si="4"/>
        <v>6.6500000000000014E-3</v>
      </c>
      <c r="K59" s="195">
        <f t="shared" si="4"/>
        <v>6.6500000000000014E-3</v>
      </c>
      <c r="L59" s="195">
        <f t="shared" si="4"/>
        <v>6.6500000000000014E-3</v>
      </c>
      <c r="M59" s="195">
        <f t="shared" si="4"/>
        <v>6.6500000000000014E-3</v>
      </c>
      <c r="N59" s="195">
        <f t="shared" si="4"/>
        <v>6.6500000000000014E-3</v>
      </c>
      <c r="O59" s="195">
        <f t="shared" si="4"/>
        <v>3.5000000000000009E-3</v>
      </c>
      <c r="P59" s="196">
        <f t="shared" si="2"/>
        <v>7.0000000000000021E-2</v>
      </c>
      <c r="Q59" s="197">
        <v>2.5000000000000001E-2</v>
      </c>
      <c r="R59" s="198">
        <f t="shared" si="3"/>
        <v>4.5000000000000019E-2</v>
      </c>
      <c r="S59" s="192"/>
      <c r="T59" s="192"/>
      <c r="U59" s="192"/>
      <c r="V59" s="192"/>
      <c r="W59" s="192"/>
      <c r="X59" s="192"/>
      <c r="Y59" s="192"/>
      <c r="Z59" s="192"/>
      <c r="AA59" s="192"/>
      <c r="AB59" s="192"/>
      <c r="AC59" s="192"/>
      <c r="AD59" s="192"/>
    </row>
    <row r="60" spans="1:30" x14ac:dyDescent="0.25">
      <c r="A60" s="465"/>
      <c r="B60" s="467"/>
      <c r="C60" s="199" t="s">
        <v>72</v>
      </c>
      <c r="D60" s="200">
        <f t="shared" si="4"/>
        <v>0</v>
      </c>
      <c r="E60" s="200">
        <f t="shared" si="4"/>
        <v>6.6500000000000014E-3</v>
      </c>
      <c r="F60" s="200">
        <f t="shared" si="4"/>
        <v>6.6500000000000014E-3</v>
      </c>
      <c r="G60" s="200">
        <f t="shared" si="4"/>
        <v>6.6500000000000014E-3</v>
      </c>
      <c r="H60" s="200">
        <f t="shared" si="4"/>
        <v>6.6500000000000014E-3</v>
      </c>
      <c r="I60" s="200">
        <f t="shared" si="4"/>
        <v>6.6500000000000014E-3</v>
      </c>
      <c r="J60" s="200">
        <f t="shared" si="4"/>
        <v>6.6500000000000014E-3</v>
      </c>
      <c r="K60" s="200">
        <f t="shared" si="4"/>
        <v>6.6500000000000014E-3</v>
      </c>
      <c r="L60" s="200">
        <f t="shared" si="4"/>
        <v>6.6500000000000014E-3</v>
      </c>
      <c r="M60" s="200">
        <f t="shared" si="4"/>
        <v>6.6500000000000014E-3</v>
      </c>
      <c r="N60" s="200">
        <f t="shared" si="4"/>
        <v>6.6500000000000014E-3</v>
      </c>
      <c r="O60" s="200" t="e">
        <f t="shared" si="4"/>
        <v>#VALUE!</v>
      </c>
      <c r="P60" s="201" t="e">
        <f t="shared" si="2"/>
        <v>#VALUE!</v>
      </c>
      <c r="Q60" s="202" t="e">
        <f>+P60</f>
        <v>#VALUE!</v>
      </c>
      <c r="R60" s="198" t="e">
        <f t="shared" si="3"/>
        <v>#VALUE!</v>
      </c>
      <c r="S60" s="192"/>
      <c r="T60" s="192"/>
      <c r="U60" s="192"/>
      <c r="V60" s="192"/>
      <c r="W60" s="192"/>
      <c r="X60" s="192"/>
      <c r="Y60" s="192"/>
      <c r="Z60" s="192"/>
      <c r="AA60" s="192"/>
      <c r="AB60" s="192"/>
      <c r="AC60" s="192"/>
      <c r="AD60" s="192"/>
    </row>
    <row r="61" spans="1:30" x14ac:dyDescent="0.25">
      <c r="A61" s="461" t="str">
        <f>A42</f>
        <v>15. Convocar y gestionar las sesiones de la Mesa de Transformación Cultural de la Unidad Técnica de Apoyo de la Comisión Intersectorial del Sistema de Cuidado</v>
      </c>
      <c r="B61" s="466">
        <f>B42</f>
        <v>0.05</v>
      </c>
      <c r="C61" s="194" t="s">
        <v>67</v>
      </c>
      <c r="D61" s="195">
        <f t="shared" ref="D61:O62" si="5">D42*$B$42/$P$42</f>
        <v>0</v>
      </c>
      <c r="E61" s="195">
        <f t="shared" si="5"/>
        <v>8.5000000000000006E-3</v>
      </c>
      <c r="F61" s="195">
        <f t="shared" si="5"/>
        <v>0</v>
      </c>
      <c r="G61" s="195">
        <f t="shared" si="5"/>
        <v>8.3000000000000001E-3</v>
      </c>
      <c r="H61" s="195">
        <f t="shared" si="5"/>
        <v>0</v>
      </c>
      <c r="I61" s="195">
        <f t="shared" si="5"/>
        <v>8.3000000000000001E-3</v>
      </c>
      <c r="J61" s="195">
        <f t="shared" si="5"/>
        <v>0</v>
      </c>
      <c r="K61" s="195">
        <f t="shared" si="5"/>
        <v>8.3000000000000001E-3</v>
      </c>
      <c r="L61" s="195">
        <f t="shared" si="5"/>
        <v>0</v>
      </c>
      <c r="M61" s="195">
        <f t="shared" si="5"/>
        <v>8.3000000000000001E-3</v>
      </c>
      <c r="N61" s="195">
        <f t="shared" si="5"/>
        <v>0</v>
      </c>
      <c r="O61" s="195">
        <f t="shared" si="5"/>
        <v>8.3000000000000001E-3</v>
      </c>
      <c r="P61" s="196">
        <f t="shared" si="2"/>
        <v>5.000000000000001E-2</v>
      </c>
      <c r="Q61" s="197">
        <v>2.5000000000000001E-2</v>
      </c>
      <c r="R61" s="198">
        <f t="shared" si="3"/>
        <v>2.5000000000000008E-2</v>
      </c>
      <c r="S61" s="192"/>
      <c r="T61" s="192"/>
      <c r="U61" s="192"/>
      <c r="V61" s="192"/>
      <c r="W61" s="192"/>
      <c r="X61" s="192"/>
      <c r="Y61" s="192"/>
      <c r="Z61" s="192"/>
      <c r="AA61" s="192"/>
      <c r="AB61" s="192"/>
      <c r="AC61" s="192"/>
      <c r="AD61" s="192"/>
    </row>
    <row r="62" spans="1:30" x14ac:dyDescent="0.25">
      <c r="A62" s="465"/>
      <c r="B62" s="467"/>
      <c r="C62" s="199" t="s">
        <v>72</v>
      </c>
      <c r="D62" s="200">
        <f t="shared" si="5"/>
        <v>0</v>
      </c>
      <c r="E62" s="200">
        <f t="shared" si="5"/>
        <v>8.5000000000000006E-3</v>
      </c>
      <c r="F62" s="200">
        <f t="shared" si="5"/>
        <v>0</v>
      </c>
      <c r="G62" s="200">
        <f t="shared" si="5"/>
        <v>8.3000000000000001E-3</v>
      </c>
      <c r="H62" s="200">
        <f t="shared" si="5"/>
        <v>0</v>
      </c>
      <c r="I62" s="200">
        <f t="shared" si="5"/>
        <v>8.3000000000000001E-3</v>
      </c>
      <c r="J62" s="200">
        <f t="shared" si="5"/>
        <v>0</v>
      </c>
      <c r="K62" s="200">
        <f t="shared" si="5"/>
        <v>8.3000000000000001E-3</v>
      </c>
      <c r="L62" s="200">
        <f t="shared" si="5"/>
        <v>0</v>
      </c>
      <c r="M62" s="200">
        <f t="shared" si="5"/>
        <v>8.3000000000000001E-3</v>
      </c>
      <c r="N62" s="200">
        <f t="shared" si="5"/>
        <v>0</v>
      </c>
      <c r="O62" s="200" t="e">
        <f t="shared" si="5"/>
        <v>#VALUE!</v>
      </c>
      <c r="P62" s="201" t="e">
        <f t="shared" si="2"/>
        <v>#VALUE!</v>
      </c>
      <c r="Q62" s="202" t="e">
        <f>+P62</f>
        <v>#VALUE!</v>
      </c>
      <c r="R62" s="198" t="e">
        <f t="shared" si="3"/>
        <v>#VALUE!</v>
      </c>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D58+D60+D62</f>
        <v>0</v>
      </c>
      <c r="E65" s="213">
        <f t="shared" ref="E65:O65" si="6">E58+E60+E62</f>
        <v>1.9950000000000002E-2</v>
      </c>
      <c r="F65" s="213">
        <f t="shared" si="6"/>
        <v>1.5050000000000003E-2</v>
      </c>
      <c r="G65" s="213">
        <f t="shared" si="6"/>
        <v>2.3350000000000003E-2</v>
      </c>
      <c r="H65" s="213">
        <f t="shared" si="6"/>
        <v>1.5050000000000003E-2</v>
      </c>
      <c r="I65" s="213">
        <f t="shared" si="6"/>
        <v>2.3350000000000003E-2</v>
      </c>
      <c r="J65" s="213">
        <f t="shared" si="6"/>
        <v>1.5050000000000003E-2</v>
      </c>
      <c r="K65" s="213">
        <f t="shared" si="6"/>
        <v>2.3350000000000003E-2</v>
      </c>
      <c r="L65" s="213">
        <f t="shared" si="6"/>
        <v>1.5050000000000003E-2</v>
      </c>
      <c r="M65" s="213">
        <f t="shared" si="6"/>
        <v>2.3350000000000003E-2</v>
      </c>
      <c r="N65" s="213">
        <f t="shared" si="6"/>
        <v>1.4650000000000003E-2</v>
      </c>
      <c r="O65" s="213" t="e">
        <f t="shared" si="6"/>
        <v>#VALUE!</v>
      </c>
      <c r="P65" s="213" t="e">
        <f>P58+P60+P62</f>
        <v>#VALUE!</v>
      </c>
      <c r="Q65" s="191"/>
      <c r="R65" s="198" t="e">
        <f t="shared" si="3"/>
        <v>#VALUE!</v>
      </c>
      <c r="S65" s="192"/>
      <c r="T65" s="192"/>
      <c r="U65" s="192"/>
      <c r="V65" s="192"/>
      <c r="W65" s="192"/>
      <c r="X65" s="192"/>
      <c r="Y65" s="192"/>
      <c r="Z65" s="192"/>
      <c r="AA65" s="192"/>
      <c r="AB65" s="192"/>
      <c r="AC65" s="192"/>
      <c r="AD65" s="192"/>
    </row>
    <row r="66" spans="1:30" x14ac:dyDescent="0.25">
      <c r="A66" s="191"/>
      <c r="B66" s="214"/>
      <c r="C66" s="215" t="s">
        <v>72</v>
      </c>
      <c r="D66" s="216">
        <f>D65*$W$17/$B$34</f>
        <v>0</v>
      </c>
      <c r="E66" s="216">
        <f t="shared" ref="E66:O66" si="7">E65*$W$17/$B$34</f>
        <v>9.9750000000000005E-2</v>
      </c>
      <c r="F66" s="216">
        <f t="shared" si="7"/>
        <v>7.5250000000000011E-2</v>
      </c>
      <c r="G66" s="216">
        <f t="shared" si="7"/>
        <v>0.11675000000000001</v>
      </c>
      <c r="H66" s="216">
        <f t="shared" si="7"/>
        <v>7.5250000000000011E-2</v>
      </c>
      <c r="I66" s="216">
        <f t="shared" si="7"/>
        <v>0.11675000000000001</v>
      </c>
      <c r="J66" s="216">
        <f t="shared" si="7"/>
        <v>7.5250000000000011E-2</v>
      </c>
      <c r="K66" s="216">
        <f t="shared" si="7"/>
        <v>0.11675000000000001</v>
      </c>
      <c r="L66" s="216">
        <f t="shared" si="7"/>
        <v>7.5250000000000011E-2</v>
      </c>
      <c r="M66" s="216">
        <f t="shared" si="7"/>
        <v>0.11675000000000001</v>
      </c>
      <c r="N66" s="216">
        <f t="shared" si="7"/>
        <v>7.325000000000001E-2</v>
      </c>
      <c r="O66" s="216" t="e">
        <f t="shared" si="7"/>
        <v>#VALUE!</v>
      </c>
      <c r="P66" s="217" t="e">
        <f>SUM(D66:O66)</f>
        <v>#VALUE!</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 t="shared" ref="D68:P68" si="8">+D57+D59+D61</f>
        <v>0</v>
      </c>
      <c r="E68" s="213">
        <f t="shared" si="8"/>
        <v>1.9950000000000002E-2</v>
      </c>
      <c r="F68" s="213">
        <f t="shared" si="8"/>
        <v>1.5050000000000003E-2</v>
      </c>
      <c r="G68" s="213">
        <f t="shared" si="8"/>
        <v>2.3350000000000003E-2</v>
      </c>
      <c r="H68" s="213">
        <f t="shared" si="8"/>
        <v>1.5050000000000003E-2</v>
      </c>
      <c r="I68" s="213">
        <f t="shared" si="8"/>
        <v>2.3350000000000003E-2</v>
      </c>
      <c r="J68" s="213">
        <f t="shared" si="8"/>
        <v>1.5050000000000003E-2</v>
      </c>
      <c r="K68" s="213">
        <f t="shared" si="8"/>
        <v>2.3350000000000003E-2</v>
      </c>
      <c r="L68" s="213">
        <f t="shared" si="8"/>
        <v>1.5050000000000003E-2</v>
      </c>
      <c r="M68" s="213">
        <f t="shared" si="8"/>
        <v>2.3350000000000003E-2</v>
      </c>
      <c r="N68" s="213">
        <f t="shared" si="8"/>
        <v>1.4650000000000003E-2</v>
      </c>
      <c r="O68" s="213">
        <f t="shared" si="8"/>
        <v>1.1800000000000001E-2</v>
      </c>
      <c r="P68" s="213">
        <f t="shared" si="8"/>
        <v>0.20000000000000007</v>
      </c>
      <c r="Q68" s="197"/>
      <c r="R68" s="197"/>
      <c r="S68" s="192"/>
      <c r="T68" s="192"/>
      <c r="U68" s="192"/>
      <c r="V68" s="192"/>
      <c r="W68" s="192"/>
      <c r="X68" s="192"/>
      <c r="Y68" s="192"/>
      <c r="Z68" s="192"/>
      <c r="AA68" s="192"/>
      <c r="AB68" s="192"/>
      <c r="AC68" s="192"/>
      <c r="AD68" s="192"/>
    </row>
    <row r="69" spans="1:30" x14ac:dyDescent="0.25">
      <c r="A69" s="197"/>
      <c r="B69" s="108"/>
      <c r="C69" s="215" t="s">
        <v>67</v>
      </c>
      <c r="D69" s="216">
        <f t="shared" ref="D69:O69" si="9">D68*$W$17/$B$34</f>
        <v>0</v>
      </c>
      <c r="E69" s="216">
        <f t="shared" si="9"/>
        <v>9.9750000000000005E-2</v>
      </c>
      <c r="F69" s="216">
        <f t="shared" si="9"/>
        <v>7.5250000000000011E-2</v>
      </c>
      <c r="G69" s="216">
        <f t="shared" si="9"/>
        <v>0.11675000000000001</v>
      </c>
      <c r="H69" s="216">
        <f t="shared" si="9"/>
        <v>7.5250000000000011E-2</v>
      </c>
      <c r="I69" s="216">
        <f t="shared" si="9"/>
        <v>0.11675000000000001</v>
      </c>
      <c r="J69" s="216">
        <f t="shared" si="9"/>
        <v>7.5250000000000011E-2</v>
      </c>
      <c r="K69" s="216">
        <f t="shared" si="9"/>
        <v>0.11675000000000001</v>
      </c>
      <c r="L69" s="216">
        <f t="shared" si="9"/>
        <v>7.5250000000000011E-2</v>
      </c>
      <c r="M69" s="216">
        <f t="shared" si="9"/>
        <v>0.11675000000000001</v>
      </c>
      <c r="N69" s="216">
        <f t="shared" si="9"/>
        <v>7.325000000000001E-2</v>
      </c>
      <c r="O69" s="216">
        <f t="shared" si="9"/>
        <v>5.9000000000000004E-2</v>
      </c>
      <c r="P69" s="217">
        <f>SUM(D69:O69)</f>
        <v>1.0000000000000002</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row r="73" spans="1:30" x14ac:dyDescent="0.25">
      <c r="A73" s="192"/>
      <c r="Q73" s="192"/>
      <c r="R73" s="192"/>
      <c r="S73" s="192"/>
      <c r="T73" s="192"/>
      <c r="U73" s="192"/>
      <c r="V73" s="192"/>
      <c r="W73" s="192"/>
      <c r="X73" s="192"/>
      <c r="Y73" s="192"/>
      <c r="Z73" s="192"/>
      <c r="AA73" s="192"/>
      <c r="AB73" s="192"/>
      <c r="AC73" s="192"/>
      <c r="AD73" s="192"/>
    </row>
    <row r="74" spans="1:30" x14ac:dyDescent="0.25">
      <c r="A74" s="192"/>
      <c r="Q74" s="192"/>
      <c r="R74" s="192"/>
      <c r="S74" s="192"/>
      <c r="T74" s="192"/>
      <c r="U74" s="192"/>
      <c r="V74" s="192"/>
      <c r="W74" s="192"/>
      <c r="X74" s="192"/>
      <c r="Y74" s="192"/>
      <c r="Z74" s="192"/>
      <c r="AA74" s="192"/>
      <c r="AB74" s="192"/>
      <c r="AC74" s="192"/>
      <c r="AD74" s="192"/>
    </row>
  </sheetData>
  <mergeCells count="89">
    <mergeCell ref="AF22:AM25"/>
    <mergeCell ref="A42:A43"/>
    <mergeCell ref="B42:B43"/>
    <mergeCell ref="Q42:AD43"/>
    <mergeCell ref="A40:A41"/>
    <mergeCell ref="B40:B41"/>
    <mergeCell ref="Q40:AD41"/>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17:B17"/>
    <mergeCell ref="C17:Q17"/>
    <mergeCell ref="R17:V17"/>
    <mergeCell ref="W17:X17"/>
    <mergeCell ref="Y17:AB17"/>
    <mergeCell ref="AA15:AD15"/>
    <mergeCell ref="O9:P9"/>
    <mergeCell ref="AB4:AD4"/>
    <mergeCell ref="A11:B13"/>
    <mergeCell ref="C11:AD13"/>
    <mergeCell ref="A7:B9"/>
    <mergeCell ref="C7:C9"/>
    <mergeCell ref="D7:H9"/>
    <mergeCell ref="O7:P7"/>
    <mergeCell ref="A1:A4"/>
    <mergeCell ref="O8:P8"/>
    <mergeCell ref="A15:B15"/>
    <mergeCell ref="C15:K15"/>
    <mergeCell ref="L15:Q15"/>
    <mergeCell ref="R15:X15"/>
    <mergeCell ref="Y15:Z15"/>
    <mergeCell ref="AB1:AD1"/>
    <mergeCell ref="B2:AA2"/>
    <mergeCell ref="AB2:AD2"/>
    <mergeCell ref="B3:AA4"/>
    <mergeCell ref="AB3:AD3"/>
    <mergeCell ref="B1:AA1"/>
    <mergeCell ref="A61:A62"/>
    <mergeCell ref="B61:B62"/>
    <mergeCell ref="I7:J9"/>
    <mergeCell ref="K7:L9"/>
    <mergeCell ref="M7:N7"/>
    <mergeCell ref="M8:N8"/>
    <mergeCell ref="M9:N9"/>
    <mergeCell ref="A55:A56"/>
    <mergeCell ref="B55:B56"/>
    <mergeCell ref="C55:P55"/>
    <mergeCell ref="A57:A58"/>
    <mergeCell ref="B57:B58"/>
    <mergeCell ref="A59:A60"/>
    <mergeCell ref="B59:B60"/>
    <mergeCell ref="A23:B23"/>
    <mergeCell ref="C16:AB16"/>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4E0A01C5-AEEA-4D2E-AA92-D4F7945613F7}"/>
  </dataValidations>
  <pageMargins left="0.25" right="0.25" top="0.75" bottom="0.75" header="0.3" footer="0.3"/>
  <pageSetup scale="22" orientation="landscape"/>
  <ignoredErrors>
    <ignoredError sqref="W24"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AO77"/>
  <sheetViews>
    <sheetView showGridLines="0" topLeftCell="A20" zoomScale="60" zoomScaleNormal="60" workbookViewId="0">
      <selection activeCell="M24" sqref="M2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16.7109375" style="50" customWidth="1"/>
    <col min="20" max="22" width="18.140625" style="50" customWidth="1"/>
    <col min="23" max="28" width="15.42578125" style="50" customWidth="1"/>
    <col min="29" max="29" width="23" style="50" customWidth="1"/>
    <col min="30" max="30" width="14"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89"/>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1"/>
      <c r="AB1" s="566" t="s">
        <v>1</v>
      </c>
      <c r="AC1" s="567"/>
      <c r="AD1" s="568"/>
    </row>
    <row r="2" spans="1:30" ht="30.75" customHeight="1" thickBot="1" x14ac:dyDescent="0.3">
      <c r="A2" s="590"/>
      <c r="B2" s="569" t="s">
        <v>2</v>
      </c>
      <c r="C2" s="570"/>
      <c r="D2" s="570"/>
      <c r="E2" s="570"/>
      <c r="F2" s="570"/>
      <c r="G2" s="570"/>
      <c r="H2" s="570"/>
      <c r="I2" s="570"/>
      <c r="J2" s="570"/>
      <c r="K2" s="570"/>
      <c r="L2" s="570"/>
      <c r="M2" s="570"/>
      <c r="N2" s="570"/>
      <c r="O2" s="570"/>
      <c r="P2" s="570"/>
      <c r="Q2" s="570"/>
      <c r="R2" s="570"/>
      <c r="S2" s="570"/>
      <c r="T2" s="570"/>
      <c r="U2" s="570"/>
      <c r="V2" s="570"/>
      <c r="W2" s="570"/>
      <c r="X2" s="570"/>
      <c r="Y2" s="570"/>
      <c r="Z2" s="570"/>
      <c r="AA2" s="571"/>
      <c r="AB2" s="572" t="s">
        <v>3</v>
      </c>
      <c r="AC2" s="573"/>
      <c r="AD2" s="574"/>
    </row>
    <row r="3" spans="1:30" ht="24" customHeight="1" x14ac:dyDescent="0.25">
      <c r="A3" s="590"/>
      <c r="B3" s="575" t="s">
        <v>4</v>
      </c>
      <c r="C3" s="576"/>
      <c r="D3" s="576"/>
      <c r="E3" s="576"/>
      <c r="F3" s="576"/>
      <c r="G3" s="576"/>
      <c r="H3" s="576"/>
      <c r="I3" s="576"/>
      <c r="J3" s="576"/>
      <c r="K3" s="576"/>
      <c r="L3" s="576"/>
      <c r="M3" s="576"/>
      <c r="N3" s="576"/>
      <c r="O3" s="576"/>
      <c r="P3" s="576"/>
      <c r="Q3" s="576"/>
      <c r="R3" s="576"/>
      <c r="S3" s="576"/>
      <c r="T3" s="576"/>
      <c r="U3" s="576"/>
      <c r="V3" s="576"/>
      <c r="W3" s="576"/>
      <c r="X3" s="576"/>
      <c r="Y3" s="576"/>
      <c r="Z3" s="576"/>
      <c r="AA3" s="577"/>
      <c r="AB3" s="572" t="s">
        <v>5</v>
      </c>
      <c r="AC3" s="573"/>
      <c r="AD3" s="574"/>
    </row>
    <row r="4" spans="1:30" ht="21.95" customHeight="1" thickBot="1" x14ac:dyDescent="0.3">
      <c r="A4" s="591"/>
      <c r="B4" s="500"/>
      <c r="C4" s="502"/>
      <c r="D4" s="502"/>
      <c r="E4" s="502"/>
      <c r="F4" s="502"/>
      <c r="G4" s="502"/>
      <c r="H4" s="502"/>
      <c r="I4" s="502"/>
      <c r="J4" s="502"/>
      <c r="K4" s="502"/>
      <c r="L4" s="502"/>
      <c r="M4" s="502"/>
      <c r="N4" s="502"/>
      <c r="O4" s="502"/>
      <c r="P4" s="502"/>
      <c r="Q4" s="502"/>
      <c r="R4" s="502"/>
      <c r="S4" s="502"/>
      <c r="T4" s="502"/>
      <c r="U4" s="502"/>
      <c r="V4" s="502"/>
      <c r="W4" s="502"/>
      <c r="X4" s="502"/>
      <c r="Y4" s="502"/>
      <c r="Z4" s="502"/>
      <c r="AA4" s="578"/>
      <c r="AB4" s="579" t="s">
        <v>6</v>
      </c>
      <c r="AC4" s="580"/>
      <c r="AD4" s="581"/>
    </row>
    <row r="5" spans="1:30" ht="9" customHeight="1" thickBot="1" x14ac:dyDescent="0.3">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596" t="s">
        <v>7</v>
      </c>
      <c r="B7" s="597"/>
      <c r="C7" s="602" t="s">
        <v>8</v>
      </c>
      <c r="D7" s="596" t="s">
        <v>9</v>
      </c>
      <c r="E7" s="614"/>
      <c r="F7" s="614"/>
      <c r="G7" s="614"/>
      <c r="H7" s="597"/>
      <c r="I7" s="631">
        <v>45265</v>
      </c>
      <c r="J7" s="618"/>
      <c r="K7" s="596" t="s">
        <v>10</v>
      </c>
      <c r="L7" s="597"/>
      <c r="M7" s="584" t="s">
        <v>11</v>
      </c>
      <c r="N7" s="585"/>
      <c r="O7" s="623"/>
      <c r="P7" s="624"/>
      <c r="Q7" s="54"/>
      <c r="R7" s="54"/>
      <c r="S7" s="54"/>
      <c r="T7" s="54"/>
      <c r="U7" s="54"/>
      <c r="V7" s="54"/>
      <c r="W7" s="54"/>
      <c r="X7" s="54"/>
      <c r="Y7" s="54"/>
      <c r="Z7" s="55"/>
      <c r="AA7" s="54"/>
      <c r="AB7" s="54"/>
      <c r="AC7" s="60"/>
      <c r="AD7" s="61"/>
    </row>
    <row r="8" spans="1:30" ht="15" customHeight="1" x14ac:dyDescent="0.25">
      <c r="A8" s="598"/>
      <c r="B8" s="599"/>
      <c r="C8" s="603"/>
      <c r="D8" s="598"/>
      <c r="E8" s="615"/>
      <c r="F8" s="615"/>
      <c r="G8" s="615"/>
      <c r="H8" s="599"/>
      <c r="I8" s="619"/>
      <c r="J8" s="620"/>
      <c r="K8" s="598"/>
      <c r="L8" s="599"/>
      <c r="M8" s="625" t="s">
        <v>12</v>
      </c>
      <c r="N8" s="626"/>
      <c r="O8" s="627"/>
      <c r="P8" s="628"/>
      <c r="Q8" s="54"/>
      <c r="R8" s="54"/>
      <c r="S8" s="54"/>
      <c r="T8" s="54"/>
      <c r="U8" s="54"/>
      <c r="V8" s="54"/>
      <c r="W8" s="54"/>
      <c r="X8" s="54"/>
      <c r="Y8" s="54"/>
      <c r="Z8" s="55"/>
      <c r="AA8" s="54"/>
      <c r="AB8" s="54"/>
      <c r="AC8" s="60"/>
      <c r="AD8" s="61"/>
    </row>
    <row r="9" spans="1:30" ht="15.75" customHeight="1" x14ac:dyDescent="0.25">
      <c r="A9" s="600"/>
      <c r="B9" s="601"/>
      <c r="C9" s="604"/>
      <c r="D9" s="600"/>
      <c r="E9" s="616"/>
      <c r="F9" s="616"/>
      <c r="G9" s="616"/>
      <c r="H9" s="601"/>
      <c r="I9" s="621"/>
      <c r="J9" s="622"/>
      <c r="K9" s="600"/>
      <c r="L9" s="601"/>
      <c r="M9" s="629" t="s">
        <v>13</v>
      </c>
      <c r="N9" s="630"/>
      <c r="O9" s="582" t="s">
        <v>14</v>
      </c>
      <c r="P9" s="583"/>
      <c r="Q9" s="54"/>
      <c r="R9" s="54"/>
      <c r="S9" s="54"/>
      <c r="T9" s="54"/>
      <c r="U9" s="54"/>
      <c r="V9" s="54"/>
      <c r="W9" s="54"/>
      <c r="X9" s="54"/>
      <c r="Y9" s="54"/>
      <c r="Z9" s="55"/>
      <c r="AA9" s="54"/>
      <c r="AB9" s="54"/>
      <c r="AC9" s="60"/>
      <c r="AD9" s="61"/>
    </row>
    <row r="10" spans="1:30" ht="15" customHeight="1" x14ac:dyDescent="0.25">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5">
      <c r="A11" s="596" t="s">
        <v>15</v>
      </c>
      <c r="B11" s="597"/>
      <c r="C11" s="605" t="s">
        <v>16</v>
      </c>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7"/>
    </row>
    <row r="12" spans="1:30" ht="15" customHeight="1" x14ac:dyDescent="0.25">
      <c r="A12" s="598"/>
      <c r="B12" s="599"/>
      <c r="C12" s="608"/>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10"/>
    </row>
    <row r="13" spans="1:30" ht="15" customHeight="1" thickBot="1" x14ac:dyDescent="0.3">
      <c r="A13" s="600"/>
      <c r="B13" s="601"/>
      <c r="C13" s="611"/>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47" t="s">
        <v>17</v>
      </c>
      <c r="B15" s="548"/>
      <c r="C15" s="586" t="s">
        <v>18</v>
      </c>
      <c r="D15" s="587"/>
      <c r="E15" s="587"/>
      <c r="F15" s="587"/>
      <c r="G15" s="587"/>
      <c r="H15" s="587"/>
      <c r="I15" s="587"/>
      <c r="J15" s="587"/>
      <c r="K15" s="588"/>
      <c r="L15" s="555" t="s">
        <v>19</v>
      </c>
      <c r="M15" s="559"/>
      <c r="N15" s="559"/>
      <c r="O15" s="559"/>
      <c r="P15" s="559"/>
      <c r="Q15" s="556"/>
      <c r="R15" s="552" t="s">
        <v>20</v>
      </c>
      <c r="S15" s="553"/>
      <c r="T15" s="553"/>
      <c r="U15" s="553"/>
      <c r="V15" s="553"/>
      <c r="W15" s="553"/>
      <c r="X15" s="554"/>
      <c r="Y15" s="555" t="s">
        <v>21</v>
      </c>
      <c r="Z15" s="556"/>
      <c r="AA15" s="543" t="s">
        <v>22</v>
      </c>
      <c r="AB15" s="544"/>
      <c r="AC15" s="544"/>
      <c r="AD15" s="545"/>
    </row>
    <row r="16" spans="1:30" ht="9" customHeight="1" thickBot="1" x14ac:dyDescent="0.3">
      <c r="A16" s="59"/>
      <c r="B16" s="54"/>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73"/>
      <c r="AD16" s="74"/>
    </row>
    <row r="17" spans="1:41" s="76" customFormat="1" ht="37.5" customHeight="1" thickBot="1" x14ac:dyDescent="0.3">
      <c r="A17" s="547" t="s">
        <v>23</v>
      </c>
      <c r="B17" s="548"/>
      <c r="C17" s="549" t="s">
        <v>163</v>
      </c>
      <c r="D17" s="550"/>
      <c r="E17" s="550"/>
      <c r="F17" s="550"/>
      <c r="G17" s="550"/>
      <c r="H17" s="550"/>
      <c r="I17" s="550"/>
      <c r="J17" s="550"/>
      <c r="K17" s="550"/>
      <c r="L17" s="550"/>
      <c r="M17" s="550"/>
      <c r="N17" s="550"/>
      <c r="O17" s="550"/>
      <c r="P17" s="550"/>
      <c r="Q17" s="551"/>
      <c r="R17" s="555" t="s">
        <v>25</v>
      </c>
      <c r="S17" s="559"/>
      <c r="T17" s="559"/>
      <c r="U17" s="559"/>
      <c r="V17" s="556"/>
      <c r="W17" s="684">
        <v>0.25</v>
      </c>
      <c r="X17" s="685"/>
      <c r="Y17" s="559" t="s">
        <v>26</v>
      </c>
      <c r="Z17" s="559"/>
      <c r="AA17" s="559"/>
      <c r="AB17" s="556"/>
      <c r="AC17" s="594">
        <v>0.15</v>
      </c>
      <c r="AD17" s="59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55" t="s">
        <v>27</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6"/>
      <c r="AE19" s="83"/>
      <c r="AF19" s="83"/>
    </row>
    <row r="20" spans="1:41" ht="32.1" customHeight="1" thickBot="1" x14ac:dyDescent="0.3">
      <c r="A20" s="82"/>
      <c r="B20" s="60"/>
      <c r="C20" s="563" t="s">
        <v>28</v>
      </c>
      <c r="D20" s="564"/>
      <c r="E20" s="564"/>
      <c r="F20" s="564"/>
      <c r="G20" s="564"/>
      <c r="H20" s="564"/>
      <c r="I20" s="564"/>
      <c r="J20" s="564"/>
      <c r="K20" s="564"/>
      <c r="L20" s="564"/>
      <c r="M20" s="564"/>
      <c r="N20" s="564"/>
      <c r="O20" s="564"/>
      <c r="P20" s="565"/>
      <c r="Q20" s="560" t="s">
        <v>29</v>
      </c>
      <c r="R20" s="561"/>
      <c r="S20" s="561"/>
      <c r="T20" s="561"/>
      <c r="U20" s="561"/>
      <c r="V20" s="561"/>
      <c r="W20" s="561"/>
      <c r="X20" s="561"/>
      <c r="Y20" s="561"/>
      <c r="Z20" s="561"/>
      <c r="AA20" s="561"/>
      <c r="AB20" s="561"/>
      <c r="AC20" s="561"/>
      <c r="AD20" s="562"/>
      <c r="AE20" s="83"/>
      <c r="AF20" s="83"/>
    </row>
    <row r="21" spans="1:41" ht="32.1" customHeight="1" x14ac:dyDescent="0.25">
      <c r="A21" s="59"/>
      <c r="B21" s="54"/>
      <c r="C21" s="146" t="s">
        <v>30</v>
      </c>
      <c r="D21" s="147" t="s">
        <v>31</v>
      </c>
      <c r="E21" s="147" t="s">
        <v>32</v>
      </c>
      <c r="F21" s="147" t="s">
        <v>33</v>
      </c>
      <c r="G21" s="147" t="s">
        <v>34</v>
      </c>
      <c r="H21" s="147" t="s">
        <v>35</v>
      </c>
      <c r="I21" s="147" t="s">
        <v>36</v>
      </c>
      <c r="J21" s="147" t="s">
        <v>37</v>
      </c>
      <c r="K21" s="147" t="s">
        <v>38</v>
      </c>
      <c r="L21" s="147" t="s">
        <v>39</v>
      </c>
      <c r="M21" s="147" t="s">
        <v>8</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39</v>
      </c>
      <c r="AA21" s="147" t="s">
        <v>8</v>
      </c>
      <c r="AB21" s="147" t="s">
        <v>40</v>
      </c>
      <c r="AC21" s="147" t="s">
        <v>41</v>
      </c>
      <c r="AD21" s="148" t="s">
        <v>42</v>
      </c>
      <c r="AE21" s="3"/>
      <c r="AF21" s="3"/>
    </row>
    <row r="22" spans="1:41" ht="32.1" customHeight="1" x14ac:dyDescent="0.25">
      <c r="A22" s="522" t="s">
        <v>43</v>
      </c>
      <c r="B22" s="593"/>
      <c r="C22" s="168"/>
      <c r="D22" s="166"/>
      <c r="E22" s="166"/>
      <c r="F22" s="166"/>
      <c r="G22" s="166"/>
      <c r="H22" s="166"/>
      <c r="I22" s="166"/>
      <c r="J22" s="166"/>
      <c r="K22" s="166"/>
      <c r="L22" s="166"/>
      <c r="M22" s="166"/>
      <c r="N22" s="166"/>
      <c r="O22" s="166">
        <f>SUM(C22:N22)</f>
        <v>0</v>
      </c>
      <c r="P22" s="169"/>
      <c r="Q22" s="168">
        <f>1263646230+1878332432</f>
        <v>3141978662</v>
      </c>
      <c r="R22" s="166"/>
      <c r="S22" s="166">
        <v>19186925</v>
      </c>
      <c r="T22" s="166">
        <f>35000000+21559511</f>
        <v>56559511</v>
      </c>
      <c r="U22" s="166"/>
      <c r="V22" s="166">
        <f>2139476+34249272+145372262</f>
        <v>181761010</v>
      </c>
      <c r="W22" s="166"/>
      <c r="X22" s="166"/>
      <c r="Y22" s="166"/>
      <c r="Z22" s="166">
        <v>421488350</v>
      </c>
      <c r="AA22" s="166"/>
      <c r="AB22" s="166"/>
      <c r="AC22" s="166">
        <f>SUM(Q22:AB22)</f>
        <v>3820974458</v>
      </c>
      <c r="AD22" s="173"/>
      <c r="AE22" s="3"/>
      <c r="AF22" s="592" t="s">
        <v>164</v>
      </c>
      <c r="AG22" s="592"/>
      <c r="AH22" s="592"/>
      <c r="AI22" s="592"/>
      <c r="AJ22" s="592"/>
      <c r="AK22" s="592"/>
      <c r="AL22" s="592"/>
      <c r="AM22" s="592"/>
    </row>
    <row r="23" spans="1:41" ht="32.1" customHeight="1" x14ac:dyDescent="0.25">
      <c r="A23" s="523" t="s">
        <v>45</v>
      </c>
      <c r="B23" s="535"/>
      <c r="C23" s="163"/>
      <c r="D23" s="162"/>
      <c r="E23" s="162"/>
      <c r="F23" s="162"/>
      <c r="G23" s="162"/>
      <c r="H23" s="162"/>
      <c r="I23" s="162"/>
      <c r="J23" s="162"/>
      <c r="K23" s="162"/>
      <c r="L23" s="162"/>
      <c r="M23" s="162"/>
      <c r="N23" s="162"/>
      <c r="O23" s="162">
        <f>SUM(C23:N23)</f>
        <v>0</v>
      </c>
      <c r="P23" s="174" t="str">
        <f>IFERROR(O23/(SUMIF(C23:N23,"&gt;0",C22:N22))," ")</f>
        <v xml:space="preserve"> </v>
      </c>
      <c r="Q23" s="168">
        <v>2221744061</v>
      </c>
      <c r="R23" s="162">
        <v>815510484</v>
      </c>
      <c r="S23" s="162">
        <v>52163827</v>
      </c>
      <c r="T23" s="162">
        <v>-22425420</v>
      </c>
      <c r="U23" s="162">
        <v>169528095</v>
      </c>
      <c r="V23" s="162">
        <v>20743874</v>
      </c>
      <c r="W23" s="162">
        <v>49502400</v>
      </c>
      <c r="X23" s="162" t="s">
        <v>100</v>
      </c>
      <c r="Y23" s="162">
        <v>-1194800</v>
      </c>
      <c r="Z23" s="162">
        <v>32778000</v>
      </c>
      <c r="AA23" s="162">
        <v>436662465</v>
      </c>
      <c r="AB23" s="162"/>
      <c r="AC23" s="162">
        <f>SUM(Q23:AB23)</f>
        <v>3775012986</v>
      </c>
      <c r="AD23" s="171">
        <f>+AC23/AC22</f>
        <v>0.98797126950069758</v>
      </c>
      <c r="AE23" s="3"/>
      <c r="AF23" s="592"/>
      <c r="AG23" s="592"/>
      <c r="AH23" s="592"/>
      <c r="AI23" s="592"/>
      <c r="AJ23" s="592"/>
      <c r="AK23" s="592"/>
      <c r="AL23" s="592"/>
      <c r="AM23" s="592"/>
    </row>
    <row r="24" spans="1:41" ht="32.1" customHeight="1" x14ac:dyDescent="0.25">
      <c r="A24" s="523" t="s">
        <v>47</v>
      </c>
      <c r="B24" s="535"/>
      <c r="C24" s="300">
        <f>25110242+1804188+19304540</f>
        <v>46218970</v>
      </c>
      <c r="D24" s="301">
        <f>1749515+3375000+3750000+461422+713790+309000+4326000+713790+772500+772500+432600+4800000+475860+4505045</f>
        <v>27157022</v>
      </c>
      <c r="E24" s="162">
        <v>4956875</v>
      </c>
      <c r="F24" s="162">
        <v>5038625</v>
      </c>
      <c r="G24" s="162" t="s">
        <v>101</v>
      </c>
      <c r="H24" s="162" t="s">
        <v>101</v>
      </c>
      <c r="I24" s="162" t="s">
        <v>101</v>
      </c>
      <c r="J24" s="162" t="s">
        <v>101</v>
      </c>
      <c r="K24" s="162">
        <v>-10128</v>
      </c>
      <c r="L24" s="162"/>
      <c r="M24" s="162">
        <v>-1</v>
      </c>
      <c r="N24" s="162"/>
      <c r="O24" s="184">
        <f>SUM(C24:N24)</f>
        <v>83361363</v>
      </c>
      <c r="P24" s="167"/>
      <c r="Q24" s="163"/>
      <c r="R24" s="301">
        <f>54487730+166276438</f>
        <v>220764168</v>
      </c>
      <c r="S24" s="162">
        <f>109923500+166276438</f>
        <v>276199938</v>
      </c>
      <c r="T24" s="162">
        <f>109923500+1918693+166276438</f>
        <v>278118631</v>
      </c>
      <c r="U24" s="162">
        <f>109923500+1918693+3888889+21559511+166276438</f>
        <v>303567031</v>
      </c>
      <c r="V24" s="162">
        <f>109923500+1918693+3888889+166276438+145372262</f>
        <v>427379782</v>
      </c>
      <c r="W24" s="162">
        <f>109923500+1918693+2139476+3888889+11416424+166276438</f>
        <v>295563420</v>
      </c>
      <c r="X24" s="162">
        <f>109923500+1918693+3888889+166276438</f>
        <v>282007520</v>
      </c>
      <c r="Y24" s="162">
        <f>109923500+1918692+3888889+11416424+166276438</f>
        <v>293423943</v>
      </c>
      <c r="Z24" s="162">
        <f>109923500+1918692+3888889+166276438+421488350</f>
        <v>703495869</v>
      </c>
      <c r="AA24" s="162">
        <f>109923500+1918692+3888889+11416424+166276438</f>
        <v>293423943</v>
      </c>
      <c r="AB24" s="162">
        <f>219847000+3837384+7777777+215568052</f>
        <v>447030213</v>
      </c>
      <c r="AC24" s="162">
        <f>SUM(Q24:AB24)</f>
        <v>3820974458</v>
      </c>
      <c r="AD24" s="171"/>
      <c r="AE24" s="3"/>
      <c r="AF24" s="592"/>
      <c r="AG24" s="592"/>
      <c r="AH24" s="592"/>
      <c r="AI24" s="592"/>
      <c r="AJ24" s="592"/>
      <c r="AK24" s="592"/>
      <c r="AL24" s="592"/>
      <c r="AM24" s="592"/>
    </row>
    <row r="25" spans="1:41" ht="32.1" customHeight="1" x14ac:dyDescent="0.25">
      <c r="A25" s="479" t="s">
        <v>50</v>
      </c>
      <c r="B25" s="542"/>
      <c r="C25" s="310">
        <v>14684229</v>
      </c>
      <c r="D25" s="299">
        <v>31987652</v>
      </c>
      <c r="E25" s="299">
        <v>22040035</v>
      </c>
      <c r="F25" s="299">
        <v>10889552</v>
      </c>
      <c r="G25" s="299">
        <v>1</v>
      </c>
      <c r="H25" s="299">
        <v>384894</v>
      </c>
      <c r="I25" s="299" t="s">
        <v>101</v>
      </c>
      <c r="J25" s="299" t="s">
        <v>101</v>
      </c>
      <c r="K25" s="299" t="s">
        <v>101</v>
      </c>
      <c r="L25" s="165">
        <v>3375000</v>
      </c>
      <c r="M25" s="165">
        <v>0</v>
      </c>
      <c r="N25" s="165"/>
      <c r="O25" s="165">
        <f>SUM(C25:N25)</f>
        <v>83361363</v>
      </c>
      <c r="P25" s="170">
        <f>IFERROR(O25/(SUMIF(C25:N25,"&gt;0",C24:N24))," ")</f>
        <v>0.99987850763184138</v>
      </c>
      <c r="Q25" s="164"/>
      <c r="R25" s="299">
        <v>172882318</v>
      </c>
      <c r="S25" s="299">
        <v>221760191</v>
      </c>
      <c r="T25" s="299">
        <v>267642475</v>
      </c>
      <c r="U25" s="299">
        <v>360292355</v>
      </c>
      <c r="V25" s="299">
        <v>306598664</v>
      </c>
      <c r="W25" s="299">
        <v>320843594</v>
      </c>
      <c r="X25" s="299">
        <v>296175775</v>
      </c>
      <c r="Y25" s="299">
        <v>298172400</v>
      </c>
      <c r="Z25" s="299">
        <v>308641947</v>
      </c>
      <c r="AA25" s="165">
        <v>312869508</v>
      </c>
      <c r="AB25" s="165"/>
      <c r="AC25" s="165">
        <f>SUM(Q25:AB25)</f>
        <v>2865879227</v>
      </c>
      <c r="AD25" s="172">
        <f>+AC25/AC24</f>
        <v>0.75003883394187298</v>
      </c>
      <c r="AE25" s="3"/>
      <c r="AF25" s="592"/>
      <c r="AG25" s="592"/>
      <c r="AH25" s="592"/>
      <c r="AI25" s="592"/>
      <c r="AJ25" s="592"/>
      <c r="AK25" s="592"/>
      <c r="AL25" s="592"/>
      <c r="AM25" s="592"/>
    </row>
    <row r="26" spans="1:41"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538" t="s">
        <v>52</v>
      </c>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1"/>
    </row>
    <row r="28" spans="1:41" ht="15" customHeight="1" x14ac:dyDescent="0.25">
      <c r="A28" s="531" t="s">
        <v>53</v>
      </c>
      <c r="B28" s="533" t="s">
        <v>54</v>
      </c>
      <c r="C28" s="534"/>
      <c r="D28" s="535" t="s">
        <v>55</v>
      </c>
      <c r="E28" s="536"/>
      <c r="F28" s="536"/>
      <c r="G28" s="536"/>
      <c r="H28" s="536"/>
      <c r="I28" s="536"/>
      <c r="J28" s="536"/>
      <c r="K28" s="536"/>
      <c r="L28" s="536"/>
      <c r="M28" s="536"/>
      <c r="N28" s="536"/>
      <c r="O28" s="530"/>
      <c r="P28" s="524" t="s">
        <v>41</v>
      </c>
      <c r="Q28" s="524" t="s">
        <v>56</v>
      </c>
      <c r="R28" s="524"/>
      <c r="S28" s="524"/>
      <c r="T28" s="524"/>
      <c r="U28" s="524"/>
      <c r="V28" s="524"/>
      <c r="W28" s="524"/>
      <c r="X28" s="524"/>
      <c r="Y28" s="524"/>
      <c r="Z28" s="524"/>
      <c r="AA28" s="524"/>
      <c r="AB28" s="524"/>
      <c r="AC28" s="524"/>
      <c r="AD28" s="537"/>
    </row>
    <row r="29" spans="1:41" ht="27" customHeight="1" x14ac:dyDescent="0.25">
      <c r="A29" s="532"/>
      <c r="B29" s="527"/>
      <c r="C29" s="482"/>
      <c r="D29" s="88" t="s">
        <v>30</v>
      </c>
      <c r="E29" s="88" t="s">
        <v>31</v>
      </c>
      <c r="F29" s="88" t="s">
        <v>32</v>
      </c>
      <c r="G29" s="88" t="s">
        <v>33</v>
      </c>
      <c r="H29" s="88" t="s">
        <v>34</v>
      </c>
      <c r="I29" s="88" t="s">
        <v>35</v>
      </c>
      <c r="J29" s="88" t="s">
        <v>36</v>
      </c>
      <c r="K29" s="88" t="s">
        <v>37</v>
      </c>
      <c r="L29" s="88" t="s">
        <v>38</v>
      </c>
      <c r="M29" s="88" t="s">
        <v>39</v>
      </c>
      <c r="N29" s="88" t="s">
        <v>8</v>
      </c>
      <c r="O29" s="88" t="s">
        <v>40</v>
      </c>
      <c r="P29" s="530"/>
      <c r="Q29" s="524"/>
      <c r="R29" s="524"/>
      <c r="S29" s="524"/>
      <c r="T29" s="524"/>
      <c r="U29" s="524"/>
      <c r="V29" s="524"/>
      <c r="W29" s="524"/>
      <c r="X29" s="524"/>
      <c r="Y29" s="524"/>
      <c r="Z29" s="524"/>
      <c r="AA29" s="524"/>
      <c r="AB29" s="524"/>
      <c r="AC29" s="524"/>
      <c r="AD29" s="537"/>
    </row>
    <row r="30" spans="1:41" ht="68.25" customHeight="1" thickBot="1" x14ac:dyDescent="0.3">
      <c r="A30" s="85" t="s">
        <v>165</v>
      </c>
      <c r="B30" s="515"/>
      <c r="C30" s="516"/>
      <c r="D30" s="89"/>
      <c r="E30" s="89"/>
      <c r="F30" s="89"/>
      <c r="G30" s="89"/>
      <c r="H30" s="89"/>
      <c r="I30" s="89"/>
      <c r="J30" s="89"/>
      <c r="K30" s="89"/>
      <c r="L30" s="89"/>
      <c r="M30" s="89"/>
      <c r="N30" s="89"/>
      <c r="O30" s="89"/>
      <c r="P30" s="86">
        <f>SUM(D30:O30)</f>
        <v>0</v>
      </c>
      <c r="Q30" s="517"/>
      <c r="R30" s="517"/>
      <c r="S30" s="517"/>
      <c r="T30" s="517"/>
      <c r="U30" s="517"/>
      <c r="V30" s="517"/>
      <c r="W30" s="517"/>
      <c r="X30" s="517"/>
      <c r="Y30" s="517"/>
      <c r="Z30" s="517"/>
      <c r="AA30" s="517"/>
      <c r="AB30" s="517"/>
      <c r="AC30" s="517"/>
      <c r="AD30" s="518"/>
    </row>
    <row r="31" spans="1:41" ht="45" customHeight="1" thickBot="1" x14ac:dyDescent="0.3">
      <c r="A31" s="519" t="s">
        <v>58</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1"/>
    </row>
    <row r="32" spans="1:41" ht="23.1" customHeight="1" x14ac:dyDescent="0.25">
      <c r="A32" s="522" t="s">
        <v>59</v>
      </c>
      <c r="B32" s="480" t="s">
        <v>60</v>
      </c>
      <c r="C32" s="483" t="s">
        <v>54</v>
      </c>
      <c r="D32" s="522" t="s">
        <v>61</v>
      </c>
      <c r="E32" s="480"/>
      <c r="F32" s="480"/>
      <c r="G32" s="480"/>
      <c r="H32" s="480"/>
      <c r="I32" s="480"/>
      <c r="J32" s="480"/>
      <c r="K32" s="480"/>
      <c r="L32" s="480"/>
      <c r="M32" s="480"/>
      <c r="N32" s="480"/>
      <c r="O32" s="480"/>
      <c r="P32" s="483"/>
      <c r="Q32" s="526" t="s">
        <v>62</v>
      </c>
      <c r="R32" s="480"/>
      <c r="S32" s="480"/>
      <c r="T32" s="480"/>
      <c r="U32" s="480"/>
      <c r="V32" s="480"/>
      <c r="W32" s="480"/>
      <c r="X32" s="480"/>
      <c r="Y32" s="480"/>
      <c r="Z32" s="480"/>
      <c r="AA32" s="480"/>
      <c r="AB32" s="480"/>
      <c r="AC32" s="480"/>
      <c r="AD32" s="483"/>
      <c r="AG32" s="87"/>
      <c r="AH32" s="87"/>
      <c r="AI32" s="87"/>
      <c r="AJ32" s="87"/>
      <c r="AK32" s="87"/>
      <c r="AL32" s="87"/>
      <c r="AM32" s="87"/>
      <c r="AN32" s="87"/>
      <c r="AO32" s="87"/>
    </row>
    <row r="33" spans="1:41" ht="27" customHeight="1" thickBot="1" x14ac:dyDescent="0.3">
      <c r="A33" s="634"/>
      <c r="B33" s="636"/>
      <c r="C33" s="828"/>
      <c r="D33" s="187" t="s">
        <v>30</v>
      </c>
      <c r="E33" s="343" t="s">
        <v>31</v>
      </c>
      <c r="F33" s="343" t="s">
        <v>32</v>
      </c>
      <c r="G33" s="343" t="s">
        <v>33</v>
      </c>
      <c r="H33" s="343" t="s">
        <v>34</v>
      </c>
      <c r="I33" s="343" t="s">
        <v>35</v>
      </c>
      <c r="J33" s="343" t="s">
        <v>36</v>
      </c>
      <c r="K33" s="343" t="s">
        <v>37</v>
      </c>
      <c r="L33" s="343" t="s">
        <v>38</v>
      </c>
      <c r="M33" s="343" t="s">
        <v>39</v>
      </c>
      <c r="N33" s="343" t="s">
        <v>8</v>
      </c>
      <c r="O33" s="343" t="s">
        <v>40</v>
      </c>
      <c r="P33" s="354" t="s">
        <v>41</v>
      </c>
      <c r="Q33" s="530" t="s">
        <v>63</v>
      </c>
      <c r="R33" s="524"/>
      <c r="S33" s="524"/>
      <c r="T33" s="524" t="s">
        <v>64</v>
      </c>
      <c r="U33" s="524"/>
      <c r="V33" s="524"/>
      <c r="W33" s="524" t="s">
        <v>65</v>
      </c>
      <c r="X33" s="524"/>
      <c r="Y33" s="524"/>
      <c r="Z33" s="524"/>
      <c r="AA33" s="524" t="s">
        <v>66</v>
      </c>
      <c r="AB33" s="524"/>
      <c r="AC33" s="524"/>
      <c r="AD33" s="537"/>
      <c r="AG33" s="87"/>
      <c r="AH33" s="87"/>
      <c r="AI33" s="87"/>
      <c r="AJ33" s="87"/>
      <c r="AK33" s="87"/>
      <c r="AL33" s="87"/>
      <c r="AM33" s="87"/>
      <c r="AN33" s="87"/>
      <c r="AO33" s="87"/>
    </row>
    <row r="34" spans="1:41" ht="248.25" customHeight="1" x14ac:dyDescent="0.25">
      <c r="A34" s="575" t="s">
        <v>165</v>
      </c>
      <c r="B34" s="812">
        <v>0.15</v>
      </c>
      <c r="C34" s="337" t="s">
        <v>67</v>
      </c>
      <c r="D34" s="359">
        <f>D69</f>
        <v>2.1666666666666671E-2</v>
      </c>
      <c r="E34" s="359">
        <f t="shared" ref="E34:M34" si="0">E69</f>
        <v>2.1666666666666671E-2</v>
      </c>
      <c r="F34" s="359">
        <f t="shared" si="0"/>
        <v>2.1083333333333339E-2</v>
      </c>
      <c r="G34" s="359">
        <f t="shared" si="0"/>
        <v>2.1083333333333339E-2</v>
      </c>
      <c r="H34" s="359">
        <f t="shared" si="0"/>
        <v>2.1083333333333339E-2</v>
      </c>
      <c r="I34" s="359">
        <f t="shared" si="0"/>
        <v>2.1083333333333339E-2</v>
      </c>
      <c r="J34" s="359">
        <f t="shared" si="0"/>
        <v>2.1083333333333339E-2</v>
      </c>
      <c r="K34" s="359">
        <f t="shared" si="0"/>
        <v>2.1083333333333339E-2</v>
      </c>
      <c r="L34" s="359">
        <f t="shared" si="0"/>
        <v>2.1916666666666671E-2</v>
      </c>
      <c r="M34" s="359">
        <f t="shared" si="0"/>
        <v>2.1083333333333339E-2</v>
      </c>
      <c r="N34" s="363">
        <v>0.03</v>
      </c>
      <c r="O34" s="363">
        <v>0.05</v>
      </c>
      <c r="P34" s="360">
        <f>+SUM(D34:O34)</f>
        <v>0.29283333333333339</v>
      </c>
      <c r="Q34" s="829" t="s">
        <v>166</v>
      </c>
      <c r="R34" s="830"/>
      <c r="S34" s="830"/>
      <c r="T34" s="830" t="s">
        <v>167</v>
      </c>
      <c r="U34" s="830"/>
      <c r="V34" s="830"/>
      <c r="W34" s="841" t="s">
        <v>168</v>
      </c>
      <c r="X34" s="841"/>
      <c r="Y34" s="841"/>
      <c r="Z34" s="841"/>
      <c r="AA34" s="832" t="s">
        <v>169</v>
      </c>
      <c r="AB34" s="832"/>
      <c r="AC34" s="832"/>
      <c r="AD34" s="833"/>
      <c r="AG34" s="87"/>
      <c r="AH34" s="87"/>
      <c r="AI34" s="87"/>
      <c r="AJ34" s="87"/>
      <c r="AK34" s="87"/>
      <c r="AL34" s="87"/>
      <c r="AM34" s="87"/>
      <c r="AN34" s="87"/>
      <c r="AO34" s="87"/>
    </row>
    <row r="35" spans="1:41" ht="248.25" customHeight="1" thickBot="1" x14ac:dyDescent="0.3">
      <c r="A35" s="500"/>
      <c r="B35" s="502"/>
      <c r="C35" s="91" t="s">
        <v>72</v>
      </c>
      <c r="D35" s="361">
        <f>+D34</f>
        <v>2.1666666666666671E-2</v>
      </c>
      <c r="E35" s="361">
        <f t="shared" ref="E35:M35" si="1">+E34</f>
        <v>2.1666666666666671E-2</v>
      </c>
      <c r="F35" s="361">
        <f t="shared" si="1"/>
        <v>2.1083333333333339E-2</v>
      </c>
      <c r="G35" s="361">
        <f t="shared" si="1"/>
        <v>2.1083333333333339E-2</v>
      </c>
      <c r="H35" s="361">
        <f t="shared" si="1"/>
        <v>2.1083333333333339E-2</v>
      </c>
      <c r="I35" s="361">
        <f t="shared" si="1"/>
        <v>2.1083333333333339E-2</v>
      </c>
      <c r="J35" s="361">
        <f t="shared" si="1"/>
        <v>2.1083333333333339E-2</v>
      </c>
      <c r="K35" s="361">
        <f t="shared" si="1"/>
        <v>2.1083333333333339E-2</v>
      </c>
      <c r="L35" s="361">
        <f t="shared" si="1"/>
        <v>2.1916666666666671E-2</v>
      </c>
      <c r="M35" s="361">
        <f t="shared" si="1"/>
        <v>2.1083333333333339E-2</v>
      </c>
      <c r="N35" s="272">
        <v>0</v>
      </c>
      <c r="O35" s="272">
        <v>0</v>
      </c>
      <c r="P35" s="362">
        <f>+SUM(D35:O35)</f>
        <v>0.2128333333333334</v>
      </c>
      <c r="Q35" s="831"/>
      <c r="R35" s="638"/>
      <c r="S35" s="638"/>
      <c r="T35" s="638"/>
      <c r="U35" s="638"/>
      <c r="V35" s="638"/>
      <c r="W35" s="842"/>
      <c r="X35" s="842"/>
      <c r="Y35" s="842"/>
      <c r="Z35" s="842"/>
      <c r="AA35" s="834"/>
      <c r="AB35" s="834"/>
      <c r="AC35" s="834"/>
      <c r="AD35" s="835"/>
      <c r="AE35" s="49"/>
      <c r="AG35" s="87"/>
      <c r="AH35" s="87"/>
      <c r="AI35" s="87"/>
      <c r="AJ35" s="87"/>
      <c r="AK35" s="87"/>
      <c r="AL35" s="87"/>
      <c r="AM35" s="87"/>
      <c r="AN35" s="87"/>
      <c r="AO35" s="87"/>
    </row>
    <row r="36" spans="1:41" ht="26.1" customHeight="1" x14ac:dyDescent="0.25">
      <c r="A36" s="478" t="s">
        <v>73</v>
      </c>
      <c r="B36" s="799" t="s">
        <v>74</v>
      </c>
      <c r="C36" s="482" t="s">
        <v>75</v>
      </c>
      <c r="D36" s="799"/>
      <c r="E36" s="799"/>
      <c r="F36" s="799"/>
      <c r="G36" s="799"/>
      <c r="H36" s="799"/>
      <c r="I36" s="799"/>
      <c r="J36" s="799"/>
      <c r="K36" s="799"/>
      <c r="L36" s="799"/>
      <c r="M36" s="799"/>
      <c r="N36" s="799"/>
      <c r="O36" s="799"/>
      <c r="P36" s="689"/>
      <c r="Q36" s="691" t="s">
        <v>76</v>
      </c>
      <c r="R36" s="643"/>
      <c r="S36" s="643"/>
      <c r="T36" s="643"/>
      <c r="U36" s="643"/>
      <c r="V36" s="643"/>
      <c r="W36" s="643"/>
      <c r="X36" s="643"/>
      <c r="Y36" s="643"/>
      <c r="Z36" s="643"/>
      <c r="AA36" s="643"/>
      <c r="AB36" s="643"/>
      <c r="AC36" s="643"/>
      <c r="AD36" s="644"/>
      <c r="AG36" s="87"/>
      <c r="AH36" s="87"/>
      <c r="AI36" s="87"/>
      <c r="AJ36" s="87"/>
      <c r="AK36" s="87"/>
      <c r="AL36" s="87"/>
      <c r="AM36" s="87"/>
      <c r="AN36" s="87"/>
      <c r="AO36" s="87"/>
    </row>
    <row r="37" spans="1:41" ht="26.1" customHeight="1" thickBot="1" x14ac:dyDescent="0.3">
      <c r="A37" s="523"/>
      <c r="B37" s="524"/>
      <c r="C37" s="186" t="s">
        <v>77</v>
      </c>
      <c r="D37" s="88" t="s">
        <v>78</v>
      </c>
      <c r="E37" s="88" t="s">
        <v>79</v>
      </c>
      <c r="F37" s="88" t="s">
        <v>80</v>
      </c>
      <c r="G37" s="88" t="s">
        <v>81</v>
      </c>
      <c r="H37" s="88" t="s">
        <v>82</v>
      </c>
      <c r="I37" s="88" t="s">
        <v>83</v>
      </c>
      <c r="J37" s="88" t="s">
        <v>84</v>
      </c>
      <c r="K37" s="88" t="s">
        <v>85</v>
      </c>
      <c r="L37" s="88" t="s">
        <v>86</v>
      </c>
      <c r="M37" s="88" t="s">
        <v>87</v>
      </c>
      <c r="N37" s="88" t="s">
        <v>88</v>
      </c>
      <c r="O37" s="88" t="s">
        <v>89</v>
      </c>
      <c r="P37" s="185" t="s">
        <v>90</v>
      </c>
      <c r="Q37" s="838" t="s">
        <v>91</v>
      </c>
      <c r="R37" s="536"/>
      <c r="S37" s="536"/>
      <c r="T37" s="536"/>
      <c r="U37" s="536"/>
      <c r="V37" s="536"/>
      <c r="W37" s="536"/>
      <c r="X37" s="536"/>
      <c r="Y37" s="536"/>
      <c r="Z37" s="536"/>
      <c r="AA37" s="536"/>
      <c r="AB37" s="536"/>
      <c r="AC37" s="536"/>
      <c r="AD37" s="761"/>
      <c r="AG37" s="94"/>
      <c r="AH37" s="94"/>
      <c r="AI37" s="94"/>
      <c r="AJ37" s="94"/>
      <c r="AK37" s="94"/>
      <c r="AL37" s="94"/>
      <c r="AM37" s="94"/>
      <c r="AN37" s="94"/>
      <c r="AO37" s="94"/>
    </row>
    <row r="38" spans="1:41" ht="69" customHeight="1" x14ac:dyDescent="0.25">
      <c r="A38" s="647" t="s">
        <v>170</v>
      </c>
      <c r="B38" s="470">
        <v>0.1</v>
      </c>
      <c r="C38" s="188" t="s">
        <v>67</v>
      </c>
      <c r="D38" s="264">
        <v>0.09</v>
      </c>
      <c r="E38" s="265">
        <v>0.09</v>
      </c>
      <c r="F38" s="265">
        <v>8.5000000000000006E-2</v>
      </c>
      <c r="G38" s="265">
        <v>8.5000000000000006E-2</v>
      </c>
      <c r="H38" s="265">
        <v>8.5000000000000006E-2</v>
      </c>
      <c r="I38" s="265">
        <v>8.5000000000000006E-2</v>
      </c>
      <c r="J38" s="265">
        <v>8.5000000000000006E-2</v>
      </c>
      <c r="K38" s="265">
        <v>8.5000000000000006E-2</v>
      </c>
      <c r="L38" s="265">
        <v>0.09</v>
      </c>
      <c r="M38" s="265">
        <v>8.5000000000000006E-2</v>
      </c>
      <c r="N38" s="265">
        <v>8.5000000000000006E-2</v>
      </c>
      <c r="O38" s="265">
        <v>0.05</v>
      </c>
      <c r="P38" s="318">
        <f>SUM(D38:O38)</f>
        <v>0.99999999999999989</v>
      </c>
      <c r="Q38" s="836" t="s">
        <v>171</v>
      </c>
      <c r="R38" s="824"/>
      <c r="S38" s="824"/>
      <c r="T38" s="824"/>
      <c r="U38" s="824"/>
      <c r="V38" s="824"/>
      <c r="W38" s="824"/>
      <c r="X38" s="824"/>
      <c r="Y38" s="824"/>
      <c r="Z38" s="824"/>
      <c r="AA38" s="824"/>
      <c r="AB38" s="824"/>
      <c r="AC38" s="824"/>
      <c r="AD38" s="825"/>
      <c r="AE38" s="97"/>
      <c r="AG38" s="98"/>
      <c r="AH38" s="98"/>
      <c r="AI38" s="98"/>
      <c r="AJ38" s="98"/>
      <c r="AK38" s="98"/>
      <c r="AL38" s="98"/>
      <c r="AM38" s="98"/>
      <c r="AN38" s="98"/>
      <c r="AO38" s="98"/>
    </row>
    <row r="39" spans="1:41" ht="69" customHeight="1" x14ac:dyDescent="0.25">
      <c r="A39" s="839"/>
      <c r="B39" s="492"/>
      <c r="C39" s="189" t="s">
        <v>72</v>
      </c>
      <c r="D39" s="250">
        <v>0.09</v>
      </c>
      <c r="E39" s="251">
        <v>0.09</v>
      </c>
      <c r="F39" s="251">
        <v>8.5000000000000006E-2</v>
      </c>
      <c r="G39" s="251">
        <v>8.5000000000000006E-2</v>
      </c>
      <c r="H39" s="251">
        <v>8.5000000000000006E-2</v>
      </c>
      <c r="I39" s="251">
        <v>8.5000000000000006E-2</v>
      </c>
      <c r="J39" s="251">
        <v>8.5000000000000006E-2</v>
      </c>
      <c r="K39" s="251">
        <v>8.5000000000000006E-2</v>
      </c>
      <c r="L39" s="251">
        <v>0.09</v>
      </c>
      <c r="M39" s="251">
        <f>+M38</f>
        <v>8.5000000000000006E-2</v>
      </c>
      <c r="N39" s="428">
        <v>8.5000000000000006E-2</v>
      </c>
      <c r="O39" s="251"/>
      <c r="P39" s="319">
        <f>SUM(D39:O39)</f>
        <v>0.94999999999999984</v>
      </c>
      <c r="Q39" s="840"/>
      <c r="R39" s="806"/>
      <c r="S39" s="806"/>
      <c r="T39" s="806"/>
      <c r="U39" s="806"/>
      <c r="V39" s="806"/>
      <c r="W39" s="806"/>
      <c r="X39" s="806"/>
      <c r="Y39" s="806"/>
      <c r="Z39" s="806"/>
      <c r="AA39" s="806"/>
      <c r="AB39" s="806"/>
      <c r="AC39" s="806"/>
      <c r="AD39" s="807"/>
      <c r="AE39" s="97"/>
    </row>
    <row r="40" spans="1:41" ht="67.5" customHeight="1" x14ac:dyDescent="0.25">
      <c r="A40" s="647" t="s">
        <v>172</v>
      </c>
      <c r="B40" s="470">
        <v>0.05</v>
      </c>
      <c r="C40" s="190" t="s">
        <v>67</v>
      </c>
      <c r="D40" s="266">
        <v>0.08</v>
      </c>
      <c r="E40" s="249">
        <v>0.08</v>
      </c>
      <c r="F40" s="249">
        <v>8.3000000000000004E-2</v>
      </c>
      <c r="G40" s="249">
        <v>8.3000000000000004E-2</v>
      </c>
      <c r="H40" s="249">
        <v>8.3000000000000004E-2</v>
      </c>
      <c r="I40" s="249">
        <v>8.3000000000000004E-2</v>
      </c>
      <c r="J40" s="249">
        <v>8.3000000000000004E-2</v>
      </c>
      <c r="K40" s="249">
        <v>8.3000000000000004E-2</v>
      </c>
      <c r="L40" s="249">
        <v>8.3000000000000004E-2</v>
      </c>
      <c r="M40" s="249">
        <v>8.3000000000000004E-2</v>
      </c>
      <c r="N40" s="249">
        <v>8.3000000000000004E-2</v>
      </c>
      <c r="O40" s="249">
        <v>9.2999999999999999E-2</v>
      </c>
      <c r="P40" s="319">
        <f>SUM(D40:O40)</f>
        <v>0.99999999999999989</v>
      </c>
      <c r="Q40" s="836" t="s">
        <v>173</v>
      </c>
      <c r="R40" s="824"/>
      <c r="S40" s="824"/>
      <c r="T40" s="824"/>
      <c r="U40" s="824"/>
      <c r="V40" s="824"/>
      <c r="W40" s="824"/>
      <c r="X40" s="824"/>
      <c r="Y40" s="824"/>
      <c r="Z40" s="824"/>
      <c r="AA40" s="824"/>
      <c r="AB40" s="824"/>
      <c r="AC40" s="824"/>
      <c r="AD40" s="825"/>
      <c r="AE40" s="97"/>
    </row>
    <row r="41" spans="1:41" ht="67.5" customHeight="1" x14ac:dyDescent="0.25">
      <c r="A41" s="656"/>
      <c r="B41" s="471"/>
      <c r="C41" s="238" t="s">
        <v>72</v>
      </c>
      <c r="D41" s="252">
        <v>0.08</v>
      </c>
      <c r="E41" s="253">
        <v>0.08</v>
      </c>
      <c r="F41" s="253">
        <v>8.3000000000000004E-2</v>
      </c>
      <c r="G41" s="253">
        <v>8.3000000000000004E-2</v>
      </c>
      <c r="H41" s="253">
        <v>8.3000000000000004E-2</v>
      </c>
      <c r="I41" s="253">
        <v>8.3000000000000004E-2</v>
      </c>
      <c r="J41" s="253">
        <v>8.3000000000000004E-2</v>
      </c>
      <c r="K41" s="253">
        <v>8.3000000000000004E-2</v>
      </c>
      <c r="L41" s="253">
        <v>8.3000000000000004E-2</v>
      </c>
      <c r="M41" s="253">
        <f>+M40</f>
        <v>8.3000000000000004E-2</v>
      </c>
      <c r="N41" s="429">
        <v>8.3000000000000004E-2</v>
      </c>
      <c r="O41" s="331" t="s">
        <v>48</v>
      </c>
      <c r="P41" s="321">
        <f>SUM(D41:O41)</f>
        <v>0.90699999999999992</v>
      </c>
      <c r="Q41" s="837"/>
      <c r="R41" s="808"/>
      <c r="S41" s="808"/>
      <c r="T41" s="808"/>
      <c r="U41" s="808"/>
      <c r="V41" s="808"/>
      <c r="W41" s="808"/>
      <c r="X41" s="808"/>
      <c r="Y41" s="808"/>
      <c r="Z41" s="808"/>
      <c r="AA41" s="808"/>
      <c r="AB41" s="808"/>
      <c r="AC41" s="808"/>
      <c r="AD41" s="809"/>
      <c r="AE41" s="97"/>
    </row>
    <row r="42" spans="1:41" x14ac:dyDescent="0.25">
      <c r="A42" s="50" t="s">
        <v>96</v>
      </c>
    </row>
    <row r="55" spans="1:30" x14ac:dyDescent="0.25">
      <c r="A55" s="454" t="s">
        <v>97</v>
      </c>
      <c r="B55" s="456" t="s">
        <v>74</v>
      </c>
      <c r="C55" s="458" t="s">
        <v>75</v>
      </c>
      <c r="D55" s="459"/>
      <c r="E55" s="459"/>
      <c r="F55" s="459"/>
      <c r="G55" s="459"/>
      <c r="H55" s="459"/>
      <c r="I55" s="459"/>
      <c r="J55" s="459"/>
      <c r="K55" s="459"/>
      <c r="L55" s="459"/>
      <c r="M55" s="459"/>
      <c r="N55" s="459"/>
      <c r="O55" s="459"/>
      <c r="P55" s="460"/>
      <c r="Q55" s="191"/>
      <c r="R55" s="191"/>
      <c r="S55" s="192"/>
      <c r="T55" s="192"/>
      <c r="U55" s="192"/>
      <c r="V55" s="192"/>
      <c r="W55" s="192"/>
      <c r="X55" s="192"/>
      <c r="Y55" s="192"/>
      <c r="Z55" s="192"/>
      <c r="AA55" s="192"/>
      <c r="AB55" s="192"/>
      <c r="AC55" s="192"/>
      <c r="AD55" s="192"/>
    </row>
    <row r="56" spans="1:30" ht="21" x14ac:dyDescent="0.25">
      <c r="A56" s="455"/>
      <c r="B56" s="457"/>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5">
      <c r="A57" s="461"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463">
        <f>B38</f>
        <v>0.1</v>
      </c>
      <c r="C57" s="194" t="s">
        <v>67</v>
      </c>
      <c r="D57" s="195">
        <f>D38*$B$38/$P$38</f>
        <v>9.0000000000000011E-3</v>
      </c>
      <c r="E57" s="195">
        <f t="shared" ref="D57:O58" si="2">E38*$B$38/$P$38</f>
        <v>9.0000000000000011E-3</v>
      </c>
      <c r="F57" s="195">
        <f t="shared" si="2"/>
        <v>8.5000000000000023E-3</v>
      </c>
      <c r="G57" s="195">
        <f t="shared" si="2"/>
        <v>8.5000000000000023E-3</v>
      </c>
      <c r="H57" s="195">
        <f t="shared" si="2"/>
        <v>8.5000000000000023E-3</v>
      </c>
      <c r="I57" s="195">
        <f t="shared" si="2"/>
        <v>8.5000000000000023E-3</v>
      </c>
      <c r="J57" s="195">
        <f t="shared" si="2"/>
        <v>8.5000000000000023E-3</v>
      </c>
      <c r="K57" s="195">
        <f t="shared" si="2"/>
        <v>8.5000000000000023E-3</v>
      </c>
      <c r="L57" s="195">
        <f t="shared" si="2"/>
        <v>9.0000000000000011E-3</v>
      </c>
      <c r="M57" s="195">
        <f t="shared" si="2"/>
        <v>8.5000000000000023E-3</v>
      </c>
      <c r="N57" s="195">
        <f t="shared" si="2"/>
        <v>8.5000000000000023E-3</v>
      </c>
      <c r="O57" s="195">
        <f t="shared" si="2"/>
        <v>5.0000000000000018E-3</v>
      </c>
      <c r="P57" s="196">
        <f>SUM(D57:O57)</f>
        <v>0.10000000000000003</v>
      </c>
      <c r="Q57" s="197">
        <v>0.05</v>
      </c>
      <c r="R57" s="198">
        <f t="shared" ref="R57:R65" si="3">+P57-Q57</f>
        <v>5.0000000000000031E-2</v>
      </c>
      <c r="S57" s="192"/>
      <c r="T57" s="192"/>
      <c r="U57" s="192"/>
      <c r="V57" s="192"/>
      <c r="W57" s="192"/>
      <c r="X57" s="192"/>
      <c r="Y57" s="192"/>
      <c r="Z57" s="192"/>
      <c r="AA57" s="192"/>
      <c r="AB57" s="192"/>
      <c r="AC57" s="192"/>
      <c r="AD57" s="192"/>
    </row>
    <row r="58" spans="1:30" x14ac:dyDescent="0.25">
      <c r="A58" s="462"/>
      <c r="B58" s="464"/>
      <c r="C58" s="199" t="s">
        <v>72</v>
      </c>
      <c r="D58" s="200">
        <f t="shared" si="2"/>
        <v>9.0000000000000011E-3</v>
      </c>
      <c r="E58" s="200">
        <f t="shared" si="2"/>
        <v>9.0000000000000011E-3</v>
      </c>
      <c r="F58" s="200">
        <f t="shared" si="2"/>
        <v>8.5000000000000023E-3</v>
      </c>
      <c r="G58" s="200">
        <f t="shared" si="2"/>
        <v>8.5000000000000023E-3</v>
      </c>
      <c r="H58" s="200">
        <f t="shared" si="2"/>
        <v>8.5000000000000023E-3</v>
      </c>
      <c r="I58" s="200">
        <f t="shared" si="2"/>
        <v>8.5000000000000023E-3</v>
      </c>
      <c r="J58" s="200">
        <f t="shared" si="2"/>
        <v>8.5000000000000023E-3</v>
      </c>
      <c r="K58" s="200">
        <f t="shared" si="2"/>
        <v>8.5000000000000023E-3</v>
      </c>
      <c r="L58" s="200">
        <f t="shared" si="2"/>
        <v>9.0000000000000011E-3</v>
      </c>
      <c r="M58" s="200">
        <f t="shared" si="2"/>
        <v>8.5000000000000023E-3</v>
      </c>
      <c r="N58" s="200">
        <f t="shared" si="2"/>
        <v>8.5000000000000023E-3</v>
      </c>
      <c r="O58" s="200">
        <f t="shared" si="2"/>
        <v>0</v>
      </c>
      <c r="P58" s="201">
        <f>SUM(D58:O58)</f>
        <v>9.5000000000000029E-2</v>
      </c>
      <c r="Q58" s="202">
        <f>+P58</f>
        <v>9.5000000000000029E-2</v>
      </c>
      <c r="R58" s="198">
        <f t="shared" si="3"/>
        <v>0</v>
      </c>
      <c r="S58" s="192"/>
      <c r="T58" s="192"/>
      <c r="U58" s="192"/>
      <c r="V58" s="192"/>
      <c r="W58" s="192"/>
      <c r="X58" s="192"/>
      <c r="Y58" s="192"/>
      <c r="Z58" s="192"/>
      <c r="AA58" s="192"/>
      <c r="AB58" s="192"/>
      <c r="AC58" s="192"/>
      <c r="AD58" s="192"/>
    </row>
    <row r="59" spans="1:30" x14ac:dyDescent="0.25">
      <c r="A59" s="461" t="str">
        <f>A40</f>
        <v>17. Convocar y gestionar las sesiones de las Mesa de Unidades Móviles de Servicios del Cuidado</v>
      </c>
      <c r="B59" s="466">
        <f>B40</f>
        <v>0.05</v>
      </c>
      <c r="C59" s="194" t="s">
        <v>67</v>
      </c>
      <c r="D59" s="195">
        <f t="shared" ref="D59:O60" si="4">D40*$B$40/$P$40</f>
        <v>4.000000000000001E-3</v>
      </c>
      <c r="E59" s="195">
        <f t="shared" si="4"/>
        <v>4.000000000000001E-3</v>
      </c>
      <c r="F59" s="195">
        <f t="shared" si="4"/>
        <v>4.1500000000000009E-3</v>
      </c>
      <c r="G59" s="195">
        <f t="shared" si="4"/>
        <v>4.1500000000000009E-3</v>
      </c>
      <c r="H59" s="195">
        <f t="shared" si="4"/>
        <v>4.1500000000000009E-3</v>
      </c>
      <c r="I59" s="195">
        <f t="shared" si="4"/>
        <v>4.1500000000000009E-3</v>
      </c>
      <c r="J59" s="195">
        <f t="shared" si="4"/>
        <v>4.1500000000000009E-3</v>
      </c>
      <c r="K59" s="195">
        <f t="shared" si="4"/>
        <v>4.1500000000000009E-3</v>
      </c>
      <c r="L59" s="195">
        <f t="shared" si="4"/>
        <v>4.1500000000000009E-3</v>
      </c>
      <c r="M59" s="195">
        <f t="shared" si="4"/>
        <v>4.1500000000000009E-3</v>
      </c>
      <c r="N59" s="195">
        <f t="shared" si="4"/>
        <v>4.1500000000000009E-3</v>
      </c>
      <c r="O59" s="195">
        <f t="shared" si="4"/>
        <v>4.6500000000000014E-3</v>
      </c>
      <c r="P59" s="196">
        <f>SUM(D59:O59)</f>
        <v>5.000000000000001E-2</v>
      </c>
      <c r="Q59" s="197">
        <v>2.5000000000000001E-2</v>
      </c>
      <c r="R59" s="198">
        <f t="shared" si="3"/>
        <v>2.5000000000000008E-2</v>
      </c>
      <c r="S59" s="192"/>
      <c r="T59" s="192"/>
      <c r="U59" s="192"/>
      <c r="V59" s="192"/>
      <c r="W59" s="192"/>
      <c r="X59" s="192"/>
      <c r="Y59" s="192"/>
      <c r="Z59" s="192"/>
      <c r="AA59" s="192"/>
      <c r="AB59" s="192"/>
      <c r="AC59" s="192"/>
      <c r="AD59" s="192"/>
    </row>
    <row r="60" spans="1:30" x14ac:dyDescent="0.25">
      <c r="A60" s="465"/>
      <c r="B60" s="467"/>
      <c r="C60" s="203" t="s">
        <v>72</v>
      </c>
      <c r="D60" s="200">
        <f t="shared" si="4"/>
        <v>4.000000000000001E-3</v>
      </c>
      <c r="E60" s="200">
        <f t="shared" si="4"/>
        <v>4.000000000000001E-3</v>
      </c>
      <c r="F60" s="200">
        <f t="shared" si="4"/>
        <v>4.1500000000000009E-3</v>
      </c>
      <c r="G60" s="200">
        <f t="shared" si="4"/>
        <v>4.1500000000000009E-3</v>
      </c>
      <c r="H60" s="200">
        <f t="shared" si="4"/>
        <v>4.1500000000000009E-3</v>
      </c>
      <c r="I60" s="200">
        <f t="shared" si="4"/>
        <v>4.1500000000000009E-3</v>
      </c>
      <c r="J60" s="200">
        <f t="shared" si="4"/>
        <v>4.1500000000000009E-3</v>
      </c>
      <c r="K60" s="200">
        <f t="shared" si="4"/>
        <v>4.1500000000000009E-3</v>
      </c>
      <c r="L60" s="200">
        <f t="shared" si="4"/>
        <v>4.1500000000000009E-3</v>
      </c>
      <c r="M60" s="200">
        <f t="shared" si="4"/>
        <v>4.1500000000000009E-3</v>
      </c>
      <c r="N60" s="200">
        <f t="shared" si="4"/>
        <v>4.1500000000000009E-3</v>
      </c>
      <c r="O60" s="200" t="e">
        <f t="shared" si="4"/>
        <v>#VALUE!</v>
      </c>
      <c r="P60" s="201" t="e">
        <f>SUM(D60:O60)</f>
        <v>#VALUE!</v>
      </c>
      <c r="Q60" s="202" t="e">
        <f>+P60</f>
        <v>#VALUE!</v>
      </c>
      <c r="R60" s="198" t="e">
        <f t="shared" si="3"/>
        <v>#VALUE!</v>
      </c>
      <c r="S60" s="192"/>
      <c r="T60" s="192"/>
      <c r="U60" s="192"/>
      <c r="V60" s="192"/>
      <c r="W60" s="192"/>
      <c r="X60" s="192"/>
      <c r="Y60" s="192"/>
      <c r="Z60" s="192"/>
      <c r="AA60" s="192"/>
      <c r="AB60" s="192"/>
      <c r="AC60" s="192"/>
      <c r="AD60" s="192"/>
    </row>
    <row r="61" spans="1:30" x14ac:dyDescent="0.25">
      <c r="A61" s="450"/>
      <c r="B61" s="452"/>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5">
      <c r="A62" s="451"/>
      <c r="B62" s="453"/>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5">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5">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5">
      <c r="A65" s="191"/>
      <c r="B65" s="211"/>
      <c r="C65" s="212"/>
      <c r="D65" s="213">
        <f>D58+D60</f>
        <v>1.3000000000000001E-2</v>
      </c>
      <c r="E65" s="213">
        <f t="shared" ref="E65:O65" si="5">E58+E60</f>
        <v>1.3000000000000001E-2</v>
      </c>
      <c r="F65" s="213">
        <f t="shared" si="5"/>
        <v>1.2650000000000003E-2</v>
      </c>
      <c r="G65" s="213">
        <f t="shared" si="5"/>
        <v>1.2650000000000003E-2</v>
      </c>
      <c r="H65" s="213">
        <f t="shared" si="5"/>
        <v>1.2650000000000003E-2</v>
      </c>
      <c r="I65" s="213">
        <f t="shared" si="5"/>
        <v>1.2650000000000003E-2</v>
      </c>
      <c r="J65" s="213">
        <f t="shared" si="5"/>
        <v>1.2650000000000003E-2</v>
      </c>
      <c r="K65" s="213">
        <f t="shared" si="5"/>
        <v>1.2650000000000003E-2</v>
      </c>
      <c r="L65" s="213">
        <f t="shared" si="5"/>
        <v>1.3150000000000002E-2</v>
      </c>
      <c r="M65" s="213">
        <f t="shared" si="5"/>
        <v>1.2650000000000003E-2</v>
      </c>
      <c r="N65" s="213">
        <f t="shared" si="5"/>
        <v>1.2650000000000003E-2</v>
      </c>
      <c r="O65" s="213" t="e">
        <f t="shared" si="5"/>
        <v>#VALUE!</v>
      </c>
      <c r="P65" s="213" t="e">
        <f>P58+P60+P62</f>
        <v>#VALUE!</v>
      </c>
      <c r="Q65" s="191"/>
      <c r="R65" s="198" t="e">
        <f t="shared" si="3"/>
        <v>#VALUE!</v>
      </c>
      <c r="S65" s="192"/>
      <c r="T65" s="192"/>
      <c r="U65" s="192"/>
      <c r="V65" s="192"/>
      <c r="W65" s="192"/>
      <c r="X65" s="192"/>
      <c r="Y65" s="192"/>
      <c r="Z65" s="192"/>
      <c r="AA65" s="192"/>
      <c r="AB65" s="192"/>
      <c r="AC65" s="192"/>
      <c r="AD65" s="192"/>
    </row>
    <row r="66" spans="1:30" x14ac:dyDescent="0.25">
      <c r="A66" s="191"/>
      <c r="B66" s="214"/>
      <c r="C66" s="215" t="s">
        <v>72</v>
      </c>
      <c r="D66" s="216">
        <f>D65*$W$17/$B$34</f>
        <v>2.1666666666666671E-2</v>
      </c>
      <c r="E66" s="216">
        <f t="shared" ref="E66:O66" si="6">E65*$W$17/$B$34</f>
        <v>2.1666666666666671E-2</v>
      </c>
      <c r="F66" s="216">
        <f t="shared" si="6"/>
        <v>2.1083333333333339E-2</v>
      </c>
      <c r="G66" s="216">
        <f t="shared" si="6"/>
        <v>2.1083333333333339E-2</v>
      </c>
      <c r="H66" s="216">
        <f t="shared" si="6"/>
        <v>2.1083333333333339E-2</v>
      </c>
      <c r="I66" s="216">
        <f t="shared" si="6"/>
        <v>2.1083333333333339E-2</v>
      </c>
      <c r="J66" s="216">
        <f t="shared" si="6"/>
        <v>2.1083333333333339E-2</v>
      </c>
      <c r="K66" s="216">
        <f t="shared" si="6"/>
        <v>2.1083333333333339E-2</v>
      </c>
      <c r="L66" s="216">
        <f t="shared" si="6"/>
        <v>2.1916666666666671E-2</v>
      </c>
      <c r="M66" s="216">
        <f t="shared" si="6"/>
        <v>2.1083333333333339E-2</v>
      </c>
      <c r="N66" s="216">
        <f t="shared" si="6"/>
        <v>2.1083333333333339E-2</v>
      </c>
      <c r="O66" s="216" t="e">
        <f t="shared" si="6"/>
        <v>#VALUE!</v>
      </c>
      <c r="P66" s="217" t="e">
        <f>SUM(D66:O66)</f>
        <v>#VALUE!</v>
      </c>
      <c r="Q66" s="218"/>
      <c r="R66" s="191"/>
      <c r="S66" s="192"/>
      <c r="T66" s="192"/>
      <c r="U66" s="192"/>
      <c r="V66" s="192"/>
      <c r="W66" s="192"/>
      <c r="X66" s="192"/>
      <c r="Y66" s="192"/>
      <c r="Z66" s="192"/>
      <c r="AA66" s="192"/>
      <c r="AB66" s="192"/>
      <c r="AC66" s="192"/>
      <c r="AD66" s="192"/>
    </row>
    <row r="67" spans="1:30" x14ac:dyDescent="0.25">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5">
      <c r="A68" s="197"/>
      <c r="B68" s="108"/>
      <c r="C68" s="108"/>
      <c r="D68" s="213">
        <f>+D57+D59</f>
        <v>1.3000000000000001E-2</v>
      </c>
      <c r="E68" s="213">
        <f t="shared" ref="E68:O68" si="7">+E57+E59</f>
        <v>1.3000000000000001E-2</v>
      </c>
      <c r="F68" s="213">
        <f t="shared" si="7"/>
        <v>1.2650000000000003E-2</v>
      </c>
      <c r="G68" s="213">
        <f t="shared" si="7"/>
        <v>1.2650000000000003E-2</v>
      </c>
      <c r="H68" s="213">
        <f t="shared" si="7"/>
        <v>1.2650000000000003E-2</v>
      </c>
      <c r="I68" s="213">
        <f t="shared" si="7"/>
        <v>1.2650000000000003E-2</v>
      </c>
      <c r="J68" s="213">
        <f t="shared" si="7"/>
        <v>1.2650000000000003E-2</v>
      </c>
      <c r="K68" s="213">
        <f t="shared" si="7"/>
        <v>1.2650000000000003E-2</v>
      </c>
      <c r="L68" s="213">
        <f t="shared" si="7"/>
        <v>1.3150000000000002E-2</v>
      </c>
      <c r="M68" s="213">
        <f t="shared" si="7"/>
        <v>1.2650000000000003E-2</v>
      </c>
      <c r="N68" s="213">
        <f t="shared" si="7"/>
        <v>1.2650000000000003E-2</v>
      </c>
      <c r="O68" s="213">
        <f t="shared" si="7"/>
        <v>9.6500000000000023E-3</v>
      </c>
      <c r="P68" s="213">
        <f>+P57+P59+P61</f>
        <v>0.15000000000000005</v>
      </c>
      <c r="Q68" s="197"/>
      <c r="R68" s="197"/>
      <c r="S68" s="192"/>
      <c r="T68" s="192"/>
      <c r="U68" s="192"/>
      <c r="V68" s="192"/>
      <c r="W68" s="192"/>
      <c r="X68" s="192"/>
      <c r="Y68" s="192"/>
      <c r="Z68" s="192"/>
      <c r="AA68" s="192"/>
      <c r="AB68" s="192"/>
      <c r="AC68" s="192"/>
      <c r="AD68" s="192"/>
    </row>
    <row r="69" spans="1:30" x14ac:dyDescent="0.25">
      <c r="A69" s="197"/>
      <c r="B69" s="108"/>
      <c r="C69" s="215" t="s">
        <v>67</v>
      </c>
      <c r="D69" s="216">
        <f>D68*$W$17/$B$34</f>
        <v>2.1666666666666671E-2</v>
      </c>
      <c r="E69" s="216">
        <f t="shared" ref="E69:O69" si="8">E68*$W$17/$B$34</f>
        <v>2.1666666666666671E-2</v>
      </c>
      <c r="F69" s="216">
        <f t="shared" si="8"/>
        <v>2.1083333333333339E-2</v>
      </c>
      <c r="G69" s="216">
        <f t="shared" si="8"/>
        <v>2.1083333333333339E-2</v>
      </c>
      <c r="H69" s="216">
        <f t="shared" si="8"/>
        <v>2.1083333333333339E-2</v>
      </c>
      <c r="I69" s="216">
        <f t="shared" si="8"/>
        <v>2.1083333333333339E-2</v>
      </c>
      <c r="J69" s="216">
        <f t="shared" si="8"/>
        <v>2.1083333333333339E-2</v>
      </c>
      <c r="K69" s="216">
        <f t="shared" si="8"/>
        <v>2.1083333333333339E-2</v>
      </c>
      <c r="L69" s="216">
        <f t="shared" si="8"/>
        <v>2.1916666666666671E-2</v>
      </c>
      <c r="M69" s="216">
        <f t="shared" si="8"/>
        <v>2.1083333333333339E-2</v>
      </c>
      <c r="N69" s="216">
        <f t="shared" si="8"/>
        <v>2.1083333333333339E-2</v>
      </c>
      <c r="O69" s="216">
        <f t="shared" si="8"/>
        <v>1.6083333333333338E-2</v>
      </c>
      <c r="P69" s="217">
        <f>SUM(D69:O69)</f>
        <v>0.25000000000000011</v>
      </c>
      <c r="Q69" s="197"/>
      <c r="R69" s="197"/>
      <c r="S69" s="192"/>
      <c r="T69" s="192"/>
      <c r="U69" s="192"/>
      <c r="V69" s="192"/>
      <c r="W69" s="192"/>
      <c r="X69" s="192"/>
      <c r="Y69" s="192"/>
      <c r="Z69" s="192"/>
      <c r="AA69" s="192"/>
      <c r="AB69" s="192"/>
      <c r="AC69" s="192"/>
      <c r="AD69" s="192"/>
    </row>
    <row r="70" spans="1:30" x14ac:dyDescent="0.25">
      <c r="A70" s="192"/>
      <c r="Q70" s="192"/>
      <c r="R70" s="192"/>
      <c r="S70" s="192"/>
      <c r="T70" s="192"/>
      <c r="U70" s="192"/>
      <c r="V70" s="192"/>
      <c r="W70" s="192"/>
      <c r="X70" s="192"/>
      <c r="Y70" s="192"/>
      <c r="Z70" s="192"/>
      <c r="AA70" s="192"/>
      <c r="AB70" s="192"/>
      <c r="AC70" s="192"/>
      <c r="AD70" s="192"/>
    </row>
    <row r="71" spans="1:30" x14ac:dyDescent="0.25">
      <c r="A71" s="192"/>
      <c r="Q71" s="192"/>
      <c r="R71" s="192"/>
      <c r="S71" s="192"/>
      <c r="T71" s="192"/>
      <c r="U71" s="192"/>
      <c r="V71" s="192"/>
      <c r="W71" s="192"/>
      <c r="X71" s="192"/>
      <c r="Y71" s="192"/>
      <c r="Z71" s="192"/>
      <c r="AA71" s="192"/>
      <c r="AB71" s="192"/>
      <c r="AC71" s="192"/>
      <c r="AD71" s="192"/>
    </row>
    <row r="72" spans="1:30" x14ac:dyDescent="0.25">
      <c r="A72" s="192"/>
      <c r="Q72" s="192"/>
      <c r="R72" s="192"/>
      <c r="S72" s="192"/>
      <c r="T72" s="192"/>
      <c r="U72" s="192"/>
      <c r="V72" s="192"/>
      <c r="W72" s="192"/>
      <c r="X72" s="192"/>
      <c r="Y72" s="192"/>
      <c r="Z72" s="192"/>
      <c r="AA72" s="192"/>
      <c r="AB72" s="192"/>
      <c r="AC72" s="192"/>
      <c r="AD72" s="192"/>
    </row>
    <row r="73" spans="1:30" x14ac:dyDescent="0.25">
      <c r="A73" s="192"/>
      <c r="Q73" s="192"/>
      <c r="R73" s="192"/>
      <c r="S73" s="192"/>
      <c r="T73" s="192"/>
      <c r="U73" s="192"/>
      <c r="V73" s="192"/>
      <c r="W73" s="192"/>
      <c r="X73" s="192"/>
      <c r="Y73" s="192"/>
      <c r="Z73" s="192"/>
      <c r="AA73" s="192"/>
      <c r="AB73" s="192"/>
      <c r="AC73" s="192"/>
      <c r="AD73" s="192"/>
    </row>
    <row r="74" spans="1:30" x14ac:dyDescent="0.25">
      <c r="A74" s="192"/>
      <c r="Q74" s="192"/>
      <c r="R74" s="192"/>
      <c r="S74" s="192"/>
      <c r="T74" s="192"/>
      <c r="U74" s="192"/>
      <c r="V74" s="192"/>
      <c r="W74" s="192"/>
      <c r="X74" s="192"/>
      <c r="Y74" s="192"/>
      <c r="Z74" s="192"/>
      <c r="AA74" s="192"/>
      <c r="AB74" s="192"/>
      <c r="AC74" s="192"/>
      <c r="AD74" s="192"/>
    </row>
    <row r="75" spans="1:30" x14ac:dyDescent="0.25">
      <c r="A75" s="192"/>
      <c r="Q75" s="192"/>
      <c r="R75" s="192"/>
      <c r="S75" s="192"/>
      <c r="T75" s="192"/>
      <c r="U75" s="192"/>
      <c r="V75" s="192"/>
      <c r="W75" s="192"/>
      <c r="X75" s="192"/>
      <c r="Y75" s="192"/>
      <c r="Z75" s="192"/>
      <c r="AA75" s="192"/>
      <c r="AB75" s="192"/>
      <c r="AC75" s="192"/>
      <c r="AD75" s="192"/>
    </row>
    <row r="76" spans="1:30" x14ac:dyDescent="0.25">
      <c r="A76" s="192"/>
      <c r="Q76" s="192"/>
      <c r="R76" s="192"/>
      <c r="S76" s="192"/>
      <c r="T76" s="192"/>
      <c r="U76" s="192"/>
      <c r="V76" s="192"/>
      <c r="W76" s="192"/>
      <c r="X76" s="192"/>
      <c r="Y76" s="192"/>
      <c r="Z76" s="192"/>
      <c r="AA76" s="192"/>
      <c r="AB76" s="192"/>
      <c r="AC76" s="192"/>
      <c r="AD76" s="192"/>
    </row>
    <row r="77" spans="1:30" x14ac:dyDescent="0.25">
      <c r="A77" s="192"/>
      <c r="Q77" s="192"/>
      <c r="R77" s="192"/>
      <c r="S77" s="192"/>
      <c r="T77" s="192"/>
      <c r="U77" s="192"/>
      <c r="V77" s="192"/>
      <c r="W77" s="192"/>
      <c r="X77" s="192"/>
      <c r="Y77" s="192"/>
      <c r="Z77" s="192"/>
      <c r="AA77" s="192"/>
      <c r="AB77" s="192"/>
      <c r="AC77" s="192"/>
      <c r="AD77" s="192"/>
    </row>
  </sheetData>
  <mergeCells count="86">
    <mergeCell ref="AF22:AM25"/>
    <mergeCell ref="A40:A41"/>
    <mergeCell ref="B40:B41"/>
    <mergeCell ref="Q40:AD41"/>
    <mergeCell ref="A36:A37"/>
    <mergeCell ref="B36:B37"/>
    <mergeCell ref="C36:P36"/>
    <mergeCell ref="Q36:AD36"/>
    <mergeCell ref="Q37:AD37"/>
    <mergeCell ref="A38:A39"/>
    <mergeCell ref="B38:B39"/>
    <mergeCell ref="Q38:AD39"/>
    <mergeCell ref="W34:Z35"/>
    <mergeCell ref="B30:C30"/>
    <mergeCell ref="T33:V33"/>
    <mergeCell ref="W33:Z33"/>
    <mergeCell ref="Q34:S35"/>
    <mergeCell ref="T34:V35"/>
    <mergeCell ref="AA34:AD35"/>
    <mergeCell ref="A34:A35"/>
    <mergeCell ref="B34:B35"/>
    <mergeCell ref="A28:A29"/>
    <mergeCell ref="B28:C29"/>
    <mergeCell ref="D28:O28"/>
    <mergeCell ref="P28:P29"/>
    <mergeCell ref="Q28:AD29"/>
    <mergeCell ref="Q30:AD30"/>
    <mergeCell ref="A31:AD31"/>
    <mergeCell ref="A32:A33"/>
    <mergeCell ref="B32:B33"/>
    <mergeCell ref="C32:C33"/>
    <mergeCell ref="D32:P32"/>
    <mergeCell ref="Q32:AD32"/>
    <mergeCell ref="Q33:S33"/>
    <mergeCell ref="AA33:AD33"/>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FD6F6155-5E0A-4610-925A-EDFBF447EB83}"/>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W34 Q38:AD41" xr:uid="{00000000-0002-0000-0600-000002000000}">
      <formula1>2000</formula1>
    </dataValidation>
  </dataValidations>
  <pageMargins left="0.25" right="0.25" top="0.75" bottom="0.75" header="0.3" footer="0.3"/>
  <pageSetup scale="22" orientation="landscape"/>
  <ignoredErrors>
    <ignoredError sqref="W24" formula="1"/>
  </ignoredError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A1:BC27"/>
  <sheetViews>
    <sheetView topLeftCell="H14" zoomScale="85" zoomScaleNormal="85" workbookViewId="0">
      <selection activeCell="AR16" sqref="AQ16:AR16"/>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21" customWidth="1"/>
    <col min="20" max="20" width="22.28515625" style="108" customWidth="1"/>
    <col min="21" max="21" width="17" style="108" customWidth="1"/>
    <col min="22" max="45" width="7.42578125" style="108" customWidth="1"/>
    <col min="46" max="46" width="17.140625" style="108" customWidth="1"/>
    <col min="47" max="47" width="15.85546875" style="175" customWidth="1"/>
    <col min="48" max="48" width="34.85546875" style="108" customWidth="1"/>
    <col min="49" max="49" width="87.42578125" style="108" customWidth="1"/>
    <col min="50" max="50" width="40.7109375" style="108" customWidth="1"/>
    <col min="51" max="51" width="24.42578125" style="108" customWidth="1"/>
    <col min="52" max="16384" width="10.85546875" style="108"/>
  </cols>
  <sheetData>
    <row r="1" spans="1:53" ht="15.95" customHeight="1" x14ac:dyDescent="0.25">
      <c r="A1" s="899" t="s">
        <v>0</v>
      </c>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1"/>
      <c r="AX1" s="785" t="s">
        <v>1</v>
      </c>
      <c r="AY1" s="786"/>
    </row>
    <row r="2" spans="1:53" ht="15.95" customHeight="1" x14ac:dyDescent="0.25">
      <c r="A2" s="902" t="s">
        <v>2</v>
      </c>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4"/>
      <c r="AX2" s="896" t="s">
        <v>3</v>
      </c>
      <c r="AY2" s="897"/>
    </row>
    <row r="3" spans="1:53" ht="15" customHeight="1" x14ac:dyDescent="0.25">
      <c r="A3" s="905" t="s">
        <v>187</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7"/>
      <c r="AX3" s="896" t="s">
        <v>5</v>
      </c>
      <c r="AY3" s="897"/>
    </row>
    <row r="4" spans="1:53" ht="15.95" customHeight="1" x14ac:dyDescent="0.25">
      <c r="A4" s="899"/>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1"/>
      <c r="AX4" s="898" t="s">
        <v>188</v>
      </c>
      <c r="AY4" s="898"/>
    </row>
    <row r="5" spans="1:53" ht="15" customHeight="1" x14ac:dyDescent="0.25">
      <c r="A5" s="871" t="s">
        <v>189</v>
      </c>
      <c r="B5" s="872"/>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3"/>
      <c r="AH5" s="877" t="s">
        <v>13</v>
      </c>
      <c r="AI5" s="892"/>
      <c r="AJ5" s="892"/>
      <c r="AK5" s="892"/>
      <c r="AL5" s="892"/>
      <c r="AM5" s="892"/>
      <c r="AN5" s="892"/>
      <c r="AO5" s="892"/>
      <c r="AP5" s="892"/>
      <c r="AQ5" s="892"/>
      <c r="AR5" s="892"/>
      <c r="AS5" s="892"/>
      <c r="AT5" s="892"/>
      <c r="AU5" s="878"/>
      <c r="AV5" s="885" t="s">
        <v>190</v>
      </c>
      <c r="AW5" s="885" t="s">
        <v>191</v>
      </c>
      <c r="AX5" s="885" t="s">
        <v>192</v>
      </c>
      <c r="AY5" s="885" t="s">
        <v>193</v>
      </c>
    </row>
    <row r="6" spans="1:53" ht="15" customHeight="1" x14ac:dyDescent="0.25">
      <c r="A6" s="874" t="s">
        <v>9</v>
      </c>
      <c r="B6" s="874"/>
      <c r="C6" s="874"/>
      <c r="D6" s="875">
        <v>45265</v>
      </c>
      <c r="E6" s="876"/>
      <c r="F6" s="877" t="s">
        <v>10</v>
      </c>
      <c r="G6" s="878"/>
      <c r="H6" s="888" t="s">
        <v>11</v>
      </c>
      <c r="I6" s="888"/>
      <c r="J6" s="237"/>
      <c r="K6" s="877"/>
      <c r="L6" s="892"/>
      <c r="M6" s="892"/>
      <c r="N6" s="892"/>
      <c r="O6" s="892"/>
      <c r="P6" s="892"/>
      <c r="Q6" s="892"/>
      <c r="R6" s="892"/>
      <c r="S6" s="892"/>
      <c r="T6" s="892"/>
      <c r="U6" s="892"/>
      <c r="V6" s="109"/>
      <c r="W6" s="109"/>
      <c r="X6" s="109"/>
      <c r="Y6" s="109"/>
      <c r="Z6" s="109"/>
      <c r="AA6" s="109"/>
      <c r="AB6" s="109"/>
      <c r="AC6" s="109"/>
      <c r="AD6" s="109"/>
      <c r="AE6" s="109"/>
      <c r="AF6" s="109"/>
      <c r="AG6" s="110"/>
      <c r="AH6" s="879"/>
      <c r="AI6" s="893"/>
      <c r="AJ6" s="893"/>
      <c r="AK6" s="893"/>
      <c r="AL6" s="893"/>
      <c r="AM6" s="893"/>
      <c r="AN6" s="893"/>
      <c r="AO6" s="893"/>
      <c r="AP6" s="893"/>
      <c r="AQ6" s="893"/>
      <c r="AR6" s="893"/>
      <c r="AS6" s="893"/>
      <c r="AT6" s="893"/>
      <c r="AU6" s="880"/>
      <c r="AV6" s="895"/>
      <c r="AW6" s="895"/>
      <c r="AX6" s="895"/>
      <c r="AY6" s="895"/>
    </row>
    <row r="7" spans="1:53" ht="15" customHeight="1" x14ac:dyDescent="0.25">
      <c r="A7" s="874"/>
      <c r="B7" s="874"/>
      <c r="C7" s="874"/>
      <c r="D7" s="876"/>
      <c r="E7" s="876"/>
      <c r="F7" s="879"/>
      <c r="G7" s="880"/>
      <c r="H7" s="888" t="s">
        <v>12</v>
      </c>
      <c r="I7" s="888"/>
      <c r="J7" s="237"/>
      <c r="K7" s="879"/>
      <c r="L7" s="893"/>
      <c r="M7" s="893"/>
      <c r="N7" s="893"/>
      <c r="O7" s="893"/>
      <c r="P7" s="893"/>
      <c r="Q7" s="893"/>
      <c r="R7" s="893"/>
      <c r="S7" s="893"/>
      <c r="T7" s="893"/>
      <c r="U7" s="893"/>
      <c r="V7" s="111"/>
      <c r="W7" s="111"/>
      <c r="X7" s="111"/>
      <c r="Y7" s="111"/>
      <c r="Z7" s="111"/>
      <c r="AA7" s="111"/>
      <c r="AB7" s="111"/>
      <c r="AC7" s="111"/>
      <c r="AD7" s="111"/>
      <c r="AE7" s="111"/>
      <c r="AF7" s="111"/>
      <c r="AG7" s="112"/>
      <c r="AH7" s="879"/>
      <c r="AI7" s="893"/>
      <c r="AJ7" s="893"/>
      <c r="AK7" s="893"/>
      <c r="AL7" s="893"/>
      <c r="AM7" s="893"/>
      <c r="AN7" s="893"/>
      <c r="AO7" s="893"/>
      <c r="AP7" s="893"/>
      <c r="AQ7" s="893"/>
      <c r="AR7" s="893"/>
      <c r="AS7" s="893"/>
      <c r="AT7" s="893"/>
      <c r="AU7" s="880"/>
      <c r="AV7" s="895"/>
      <c r="AW7" s="895"/>
      <c r="AX7" s="895"/>
      <c r="AY7" s="895"/>
    </row>
    <row r="8" spans="1:53" ht="15" customHeight="1" x14ac:dyDescent="0.25">
      <c r="A8" s="874"/>
      <c r="B8" s="874"/>
      <c r="C8" s="874"/>
      <c r="D8" s="876"/>
      <c r="E8" s="876"/>
      <c r="F8" s="881"/>
      <c r="G8" s="882"/>
      <c r="H8" s="888" t="s">
        <v>13</v>
      </c>
      <c r="I8" s="888"/>
      <c r="J8" s="118" t="s">
        <v>14</v>
      </c>
      <c r="K8" s="881"/>
      <c r="L8" s="894"/>
      <c r="M8" s="894"/>
      <c r="N8" s="894"/>
      <c r="O8" s="894"/>
      <c r="P8" s="894"/>
      <c r="Q8" s="894"/>
      <c r="R8" s="894"/>
      <c r="S8" s="894"/>
      <c r="T8" s="894"/>
      <c r="U8" s="894"/>
      <c r="V8" s="113"/>
      <c r="W8" s="113"/>
      <c r="X8" s="113"/>
      <c r="Y8" s="113"/>
      <c r="Z8" s="113"/>
      <c r="AA8" s="113"/>
      <c r="AB8" s="113"/>
      <c r="AC8" s="113"/>
      <c r="AD8" s="113"/>
      <c r="AE8" s="113"/>
      <c r="AF8" s="113"/>
      <c r="AG8" s="114"/>
      <c r="AH8" s="879"/>
      <c r="AI8" s="893"/>
      <c r="AJ8" s="893"/>
      <c r="AK8" s="893"/>
      <c r="AL8" s="893"/>
      <c r="AM8" s="893"/>
      <c r="AN8" s="893"/>
      <c r="AO8" s="893"/>
      <c r="AP8" s="893"/>
      <c r="AQ8" s="893"/>
      <c r="AR8" s="893"/>
      <c r="AS8" s="893"/>
      <c r="AT8" s="893"/>
      <c r="AU8" s="880"/>
      <c r="AV8" s="895"/>
      <c r="AW8" s="895"/>
      <c r="AX8" s="895"/>
      <c r="AY8" s="895"/>
    </row>
    <row r="9" spans="1:53" ht="15" customHeight="1" x14ac:dyDescent="0.25">
      <c r="A9" s="889" t="s">
        <v>194</v>
      </c>
      <c r="B9" s="890"/>
      <c r="C9" s="891"/>
      <c r="D9" s="911" t="s">
        <v>22</v>
      </c>
      <c r="E9" s="912"/>
      <c r="F9" s="912"/>
      <c r="G9" s="912"/>
      <c r="H9" s="912"/>
      <c r="I9" s="912"/>
      <c r="J9" s="912"/>
      <c r="K9" s="913"/>
      <c r="L9" s="913"/>
      <c r="M9" s="913"/>
      <c r="N9" s="913"/>
      <c r="O9" s="913"/>
      <c r="P9" s="913"/>
      <c r="Q9" s="913"/>
      <c r="R9" s="913"/>
      <c r="S9" s="913"/>
      <c r="T9" s="913"/>
      <c r="U9" s="913"/>
      <c r="V9" s="913"/>
      <c r="W9" s="913"/>
      <c r="X9" s="913"/>
      <c r="Y9" s="913"/>
      <c r="Z9" s="913"/>
      <c r="AA9" s="913"/>
      <c r="AB9" s="913"/>
      <c r="AC9" s="913"/>
      <c r="AD9" s="913"/>
      <c r="AE9" s="913"/>
      <c r="AF9" s="913"/>
      <c r="AG9" s="914"/>
      <c r="AH9" s="879"/>
      <c r="AI9" s="893"/>
      <c r="AJ9" s="893"/>
      <c r="AK9" s="893"/>
      <c r="AL9" s="893"/>
      <c r="AM9" s="893"/>
      <c r="AN9" s="893"/>
      <c r="AO9" s="893"/>
      <c r="AP9" s="893"/>
      <c r="AQ9" s="893"/>
      <c r="AR9" s="893"/>
      <c r="AS9" s="893"/>
      <c r="AT9" s="893"/>
      <c r="AU9" s="880"/>
      <c r="AV9" s="895"/>
      <c r="AW9" s="895"/>
      <c r="AX9" s="895"/>
      <c r="AY9" s="895"/>
    </row>
    <row r="10" spans="1:53" ht="15" customHeight="1" x14ac:dyDescent="0.25">
      <c r="A10" s="908" t="s">
        <v>195</v>
      </c>
      <c r="B10" s="909"/>
      <c r="C10" s="910"/>
      <c r="D10" s="915" t="s">
        <v>196</v>
      </c>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4"/>
      <c r="AH10" s="881"/>
      <c r="AI10" s="894"/>
      <c r="AJ10" s="894"/>
      <c r="AK10" s="894"/>
      <c r="AL10" s="894"/>
      <c r="AM10" s="894"/>
      <c r="AN10" s="894"/>
      <c r="AO10" s="894"/>
      <c r="AP10" s="894"/>
      <c r="AQ10" s="894"/>
      <c r="AR10" s="894"/>
      <c r="AS10" s="894"/>
      <c r="AT10" s="894"/>
      <c r="AU10" s="882"/>
      <c r="AV10" s="895"/>
      <c r="AW10" s="895"/>
      <c r="AX10" s="895"/>
      <c r="AY10" s="895"/>
    </row>
    <row r="11" spans="1:53" ht="39.950000000000003" customHeight="1" x14ac:dyDescent="0.25">
      <c r="A11" s="883" t="s">
        <v>197</v>
      </c>
      <c r="B11" s="887"/>
      <c r="C11" s="887"/>
      <c r="D11" s="887"/>
      <c r="E11" s="887"/>
      <c r="F11" s="884"/>
      <c r="G11" s="883" t="s">
        <v>198</v>
      </c>
      <c r="H11" s="884"/>
      <c r="I11" s="885" t="s">
        <v>199</v>
      </c>
      <c r="J11" s="885" t="s">
        <v>200</v>
      </c>
      <c r="K11" s="885" t="s">
        <v>201</v>
      </c>
      <c r="L11" s="885" t="s">
        <v>202</v>
      </c>
      <c r="M11" s="885" t="s">
        <v>203</v>
      </c>
      <c r="N11" s="885" t="s">
        <v>204</v>
      </c>
      <c r="O11" s="883" t="s">
        <v>205</v>
      </c>
      <c r="P11" s="887"/>
      <c r="Q11" s="887"/>
      <c r="R11" s="887"/>
      <c r="S11" s="884"/>
      <c r="T11" s="885" t="s">
        <v>206</v>
      </c>
      <c r="U11" s="885" t="s">
        <v>207</v>
      </c>
      <c r="V11" s="871" t="s">
        <v>208</v>
      </c>
      <c r="W11" s="872"/>
      <c r="X11" s="872"/>
      <c r="Y11" s="872"/>
      <c r="Z11" s="872"/>
      <c r="AA11" s="872"/>
      <c r="AB11" s="872"/>
      <c r="AC11" s="872"/>
      <c r="AD11" s="872"/>
      <c r="AE11" s="872"/>
      <c r="AF11" s="872"/>
      <c r="AG11" s="873"/>
      <c r="AH11" s="871" t="s">
        <v>209</v>
      </c>
      <c r="AI11" s="872"/>
      <c r="AJ11" s="872"/>
      <c r="AK11" s="872"/>
      <c r="AL11" s="872"/>
      <c r="AM11" s="872"/>
      <c r="AN11" s="872"/>
      <c r="AO11" s="872"/>
      <c r="AP11" s="872"/>
      <c r="AQ11" s="872"/>
      <c r="AR11" s="872"/>
      <c r="AS11" s="873"/>
      <c r="AT11" s="883" t="s">
        <v>41</v>
      </c>
      <c r="AU11" s="884"/>
      <c r="AV11" s="895"/>
      <c r="AW11" s="895"/>
      <c r="AX11" s="895"/>
      <c r="AY11" s="895"/>
    </row>
    <row r="12" spans="1:53" ht="28.5" x14ac:dyDescent="0.25">
      <c r="A12" s="115" t="s">
        <v>210</v>
      </c>
      <c r="B12" s="115" t="s">
        <v>211</v>
      </c>
      <c r="C12" s="115" t="s">
        <v>212</v>
      </c>
      <c r="D12" s="115" t="s">
        <v>213</v>
      </c>
      <c r="E12" s="115" t="s">
        <v>214</v>
      </c>
      <c r="F12" s="115" t="s">
        <v>215</v>
      </c>
      <c r="G12" s="115" t="s">
        <v>216</v>
      </c>
      <c r="H12" s="115" t="s">
        <v>217</v>
      </c>
      <c r="I12" s="886"/>
      <c r="J12" s="886"/>
      <c r="K12" s="886"/>
      <c r="L12" s="886"/>
      <c r="M12" s="886"/>
      <c r="N12" s="886"/>
      <c r="O12" s="115">
        <v>2020</v>
      </c>
      <c r="P12" s="115">
        <v>2021</v>
      </c>
      <c r="Q12" s="115">
        <v>2022</v>
      </c>
      <c r="R12" s="115">
        <v>2023</v>
      </c>
      <c r="S12" s="115">
        <v>2024</v>
      </c>
      <c r="T12" s="886"/>
      <c r="U12" s="886"/>
      <c r="V12" s="119" t="s">
        <v>30</v>
      </c>
      <c r="W12" s="119" t="s">
        <v>31</v>
      </c>
      <c r="X12" s="119" t="s">
        <v>32</v>
      </c>
      <c r="Y12" s="119" t="s">
        <v>33</v>
      </c>
      <c r="Z12" s="119" t="s">
        <v>34</v>
      </c>
      <c r="AA12" s="119" t="s">
        <v>35</v>
      </c>
      <c r="AB12" s="119" t="s">
        <v>36</v>
      </c>
      <c r="AC12" s="119" t="s">
        <v>37</v>
      </c>
      <c r="AD12" s="119" t="s">
        <v>38</v>
      </c>
      <c r="AE12" s="119" t="s">
        <v>39</v>
      </c>
      <c r="AF12" s="119" t="s">
        <v>8</v>
      </c>
      <c r="AG12" s="119" t="s">
        <v>40</v>
      </c>
      <c r="AH12" s="119" t="s">
        <v>30</v>
      </c>
      <c r="AI12" s="119" t="s">
        <v>31</v>
      </c>
      <c r="AJ12" s="119" t="s">
        <v>32</v>
      </c>
      <c r="AK12" s="119" t="s">
        <v>33</v>
      </c>
      <c r="AL12" s="119" t="s">
        <v>34</v>
      </c>
      <c r="AM12" s="119" t="s">
        <v>35</v>
      </c>
      <c r="AN12" s="119" t="s">
        <v>36</v>
      </c>
      <c r="AO12" s="119" t="s">
        <v>37</v>
      </c>
      <c r="AP12" s="119" t="s">
        <v>38</v>
      </c>
      <c r="AQ12" s="119" t="s">
        <v>39</v>
      </c>
      <c r="AR12" s="119" t="s">
        <v>8</v>
      </c>
      <c r="AS12" s="119" t="s">
        <v>40</v>
      </c>
      <c r="AT12" s="115" t="s">
        <v>218</v>
      </c>
      <c r="AU12" s="332" t="s">
        <v>219</v>
      </c>
      <c r="AV12" s="886"/>
      <c r="AW12" s="886"/>
      <c r="AX12" s="886"/>
      <c r="AY12" s="886"/>
    </row>
    <row r="13" spans="1:53" ht="141" customHeight="1" x14ac:dyDescent="0.25">
      <c r="A13" s="373">
        <v>52</v>
      </c>
      <c r="B13" s="374"/>
      <c r="C13" s="374"/>
      <c r="D13" s="374"/>
      <c r="E13" s="374"/>
      <c r="F13" s="374"/>
      <c r="G13" s="375"/>
      <c r="H13" s="375"/>
      <c r="I13" s="374" t="s">
        <v>220</v>
      </c>
      <c r="J13" s="374" t="s">
        <v>221</v>
      </c>
      <c r="K13" s="374" t="s">
        <v>222</v>
      </c>
      <c r="L13" s="374">
        <v>1</v>
      </c>
      <c r="M13" s="374" t="s">
        <v>223</v>
      </c>
      <c r="N13" s="374" t="s">
        <v>224</v>
      </c>
      <c r="O13" s="376">
        <v>0.3</v>
      </c>
      <c r="P13" s="376">
        <v>0.7</v>
      </c>
      <c r="Q13" s="376">
        <v>1</v>
      </c>
      <c r="R13" s="376">
        <v>1</v>
      </c>
      <c r="S13" s="376">
        <v>1</v>
      </c>
      <c r="T13" s="377" t="s">
        <v>225</v>
      </c>
      <c r="U13" s="378" t="s">
        <v>226</v>
      </c>
      <c r="V13" s="379"/>
      <c r="W13" s="380"/>
      <c r="X13" s="380">
        <v>1</v>
      </c>
      <c r="Y13" s="380"/>
      <c r="Z13" s="380"/>
      <c r="AA13" s="380">
        <v>1</v>
      </c>
      <c r="AB13" s="380"/>
      <c r="AC13" s="380"/>
      <c r="AD13" s="380">
        <v>1</v>
      </c>
      <c r="AE13" s="380"/>
      <c r="AF13" s="380"/>
      <c r="AG13" s="381">
        <v>1</v>
      </c>
      <c r="AH13" s="382">
        <v>0</v>
      </c>
      <c r="AI13" s="383">
        <v>0</v>
      </c>
      <c r="AJ13" s="383">
        <v>1</v>
      </c>
      <c r="AK13" s="383">
        <v>0</v>
      </c>
      <c r="AL13" s="383">
        <v>0</v>
      </c>
      <c r="AM13" s="383">
        <v>1</v>
      </c>
      <c r="AN13" s="382">
        <v>0</v>
      </c>
      <c r="AO13" s="382">
        <v>0</v>
      </c>
      <c r="AP13" s="382">
        <v>1</v>
      </c>
      <c r="AQ13" s="382">
        <v>0</v>
      </c>
      <c r="AR13" s="437">
        <v>0</v>
      </c>
      <c r="AS13" s="382" t="s">
        <v>48</v>
      </c>
      <c r="AT13" s="382">
        <v>1</v>
      </c>
      <c r="AU13" s="384">
        <f t="shared" ref="AU13:AU18" si="0">+AT13/R13</f>
        <v>1</v>
      </c>
      <c r="AV13" s="435" t="s">
        <v>227</v>
      </c>
      <c r="AW13" s="436" t="s">
        <v>228</v>
      </c>
      <c r="AX13" s="436" t="s">
        <v>229</v>
      </c>
      <c r="AY13" s="436" t="s">
        <v>229</v>
      </c>
    </row>
    <row r="14" spans="1:53" ht="196.5" customHeight="1" x14ac:dyDescent="0.25">
      <c r="A14" s="373">
        <v>53</v>
      </c>
      <c r="B14" s="374"/>
      <c r="C14" s="374"/>
      <c r="D14" s="374"/>
      <c r="E14" s="374"/>
      <c r="F14" s="374"/>
      <c r="G14" s="375"/>
      <c r="H14" s="375"/>
      <c r="I14" s="374" t="s">
        <v>230</v>
      </c>
      <c r="J14" s="374" t="s">
        <v>231</v>
      </c>
      <c r="K14" s="374" t="s">
        <v>232</v>
      </c>
      <c r="L14" s="374">
        <v>100</v>
      </c>
      <c r="M14" s="374" t="s">
        <v>233</v>
      </c>
      <c r="N14" s="374" t="s">
        <v>234</v>
      </c>
      <c r="O14" s="385">
        <v>7</v>
      </c>
      <c r="P14" s="385">
        <v>17.91</v>
      </c>
      <c r="Q14" s="386">
        <v>25.09</v>
      </c>
      <c r="R14" s="385">
        <v>25</v>
      </c>
      <c r="S14" s="385">
        <v>25</v>
      </c>
      <c r="T14" s="387" t="s">
        <v>225</v>
      </c>
      <c r="U14" s="378" t="s">
        <v>226</v>
      </c>
      <c r="V14" s="388"/>
      <c r="W14" s="388"/>
      <c r="X14" s="388">
        <v>6.25</v>
      </c>
      <c r="Y14" s="388"/>
      <c r="Z14" s="388"/>
      <c r="AA14" s="388">
        <v>6.25</v>
      </c>
      <c r="AB14" s="388"/>
      <c r="AC14" s="388"/>
      <c r="AD14" s="388">
        <v>6.25</v>
      </c>
      <c r="AE14" s="388"/>
      <c r="AF14" s="388"/>
      <c r="AG14" s="388">
        <v>6.25</v>
      </c>
      <c r="AH14" s="389">
        <v>0</v>
      </c>
      <c r="AI14" s="389">
        <v>0</v>
      </c>
      <c r="AJ14" s="390">
        <v>6.25</v>
      </c>
      <c r="AK14" s="390">
        <v>0</v>
      </c>
      <c r="AL14" s="390">
        <v>0</v>
      </c>
      <c r="AM14" s="390">
        <v>6.25</v>
      </c>
      <c r="AN14" s="389">
        <v>0</v>
      </c>
      <c r="AO14" s="389">
        <v>0</v>
      </c>
      <c r="AP14" s="389">
        <v>6.25</v>
      </c>
      <c r="AQ14" s="389">
        <v>0</v>
      </c>
      <c r="AR14" s="437">
        <v>0</v>
      </c>
      <c r="AS14" s="389" t="s">
        <v>48</v>
      </c>
      <c r="AT14" s="389">
        <f>+SUM(AH14:AS14)</f>
        <v>18.75</v>
      </c>
      <c r="AU14" s="384">
        <f t="shared" si="0"/>
        <v>0.75</v>
      </c>
      <c r="AV14" s="435" t="s">
        <v>227</v>
      </c>
      <c r="AW14" s="435" t="s">
        <v>235</v>
      </c>
      <c r="AX14" s="435" t="s">
        <v>229</v>
      </c>
      <c r="AY14" s="435" t="s">
        <v>229</v>
      </c>
    </row>
    <row r="15" spans="1:53" ht="87.75" customHeight="1" x14ac:dyDescent="0.25">
      <c r="A15" s="373">
        <v>56</v>
      </c>
      <c r="B15" s="374"/>
      <c r="C15" s="374"/>
      <c r="D15" s="374"/>
      <c r="E15" s="374"/>
      <c r="F15" s="374"/>
      <c r="G15" s="375"/>
      <c r="H15" s="375"/>
      <c r="I15" s="374" t="s">
        <v>236</v>
      </c>
      <c r="J15" s="374" t="s">
        <v>237</v>
      </c>
      <c r="K15" s="374" t="s">
        <v>232</v>
      </c>
      <c r="L15" s="374">
        <v>2</v>
      </c>
      <c r="M15" s="374" t="s">
        <v>223</v>
      </c>
      <c r="N15" s="374" t="s">
        <v>238</v>
      </c>
      <c r="O15" s="376">
        <v>0.1</v>
      </c>
      <c r="P15" s="391">
        <v>0.49</v>
      </c>
      <c r="Q15" s="392">
        <v>0.51</v>
      </c>
      <c r="R15" s="393">
        <f>0.5+0.01</f>
        <v>0.51</v>
      </c>
      <c r="S15" s="376">
        <f>0.4-0.01</f>
        <v>0.39</v>
      </c>
      <c r="T15" s="377" t="s">
        <v>225</v>
      </c>
      <c r="U15" s="394" t="s">
        <v>239</v>
      </c>
      <c r="V15" s="395"/>
      <c r="W15" s="395"/>
      <c r="X15" s="396">
        <f>0.5/4</f>
        <v>0.125</v>
      </c>
      <c r="Y15" s="396"/>
      <c r="Z15" s="396"/>
      <c r="AA15" s="396">
        <f>0.5/4</f>
        <v>0.125</v>
      </c>
      <c r="AB15" s="396"/>
      <c r="AC15" s="396"/>
      <c r="AD15" s="396">
        <f>0.5/4</f>
        <v>0.125</v>
      </c>
      <c r="AE15" s="396"/>
      <c r="AF15" s="396"/>
      <c r="AG15" s="396">
        <f>(0.5/4)+0.01</f>
        <v>0.13500000000000001</v>
      </c>
      <c r="AH15" s="389">
        <v>0</v>
      </c>
      <c r="AI15" s="389">
        <v>0</v>
      </c>
      <c r="AJ15" s="389">
        <v>0.125</v>
      </c>
      <c r="AK15" s="390">
        <v>0</v>
      </c>
      <c r="AL15" s="390">
        <v>0</v>
      </c>
      <c r="AM15" s="390">
        <v>0.13</v>
      </c>
      <c r="AN15" s="389">
        <v>0</v>
      </c>
      <c r="AO15" s="389">
        <v>0</v>
      </c>
      <c r="AP15" s="389">
        <v>0.125</v>
      </c>
      <c r="AQ15" s="389">
        <v>0</v>
      </c>
      <c r="AR15" s="437">
        <v>0</v>
      </c>
      <c r="AS15" s="389" t="s">
        <v>48</v>
      </c>
      <c r="AT15" s="397">
        <f>+SUM(AH15:AS15)</f>
        <v>0.38</v>
      </c>
      <c r="AU15" s="384">
        <f t="shared" si="0"/>
        <v>0.74509803921568629</v>
      </c>
      <c r="AV15" s="435" t="s">
        <v>227</v>
      </c>
      <c r="AW15" s="438" t="s">
        <v>240</v>
      </c>
      <c r="AX15" s="435" t="s">
        <v>229</v>
      </c>
      <c r="AY15" s="435" t="s">
        <v>229</v>
      </c>
    </row>
    <row r="16" spans="1:53" ht="195" customHeight="1" x14ac:dyDescent="0.25">
      <c r="A16" s="374"/>
      <c r="B16" s="374"/>
      <c r="C16" s="374"/>
      <c r="D16" s="373">
        <v>43</v>
      </c>
      <c r="E16" s="374"/>
      <c r="F16" s="374"/>
      <c r="G16" s="375"/>
      <c r="H16" s="375"/>
      <c r="I16" s="374"/>
      <c r="J16" s="374" t="s">
        <v>241</v>
      </c>
      <c r="K16" s="374" t="s">
        <v>232</v>
      </c>
      <c r="L16" s="398">
        <v>12000</v>
      </c>
      <c r="M16" s="374" t="s">
        <v>242</v>
      </c>
      <c r="N16" s="374" t="s">
        <v>243</v>
      </c>
      <c r="O16" s="376">
        <v>0</v>
      </c>
      <c r="P16" s="399">
        <v>3000</v>
      </c>
      <c r="Q16" s="400">
        <v>4000</v>
      </c>
      <c r="R16" s="399">
        <v>4000</v>
      </c>
      <c r="S16" s="399">
        <v>1000</v>
      </c>
      <c r="T16" s="374" t="s">
        <v>244</v>
      </c>
      <c r="U16" s="401" t="s">
        <v>245</v>
      </c>
      <c r="V16" s="117">
        <v>0</v>
      </c>
      <c r="W16" s="117">
        <v>400</v>
      </c>
      <c r="X16" s="117">
        <v>400</v>
      </c>
      <c r="Y16" s="117">
        <v>400</v>
      </c>
      <c r="Z16" s="117">
        <v>400</v>
      </c>
      <c r="AA16" s="117">
        <v>400</v>
      </c>
      <c r="AB16" s="117">
        <v>400</v>
      </c>
      <c r="AC16" s="117">
        <v>400</v>
      </c>
      <c r="AD16" s="117">
        <v>400</v>
      </c>
      <c r="AE16" s="117">
        <v>400</v>
      </c>
      <c r="AF16" s="117">
        <v>400</v>
      </c>
      <c r="AG16" s="117">
        <v>0</v>
      </c>
      <c r="AH16" s="389">
        <v>0</v>
      </c>
      <c r="AI16" s="389">
        <v>0</v>
      </c>
      <c r="AJ16" s="389">
        <v>220</v>
      </c>
      <c r="AK16" s="389">
        <v>297</v>
      </c>
      <c r="AL16" s="389">
        <v>596</v>
      </c>
      <c r="AM16" s="389">
        <v>371</v>
      </c>
      <c r="AN16" s="389">
        <v>218</v>
      </c>
      <c r="AO16" s="389">
        <v>355</v>
      </c>
      <c r="AP16" s="389">
        <v>385</v>
      </c>
      <c r="AQ16" s="389">
        <f>496+87</f>
        <v>583</v>
      </c>
      <c r="AR16" s="439">
        <v>696</v>
      </c>
      <c r="AS16" s="389" t="s">
        <v>48</v>
      </c>
      <c r="AT16" s="402">
        <f>+SUM(AH16:AS16)</f>
        <v>3721</v>
      </c>
      <c r="AU16" s="384">
        <f t="shared" si="0"/>
        <v>0.93025000000000002</v>
      </c>
      <c r="AV16" s="445" t="s">
        <v>246</v>
      </c>
      <c r="AW16" s="446" t="s">
        <v>247</v>
      </c>
      <c r="AX16" s="435" t="s">
        <v>229</v>
      </c>
      <c r="AY16" s="435" t="s">
        <v>229</v>
      </c>
      <c r="AZ16" s="108">
        <v>4000</v>
      </c>
      <c r="BA16" s="333">
        <f>+AT16/AZ16</f>
        <v>0.93025000000000002</v>
      </c>
    </row>
    <row r="17" spans="1:55" ht="96.95" customHeight="1" x14ac:dyDescent="0.25">
      <c r="A17" s="374"/>
      <c r="B17" s="374"/>
      <c r="C17" s="374"/>
      <c r="D17" s="373">
        <v>46</v>
      </c>
      <c r="E17" s="403"/>
      <c r="F17" s="374"/>
      <c r="G17" s="375"/>
      <c r="H17" s="375"/>
      <c r="I17" s="374"/>
      <c r="J17" s="374" t="s">
        <v>248</v>
      </c>
      <c r="K17" s="374" t="s">
        <v>232</v>
      </c>
      <c r="L17" s="398">
        <v>16500</v>
      </c>
      <c r="M17" s="374" t="s">
        <v>249</v>
      </c>
      <c r="N17" s="374" t="s">
        <v>250</v>
      </c>
      <c r="O17" s="376">
        <v>0</v>
      </c>
      <c r="P17" s="399">
        <v>4000</v>
      </c>
      <c r="Q17" s="399">
        <v>5000</v>
      </c>
      <c r="R17" s="399">
        <v>5000</v>
      </c>
      <c r="S17" s="399">
        <v>2000</v>
      </c>
      <c r="T17" s="374" t="s">
        <v>244</v>
      </c>
      <c r="U17" s="401" t="s">
        <v>245</v>
      </c>
      <c r="V17" s="117">
        <v>0</v>
      </c>
      <c r="W17" s="117">
        <v>500</v>
      </c>
      <c r="X17" s="117">
        <v>500</v>
      </c>
      <c r="Y17" s="117">
        <v>500</v>
      </c>
      <c r="Z17" s="117">
        <v>500</v>
      </c>
      <c r="AA17" s="117">
        <v>500</v>
      </c>
      <c r="AB17" s="117">
        <v>500</v>
      </c>
      <c r="AC17" s="117">
        <v>500</v>
      </c>
      <c r="AD17" s="117">
        <v>500</v>
      </c>
      <c r="AE17" s="117">
        <v>500</v>
      </c>
      <c r="AF17" s="117">
        <v>500</v>
      </c>
      <c r="AG17" s="117">
        <v>0</v>
      </c>
      <c r="AH17" s="389" t="s">
        <v>48</v>
      </c>
      <c r="AI17" s="389">
        <v>134</v>
      </c>
      <c r="AJ17" s="389">
        <v>542</v>
      </c>
      <c r="AK17" s="389">
        <v>789</v>
      </c>
      <c r="AL17" s="389">
        <v>790</v>
      </c>
      <c r="AM17" s="389">
        <v>454</v>
      </c>
      <c r="AN17" s="389">
        <v>517</v>
      </c>
      <c r="AO17" s="389">
        <v>743</v>
      </c>
      <c r="AP17" s="389">
        <v>879</v>
      </c>
      <c r="AQ17" s="389">
        <v>811</v>
      </c>
      <c r="AR17" s="439">
        <v>1164</v>
      </c>
      <c r="AS17" s="389" t="s">
        <v>48</v>
      </c>
      <c r="AT17" s="402">
        <f>+SUM(AH17:AS17)</f>
        <v>6823</v>
      </c>
      <c r="AU17" s="384">
        <f t="shared" si="0"/>
        <v>1.3646</v>
      </c>
      <c r="AV17" s="440" t="s">
        <v>251</v>
      </c>
      <c r="AW17" s="441" t="s">
        <v>252</v>
      </c>
      <c r="AX17" s="436" t="s">
        <v>229</v>
      </c>
      <c r="AY17" s="436" t="s">
        <v>229</v>
      </c>
    </row>
    <row r="18" spans="1:55" ht="79.5" customHeight="1" x14ac:dyDescent="0.25">
      <c r="A18" s="375">
        <v>56</v>
      </c>
      <c r="B18" s="375"/>
      <c r="C18" s="375"/>
      <c r="D18" s="375"/>
      <c r="E18" s="375"/>
      <c r="F18" s="375"/>
      <c r="G18" s="375"/>
      <c r="H18" s="375"/>
      <c r="I18" s="375"/>
      <c r="J18" s="375" t="s">
        <v>253</v>
      </c>
      <c r="K18" s="404" t="s">
        <v>232</v>
      </c>
      <c r="L18" s="405">
        <v>19</v>
      </c>
      <c r="M18" s="375" t="s">
        <v>254</v>
      </c>
      <c r="N18" s="375" t="s">
        <v>255</v>
      </c>
      <c r="O18" s="406">
        <v>2</v>
      </c>
      <c r="P18" s="406">
        <v>5</v>
      </c>
      <c r="Q18" s="406">
        <v>7</v>
      </c>
      <c r="R18" s="406">
        <v>5</v>
      </c>
      <c r="S18" s="406">
        <v>0</v>
      </c>
      <c r="T18" s="375" t="s">
        <v>244</v>
      </c>
      <c r="U18" s="407" t="s">
        <v>245</v>
      </c>
      <c r="V18" s="408">
        <v>0</v>
      </c>
      <c r="W18" s="408">
        <v>1</v>
      </c>
      <c r="X18" s="408">
        <v>1</v>
      </c>
      <c r="Y18" s="408">
        <v>1</v>
      </c>
      <c r="Z18" s="408">
        <v>0</v>
      </c>
      <c r="AA18" s="408">
        <v>0</v>
      </c>
      <c r="AB18" s="408">
        <v>1</v>
      </c>
      <c r="AC18" s="408">
        <v>0</v>
      </c>
      <c r="AD18" s="408">
        <v>1</v>
      </c>
      <c r="AE18" s="408">
        <v>0</v>
      </c>
      <c r="AF18" s="408">
        <v>0</v>
      </c>
      <c r="AG18" s="408">
        <v>0</v>
      </c>
      <c r="AH18" s="409">
        <v>0</v>
      </c>
      <c r="AI18" s="409">
        <v>1</v>
      </c>
      <c r="AJ18" s="409">
        <v>1</v>
      </c>
      <c r="AK18" s="389">
        <v>0</v>
      </c>
      <c r="AL18" s="409">
        <v>2</v>
      </c>
      <c r="AM18" s="409" t="s">
        <v>256</v>
      </c>
      <c r="AN18" s="409">
        <v>0</v>
      </c>
      <c r="AO18" s="409">
        <v>0</v>
      </c>
      <c r="AP18" s="409">
        <v>1</v>
      </c>
      <c r="AQ18" s="389">
        <v>0</v>
      </c>
      <c r="AR18" s="437">
        <v>0</v>
      </c>
      <c r="AS18" s="409" t="s">
        <v>48</v>
      </c>
      <c r="AT18" s="402">
        <f>+SUM(AH18:AS18)</f>
        <v>5</v>
      </c>
      <c r="AU18" s="384">
        <f t="shared" si="0"/>
        <v>1</v>
      </c>
      <c r="AV18" s="435" t="s">
        <v>227</v>
      </c>
      <c r="AW18" s="438" t="s">
        <v>257</v>
      </c>
      <c r="AX18" s="435" t="s">
        <v>258</v>
      </c>
      <c r="AY18" s="435" t="s">
        <v>258</v>
      </c>
    </row>
    <row r="19" spans="1:55" ht="117" customHeight="1" x14ac:dyDescent="0.25">
      <c r="A19" s="378"/>
      <c r="B19" s="378"/>
      <c r="C19" s="378"/>
      <c r="D19" s="378"/>
      <c r="E19" s="378"/>
      <c r="F19" s="378"/>
      <c r="G19" s="378" t="s">
        <v>259</v>
      </c>
      <c r="H19" s="410" t="s">
        <v>260</v>
      </c>
      <c r="I19" s="378" t="s">
        <v>261</v>
      </c>
      <c r="J19" s="378" t="s">
        <v>262</v>
      </c>
      <c r="K19" s="378" t="s">
        <v>263</v>
      </c>
      <c r="L19" s="411">
        <v>1</v>
      </c>
      <c r="M19" s="378" t="s">
        <v>264</v>
      </c>
      <c r="N19" s="378" t="s">
        <v>265</v>
      </c>
      <c r="O19" s="412">
        <v>0</v>
      </c>
      <c r="P19" s="412">
        <v>0</v>
      </c>
      <c r="Q19" s="412">
        <v>0</v>
      </c>
      <c r="R19" s="413">
        <v>1</v>
      </c>
      <c r="S19" s="413">
        <v>1</v>
      </c>
      <c r="T19" s="378" t="s">
        <v>244</v>
      </c>
      <c r="U19" s="378" t="s">
        <v>266</v>
      </c>
      <c r="V19" s="414">
        <v>1</v>
      </c>
      <c r="W19" s="414">
        <v>1</v>
      </c>
      <c r="X19" s="414">
        <v>1</v>
      </c>
      <c r="Y19" s="414">
        <v>1</v>
      </c>
      <c r="Z19" s="414">
        <v>1</v>
      </c>
      <c r="AA19" s="414">
        <v>1</v>
      </c>
      <c r="AB19" s="414">
        <v>1</v>
      </c>
      <c r="AC19" s="414">
        <v>1</v>
      </c>
      <c r="AD19" s="414">
        <v>1</v>
      </c>
      <c r="AE19" s="414">
        <v>1</v>
      </c>
      <c r="AF19" s="414">
        <v>1</v>
      </c>
      <c r="AG19" s="414">
        <v>1</v>
      </c>
      <c r="AH19" s="415">
        <v>0.84</v>
      </c>
      <c r="AI19" s="415">
        <v>0.42</v>
      </c>
      <c r="AJ19" s="415">
        <v>1.98</v>
      </c>
      <c r="AK19" s="416">
        <v>1.3</v>
      </c>
      <c r="AL19" s="415">
        <v>1.84</v>
      </c>
      <c r="AM19" s="382">
        <v>1.46</v>
      </c>
      <c r="AN19" s="415">
        <v>1.1599999999999999</v>
      </c>
      <c r="AO19" s="415">
        <v>1.1499999999999999</v>
      </c>
      <c r="AP19" s="415">
        <v>0.88</v>
      </c>
      <c r="AQ19" s="415">
        <v>1.82</v>
      </c>
      <c r="AR19" s="447">
        <v>1.97</v>
      </c>
      <c r="AS19" s="382" t="s">
        <v>48</v>
      </c>
      <c r="AT19" s="417">
        <f>+AVERAGE(AH19:AS19)</f>
        <v>1.3472727272727274</v>
      </c>
      <c r="AU19" s="418">
        <f>+AT19/R19</f>
        <v>1.3472727272727274</v>
      </c>
      <c r="AV19" s="448" t="s">
        <v>267</v>
      </c>
      <c r="AW19" s="448" t="s">
        <v>268</v>
      </c>
      <c r="AX19" s="449" t="s">
        <v>258</v>
      </c>
      <c r="AY19" s="449" t="s">
        <v>258</v>
      </c>
    </row>
    <row r="20" spans="1:55" x14ac:dyDescent="0.25">
      <c r="A20" s="915" t="s">
        <v>96</v>
      </c>
      <c r="B20" s="913"/>
      <c r="C20" s="913"/>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913"/>
      <c r="AR20" s="913"/>
      <c r="AS20" s="913"/>
      <c r="AT20" s="913"/>
      <c r="AU20" s="913"/>
      <c r="AV20" s="913"/>
      <c r="AW20" s="913"/>
      <c r="AX20" s="913"/>
      <c r="AY20" s="914"/>
    </row>
    <row r="21" spans="1:55" ht="31.5" customHeight="1" x14ac:dyDescent="0.25">
      <c r="A21" s="929" t="s">
        <v>269</v>
      </c>
      <c r="B21" s="930"/>
      <c r="C21" s="931"/>
      <c r="D21" s="927" t="s">
        <v>270</v>
      </c>
      <c r="E21" s="927"/>
      <c r="F21" s="927"/>
      <c r="G21" s="927"/>
      <c r="H21" s="927"/>
      <c r="I21" s="928"/>
      <c r="J21" s="916" t="s">
        <v>271</v>
      </c>
      <c r="K21" s="917"/>
      <c r="L21" s="917"/>
      <c r="M21" s="917"/>
      <c r="N21" s="917"/>
      <c r="O21" s="918"/>
      <c r="P21" s="927" t="s">
        <v>272</v>
      </c>
      <c r="Q21" s="927"/>
      <c r="R21" s="927"/>
      <c r="S21" s="927"/>
      <c r="T21" s="927"/>
      <c r="U21" s="928"/>
      <c r="V21" s="927" t="s">
        <v>272</v>
      </c>
      <c r="W21" s="927"/>
      <c r="X21" s="927"/>
      <c r="Y21" s="927"/>
      <c r="Z21" s="927"/>
      <c r="AA21" s="927"/>
      <c r="AB21" s="927"/>
      <c r="AC21" s="928"/>
      <c r="AD21" s="927" t="s">
        <v>272</v>
      </c>
      <c r="AE21" s="927"/>
      <c r="AF21" s="927"/>
      <c r="AG21" s="927"/>
      <c r="AH21" s="927"/>
      <c r="AI21" s="927"/>
      <c r="AJ21" s="927"/>
      <c r="AK21" s="927"/>
      <c r="AL21" s="927"/>
      <c r="AM21" s="927"/>
      <c r="AN21" s="927"/>
      <c r="AO21" s="928"/>
      <c r="AP21" s="916" t="s">
        <v>273</v>
      </c>
      <c r="AQ21" s="917"/>
      <c r="AR21" s="917"/>
      <c r="AS21" s="918"/>
      <c r="AT21" s="927" t="s">
        <v>274</v>
      </c>
      <c r="AU21" s="927"/>
      <c r="AV21" s="927"/>
      <c r="AW21" s="927"/>
      <c r="AX21" s="927"/>
      <c r="AY21" s="928"/>
      <c r="AZ21" s="270"/>
      <c r="BA21" s="271"/>
      <c r="BB21" s="270"/>
      <c r="BC21" s="270"/>
    </row>
    <row r="22" spans="1:55" ht="101.25" customHeight="1" x14ac:dyDescent="0.25">
      <c r="A22" s="932"/>
      <c r="B22" s="933"/>
      <c r="C22" s="934"/>
      <c r="D22" s="925" t="s">
        <v>275</v>
      </c>
      <c r="E22" s="925"/>
      <c r="F22" s="925"/>
      <c r="G22" s="925"/>
      <c r="H22" s="925"/>
      <c r="I22" s="926"/>
      <c r="J22" s="919"/>
      <c r="K22" s="920"/>
      <c r="L22" s="920"/>
      <c r="M22" s="920"/>
      <c r="N22" s="920"/>
      <c r="O22" s="921"/>
      <c r="P22" s="925" t="s">
        <v>276</v>
      </c>
      <c r="Q22" s="925"/>
      <c r="R22" s="925"/>
      <c r="S22" s="925"/>
      <c r="T22" s="925"/>
      <c r="U22" s="926"/>
      <c r="V22" s="925" t="s">
        <v>277</v>
      </c>
      <c r="W22" s="925"/>
      <c r="X22" s="925"/>
      <c r="Y22" s="925"/>
      <c r="Z22" s="925"/>
      <c r="AA22" s="925"/>
      <c r="AB22" s="925"/>
      <c r="AC22" s="926"/>
      <c r="AD22" s="925" t="s">
        <v>278</v>
      </c>
      <c r="AE22" s="925"/>
      <c r="AF22" s="925"/>
      <c r="AG22" s="925"/>
      <c r="AH22" s="925"/>
      <c r="AI22" s="925"/>
      <c r="AJ22" s="925"/>
      <c r="AK22" s="925"/>
      <c r="AL22" s="925"/>
      <c r="AM22" s="925"/>
      <c r="AN22" s="925"/>
      <c r="AO22" s="926"/>
      <c r="AP22" s="919"/>
      <c r="AQ22" s="920"/>
      <c r="AR22" s="920"/>
      <c r="AS22" s="921"/>
      <c r="AT22" s="925" t="s">
        <v>279</v>
      </c>
      <c r="AU22" s="925"/>
      <c r="AV22" s="925"/>
      <c r="AW22" s="925"/>
      <c r="AX22" s="925"/>
      <c r="AY22" s="926"/>
      <c r="AZ22" s="270"/>
      <c r="BA22" s="270"/>
      <c r="BB22" s="270"/>
      <c r="BC22" s="270"/>
    </row>
    <row r="23" spans="1:55" ht="28.5" customHeight="1" x14ac:dyDescent="0.25">
      <c r="A23" s="935"/>
      <c r="B23" s="936"/>
      <c r="C23" s="937"/>
      <c r="D23" s="925" t="s">
        <v>280</v>
      </c>
      <c r="E23" s="925"/>
      <c r="F23" s="925"/>
      <c r="G23" s="925"/>
      <c r="H23" s="925"/>
      <c r="I23" s="926"/>
      <c r="J23" s="922"/>
      <c r="K23" s="923"/>
      <c r="L23" s="923"/>
      <c r="M23" s="923"/>
      <c r="N23" s="923"/>
      <c r="O23" s="924"/>
      <c r="P23" s="925" t="s">
        <v>281</v>
      </c>
      <c r="Q23" s="925"/>
      <c r="R23" s="925"/>
      <c r="S23" s="925"/>
      <c r="T23" s="925"/>
      <c r="U23" s="926"/>
      <c r="V23" s="925" t="s">
        <v>282</v>
      </c>
      <c r="W23" s="925"/>
      <c r="X23" s="925"/>
      <c r="Y23" s="925"/>
      <c r="Z23" s="925"/>
      <c r="AA23" s="925"/>
      <c r="AB23" s="925"/>
      <c r="AC23" s="926"/>
      <c r="AD23" s="925" t="s">
        <v>283</v>
      </c>
      <c r="AE23" s="925"/>
      <c r="AF23" s="925"/>
      <c r="AG23" s="925"/>
      <c r="AH23" s="925"/>
      <c r="AI23" s="925"/>
      <c r="AJ23" s="925"/>
      <c r="AK23" s="925"/>
      <c r="AL23" s="925"/>
      <c r="AM23" s="925"/>
      <c r="AN23" s="925"/>
      <c r="AO23" s="926"/>
      <c r="AP23" s="922"/>
      <c r="AQ23" s="923"/>
      <c r="AR23" s="923"/>
      <c r="AS23" s="924"/>
      <c r="AT23" s="925" t="s">
        <v>284</v>
      </c>
      <c r="AU23" s="925"/>
      <c r="AV23" s="925"/>
      <c r="AW23" s="925"/>
      <c r="AX23" s="925"/>
      <c r="AY23" s="926"/>
      <c r="AZ23" s="270"/>
      <c r="BA23" s="270"/>
      <c r="BB23" s="270"/>
      <c r="BC23" s="270"/>
    </row>
    <row r="24" spans="1:55" x14ac:dyDescent="0.25">
      <c r="A24" s="270"/>
      <c r="B24" s="270"/>
      <c r="C24" s="270"/>
      <c r="D24" s="270"/>
      <c r="E24" s="270"/>
      <c r="F24" s="270"/>
      <c r="G24" s="270"/>
      <c r="H24" s="270"/>
      <c r="I24" s="270"/>
      <c r="J24" s="270"/>
      <c r="K24" s="270"/>
      <c r="L24" s="270"/>
      <c r="M24" s="270"/>
      <c r="N24" s="270"/>
      <c r="O24" s="372"/>
      <c r="P24" s="372"/>
      <c r="Q24" s="372"/>
      <c r="R24" s="372"/>
      <c r="S24" s="372"/>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row>
    <row r="25" spans="1:55" x14ac:dyDescent="0.25">
      <c r="AT25" s="333"/>
    </row>
    <row r="26" spans="1:55" x14ac:dyDescent="0.25">
      <c r="AT26" s="333"/>
    </row>
    <row r="27" spans="1:55" x14ac:dyDescent="0.25">
      <c r="AT27" s="175"/>
    </row>
  </sheetData>
  <mergeCells count="57">
    <mergeCell ref="D23:I23"/>
    <mergeCell ref="V22:AC22"/>
    <mergeCell ref="V23:AC23"/>
    <mergeCell ref="AD21:AO21"/>
    <mergeCell ref="AD22:AO22"/>
    <mergeCell ref="AD23:AO23"/>
    <mergeCell ref="J21:O23"/>
    <mergeCell ref="P22:U22"/>
    <mergeCell ref="P23:U23"/>
    <mergeCell ref="V21:AC21"/>
    <mergeCell ref="D21:I21"/>
    <mergeCell ref="D22:I22"/>
    <mergeCell ref="P21:U21"/>
    <mergeCell ref="AP21:AS23"/>
    <mergeCell ref="J11:J12"/>
    <mergeCell ref="K11:K12"/>
    <mergeCell ref="V11:AG11"/>
    <mergeCell ref="A20:AY20"/>
    <mergeCell ref="AT22:AY22"/>
    <mergeCell ref="AT21:AY21"/>
    <mergeCell ref="G11:H11"/>
    <mergeCell ref="M11:M12"/>
    <mergeCell ref="I11:I12"/>
    <mergeCell ref="A21:C23"/>
    <mergeCell ref="AT23:AY23"/>
    <mergeCell ref="U11:U12"/>
    <mergeCell ref="O11:S11"/>
    <mergeCell ref="AV5:AV12"/>
    <mergeCell ref="AY5:AY12"/>
    <mergeCell ref="AX5:AX12"/>
    <mergeCell ref="AH11:AS11"/>
    <mergeCell ref="AW5:AW12"/>
    <mergeCell ref="AH5:AU10"/>
    <mergeCell ref="AX1:AY1"/>
    <mergeCell ref="AX2:AY2"/>
    <mergeCell ref="AX3:AY3"/>
    <mergeCell ref="AX4:AY4"/>
    <mergeCell ref="A1:AW1"/>
    <mergeCell ref="A2:AW2"/>
    <mergeCell ref="A3:AW4"/>
    <mergeCell ref="H6:I6"/>
    <mergeCell ref="A10:C10"/>
    <mergeCell ref="D9:AG9"/>
    <mergeCell ref="D10:AG10"/>
    <mergeCell ref="L11:L12"/>
    <mergeCell ref="A5:AG5"/>
    <mergeCell ref="A6:C8"/>
    <mergeCell ref="D6:E8"/>
    <mergeCell ref="F6:G8"/>
    <mergeCell ref="AT11:AU11"/>
    <mergeCell ref="T11:T12"/>
    <mergeCell ref="N11:N12"/>
    <mergeCell ref="A11:F11"/>
    <mergeCell ref="H7:I7"/>
    <mergeCell ref="H8:I8"/>
    <mergeCell ref="A9:C9"/>
    <mergeCell ref="K6:U8"/>
  </mergeCells>
  <pageMargins left="0.7" right="0.7" top="0.75" bottom="0.75" header="0.3" footer="0.3"/>
  <pageSetup scale="21"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BK60"/>
  <sheetViews>
    <sheetView topLeftCell="A9" zoomScaleNormal="100" workbookViewId="0">
      <pane xSplit="1" ySplit="2" topLeftCell="H26" activePane="bottomRight" state="frozen"/>
      <selection pane="topRight" activeCell="B9" sqref="B9"/>
      <selection pane="bottomLeft" activeCell="A11" sqref="A11"/>
      <selection pane="bottomRight" activeCell="O11" sqref="O11"/>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
      <c r="A1" s="940" t="s">
        <v>0</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1"/>
      <c r="AL1" s="941"/>
      <c r="AM1" s="941"/>
      <c r="AN1" s="941"/>
      <c r="AO1" s="941"/>
      <c r="AP1" s="941"/>
      <c r="AQ1" s="941"/>
      <c r="AR1" s="941"/>
      <c r="AS1" s="941"/>
      <c r="AT1" s="941"/>
      <c r="AU1" s="941"/>
      <c r="AV1" s="941"/>
      <c r="AW1" s="941"/>
      <c r="AX1" s="941"/>
      <c r="AY1" s="941"/>
      <c r="AZ1" s="941"/>
      <c r="BA1" s="941"/>
      <c r="BB1" s="941"/>
      <c r="BC1" s="941"/>
      <c r="BD1" s="941"/>
      <c r="BE1" s="941"/>
      <c r="BF1" s="941"/>
      <c r="BG1" s="941"/>
      <c r="BH1" s="942"/>
      <c r="BI1" s="943" t="s">
        <v>125</v>
      </c>
      <c r="BJ1" s="943"/>
      <c r="BK1" s="944"/>
    </row>
    <row r="2" spans="1:63" ht="15.95" customHeight="1" x14ac:dyDescent="0.2">
      <c r="A2" s="940" t="s">
        <v>2</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941"/>
      <c r="AN2" s="941"/>
      <c r="AO2" s="941"/>
      <c r="AP2" s="941"/>
      <c r="AQ2" s="941"/>
      <c r="AR2" s="941"/>
      <c r="AS2" s="941"/>
      <c r="AT2" s="941"/>
      <c r="AU2" s="941"/>
      <c r="AV2" s="941"/>
      <c r="AW2" s="941"/>
      <c r="AX2" s="941"/>
      <c r="AY2" s="941"/>
      <c r="AZ2" s="941"/>
      <c r="BA2" s="941"/>
      <c r="BB2" s="941"/>
      <c r="BC2" s="941"/>
      <c r="BD2" s="941"/>
      <c r="BE2" s="941"/>
      <c r="BF2" s="941"/>
      <c r="BG2" s="941"/>
      <c r="BH2" s="942"/>
      <c r="BI2" s="943" t="s">
        <v>3</v>
      </c>
      <c r="BJ2" s="943"/>
      <c r="BK2" s="944"/>
    </row>
    <row r="3" spans="1:63" ht="26.1" customHeight="1" x14ac:dyDescent="0.2">
      <c r="A3" s="940" t="s">
        <v>285</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c r="BB3" s="941"/>
      <c r="BC3" s="941"/>
      <c r="BD3" s="941"/>
      <c r="BE3" s="941"/>
      <c r="BF3" s="941"/>
      <c r="BG3" s="941"/>
      <c r="BH3" s="942"/>
      <c r="BI3" s="943" t="s">
        <v>5</v>
      </c>
      <c r="BJ3" s="943"/>
      <c r="BK3" s="944"/>
    </row>
    <row r="4" spans="1:63" ht="15.95" customHeight="1" x14ac:dyDescent="0.2">
      <c r="A4" s="940" t="s">
        <v>286</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2"/>
      <c r="BI4" s="938" t="s">
        <v>287</v>
      </c>
      <c r="BJ4" s="938"/>
      <c r="BK4" s="939"/>
    </row>
    <row r="5" spans="1:63" ht="26.1" customHeight="1" x14ac:dyDescent="0.25">
      <c r="A5" s="945" t="s">
        <v>189</v>
      </c>
      <c r="B5" s="946"/>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7"/>
      <c r="AF5" s="270"/>
      <c r="AG5" s="945" t="s">
        <v>288</v>
      </c>
      <c r="AH5" s="946"/>
      <c r="AI5" s="946"/>
      <c r="AJ5" s="946"/>
      <c r="AK5" s="946"/>
      <c r="AL5" s="946"/>
      <c r="AM5" s="946"/>
      <c r="AN5" s="946"/>
      <c r="AO5" s="946"/>
      <c r="AP5" s="946"/>
      <c r="AQ5" s="946"/>
      <c r="AR5" s="946"/>
      <c r="AS5" s="946"/>
      <c r="AT5" s="946"/>
      <c r="AU5" s="946"/>
      <c r="AV5" s="946"/>
      <c r="AW5" s="946"/>
      <c r="AX5" s="946"/>
      <c r="AY5" s="946"/>
      <c r="AZ5" s="946"/>
      <c r="BA5" s="946"/>
      <c r="BB5" s="946"/>
      <c r="BC5" s="946"/>
      <c r="BD5" s="946"/>
      <c r="BE5" s="946"/>
      <c r="BF5" s="946"/>
      <c r="BG5" s="946"/>
      <c r="BH5" s="946"/>
      <c r="BI5" s="946"/>
      <c r="BJ5" s="946"/>
      <c r="BK5" s="947"/>
    </row>
    <row r="6" spans="1:63" ht="31.5" customHeight="1" x14ac:dyDescent="0.2">
      <c r="A6" s="276" t="s">
        <v>289</v>
      </c>
      <c r="B6" s="952" t="s">
        <v>48</v>
      </c>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2"/>
      <c r="AY6" s="952"/>
      <c r="AZ6" s="952"/>
      <c r="BA6" s="952"/>
      <c r="BB6" s="952"/>
      <c r="BC6" s="952"/>
      <c r="BD6" s="952"/>
      <c r="BE6" s="952"/>
      <c r="BF6" s="952"/>
      <c r="BG6" s="952"/>
      <c r="BH6" s="952"/>
      <c r="BI6" s="952"/>
      <c r="BJ6" s="952"/>
      <c r="BK6" s="953"/>
    </row>
    <row r="7" spans="1:63" ht="31.5" customHeight="1" x14ac:dyDescent="0.2">
      <c r="A7" s="276" t="s">
        <v>290</v>
      </c>
      <c r="B7" s="954" t="s">
        <v>291</v>
      </c>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954"/>
      <c r="AZ7" s="954"/>
      <c r="BA7" s="954"/>
      <c r="BB7" s="954"/>
      <c r="BC7" s="954"/>
      <c r="BD7" s="954"/>
      <c r="BE7" s="954"/>
      <c r="BF7" s="954"/>
      <c r="BG7" s="954"/>
      <c r="BH7" s="954"/>
      <c r="BI7" s="954"/>
      <c r="BJ7" s="954"/>
      <c r="BK7" s="951"/>
    </row>
    <row r="8" spans="1:63" ht="18.75" customHeight="1" x14ac:dyDescent="0.25">
      <c r="A8" s="278" t="s">
        <v>48</v>
      </c>
      <c r="B8" s="278" t="s">
        <v>48</v>
      </c>
      <c r="C8" s="278" t="s">
        <v>48</v>
      </c>
      <c r="D8" s="278" t="s">
        <v>48</v>
      </c>
      <c r="E8" s="278" t="s">
        <v>48</v>
      </c>
      <c r="F8" s="278" t="s">
        <v>48</v>
      </c>
      <c r="G8" s="278" t="s">
        <v>48</v>
      </c>
      <c r="H8" s="278" t="s">
        <v>48</v>
      </c>
      <c r="I8" s="278" t="s">
        <v>48</v>
      </c>
      <c r="J8" s="278" t="s">
        <v>48</v>
      </c>
      <c r="K8" s="278" t="s">
        <v>48</v>
      </c>
      <c r="L8" s="278" t="s">
        <v>48</v>
      </c>
      <c r="M8" s="278" t="s">
        <v>48</v>
      </c>
      <c r="N8" s="278" t="s">
        <v>48</v>
      </c>
      <c r="O8" s="278" t="s">
        <v>48</v>
      </c>
      <c r="P8" s="278" t="s">
        <v>48</v>
      </c>
      <c r="Q8" s="278" t="s">
        <v>48</v>
      </c>
      <c r="R8" s="278" t="s">
        <v>48</v>
      </c>
      <c r="S8" s="278" t="s">
        <v>48</v>
      </c>
      <c r="T8" s="278" t="s">
        <v>48</v>
      </c>
      <c r="U8" s="278" t="s">
        <v>48</v>
      </c>
      <c r="V8" s="278" t="s">
        <v>48</v>
      </c>
      <c r="W8" s="278" t="s">
        <v>48</v>
      </c>
      <c r="X8" s="278" t="s">
        <v>48</v>
      </c>
      <c r="Y8" s="278" t="s">
        <v>48</v>
      </c>
      <c r="Z8" s="278" t="s">
        <v>48</v>
      </c>
      <c r="AA8" s="278" t="s">
        <v>48</v>
      </c>
      <c r="AB8" s="278" t="s">
        <v>48</v>
      </c>
      <c r="AC8" s="278" t="s">
        <v>48</v>
      </c>
      <c r="AD8" s="278" t="s">
        <v>48</v>
      </c>
      <c r="AE8" s="278" t="s">
        <v>48</v>
      </c>
      <c r="AF8" s="270"/>
      <c r="AG8" s="278" t="s">
        <v>48</v>
      </c>
      <c r="AH8" s="278" t="s">
        <v>48</v>
      </c>
      <c r="AI8" s="278" t="s">
        <v>48</v>
      </c>
      <c r="AJ8" s="278" t="s">
        <v>48</v>
      </c>
      <c r="AK8" s="278" t="s">
        <v>48</v>
      </c>
      <c r="AL8" s="278" t="s">
        <v>48</v>
      </c>
      <c r="AM8" s="278" t="s">
        <v>48</v>
      </c>
      <c r="AN8" s="278" t="s">
        <v>48</v>
      </c>
      <c r="AO8" s="278" t="s">
        <v>48</v>
      </c>
      <c r="AP8" s="270"/>
      <c r="AQ8" s="270"/>
      <c r="AR8" s="270"/>
      <c r="AS8" s="270"/>
      <c r="AT8" s="270"/>
      <c r="AU8" s="270"/>
      <c r="AV8" s="270"/>
      <c r="AW8" s="270"/>
      <c r="AX8" s="270"/>
      <c r="AY8" s="270"/>
      <c r="AZ8" s="270"/>
      <c r="BA8" s="270"/>
      <c r="BB8" s="270"/>
      <c r="BC8" s="270"/>
      <c r="BD8" s="270"/>
      <c r="BE8" s="270"/>
      <c r="BF8" s="270"/>
      <c r="BG8" s="270"/>
      <c r="BH8" s="270"/>
      <c r="BI8" s="270"/>
      <c r="BJ8" s="270"/>
      <c r="BK8" s="270"/>
    </row>
    <row r="9" spans="1:63" ht="30" customHeight="1" x14ac:dyDescent="0.25">
      <c r="A9" s="948" t="s">
        <v>292</v>
      </c>
      <c r="B9" s="277" t="s">
        <v>30</v>
      </c>
      <c r="C9" s="279" t="s">
        <v>31</v>
      </c>
      <c r="D9" s="950" t="s">
        <v>32</v>
      </c>
      <c r="E9" s="951"/>
      <c r="F9" s="277" t="s">
        <v>33</v>
      </c>
      <c r="G9" s="279" t="s">
        <v>34</v>
      </c>
      <c r="H9" s="950" t="s">
        <v>35</v>
      </c>
      <c r="I9" s="951"/>
      <c r="J9" s="277" t="s">
        <v>36</v>
      </c>
      <c r="K9" s="279" t="s">
        <v>37</v>
      </c>
      <c r="L9" s="950" t="s">
        <v>38</v>
      </c>
      <c r="M9" s="951"/>
      <c r="N9" s="277" t="s">
        <v>39</v>
      </c>
      <c r="O9" s="279" t="s">
        <v>8</v>
      </c>
      <c r="P9" s="950" t="s">
        <v>40</v>
      </c>
      <c r="Q9" s="951"/>
      <c r="R9" s="954" t="s">
        <v>293</v>
      </c>
      <c r="S9" s="951"/>
      <c r="T9" s="954" t="s">
        <v>294</v>
      </c>
      <c r="U9" s="954"/>
      <c r="V9" s="954"/>
      <c r="W9" s="954"/>
      <c r="X9" s="954"/>
      <c r="Y9" s="951"/>
      <c r="Z9" s="954" t="s">
        <v>295</v>
      </c>
      <c r="AA9" s="954"/>
      <c r="AB9" s="954"/>
      <c r="AC9" s="954"/>
      <c r="AD9" s="954"/>
      <c r="AE9" s="951"/>
      <c r="AF9" s="270"/>
      <c r="AG9" s="948" t="s">
        <v>292</v>
      </c>
      <c r="AH9" s="277" t="s">
        <v>30</v>
      </c>
      <c r="AI9" s="279" t="s">
        <v>31</v>
      </c>
      <c r="AJ9" s="950" t="s">
        <v>32</v>
      </c>
      <c r="AK9" s="951"/>
      <c r="AL9" s="277" t="s">
        <v>33</v>
      </c>
      <c r="AM9" s="279" t="s">
        <v>34</v>
      </c>
      <c r="AN9" s="950" t="s">
        <v>35</v>
      </c>
      <c r="AO9" s="951"/>
      <c r="AP9" s="277" t="s">
        <v>36</v>
      </c>
      <c r="AQ9" s="279" t="s">
        <v>37</v>
      </c>
      <c r="AR9" s="950" t="s">
        <v>38</v>
      </c>
      <c r="AS9" s="951"/>
      <c r="AT9" s="277" t="s">
        <v>39</v>
      </c>
      <c r="AU9" s="279" t="s">
        <v>8</v>
      </c>
      <c r="AV9" s="950" t="s">
        <v>40</v>
      </c>
      <c r="AW9" s="951"/>
      <c r="AX9" s="954" t="s">
        <v>293</v>
      </c>
      <c r="AY9" s="951"/>
      <c r="AZ9" s="954" t="s">
        <v>294</v>
      </c>
      <c r="BA9" s="954"/>
      <c r="BB9" s="954"/>
      <c r="BC9" s="954"/>
      <c r="BD9" s="954"/>
      <c r="BE9" s="951"/>
      <c r="BF9" s="954" t="s">
        <v>295</v>
      </c>
      <c r="BG9" s="954"/>
      <c r="BH9" s="954"/>
      <c r="BI9" s="954"/>
      <c r="BJ9" s="954"/>
      <c r="BK9" s="951"/>
    </row>
    <row r="10" spans="1:63" ht="36" customHeight="1" x14ac:dyDescent="0.25">
      <c r="A10" s="949"/>
      <c r="B10" s="280" t="s">
        <v>296</v>
      </c>
      <c r="C10" s="280" t="s">
        <v>296</v>
      </c>
      <c r="D10" s="280" t="s">
        <v>296</v>
      </c>
      <c r="E10" s="280" t="s">
        <v>297</v>
      </c>
      <c r="F10" s="280" t="s">
        <v>296</v>
      </c>
      <c r="G10" s="280" t="s">
        <v>296</v>
      </c>
      <c r="H10" s="280" t="s">
        <v>296</v>
      </c>
      <c r="I10" s="280" t="s">
        <v>297</v>
      </c>
      <c r="J10" s="280" t="s">
        <v>296</v>
      </c>
      <c r="K10" s="280" t="s">
        <v>296</v>
      </c>
      <c r="L10" s="280" t="s">
        <v>296</v>
      </c>
      <c r="M10" s="280" t="s">
        <v>297</v>
      </c>
      <c r="N10" s="280" t="s">
        <v>296</v>
      </c>
      <c r="O10" s="280" t="s">
        <v>296</v>
      </c>
      <c r="P10" s="280" t="s">
        <v>296</v>
      </c>
      <c r="Q10" s="280" t="s">
        <v>297</v>
      </c>
      <c r="R10" s="280" t="s">
        <v>296</v>
      </c>
      <c r="S10" s="280" t="s">
        <v>297</v>
      </c>
      <c r="T10" s="281" t="s">
        <v>298</v>
      </c>
      <c r="U10" s="281" t="s">
        <v>299</v>
      </c>
      <c r="V10" s="281" t="s">
        <v>300</v>
      </c>
      <c r="W10" s="281" t="s">
        <v>301</v>
      </c>
      <c r="X10" s="282" t="s">
        <v>302</v>
      </c>
      <c r="Y10" s="281" t="s">
        <v>303</v>
      </c>
      <c r="Z10" s="280" t="s">
        <v>304</v>
      </c>
      <c r="AA10" s="280" t="s">
        <v>305</v>
      </c>
      <c r="AB10" s="280" t="s">
        <v>306</v>
      </c>
      <c r="AC10" s="280" t="s">
        <v>307</v>
      </c>
      <c r="AD10" s="280" t="s">
        <v>308</v>
      </c>
      <c r="AE10" s="280" t="s">
        <v>309</v>
      </c>
      <c r="AF10" s="270"/>
      <c r="AG10" s="949"/>
      <c r="AH10" s="280" t="s">
        <v>296</v>
      </c>
      <c r="AI10" s="280" t="s">
        <v>296</v>
      </c>
      <c r="AJ10" s="280" t="s">
        <v>296</v>
      </c>
      <c r="AK10" s="280" t="s">
        <v>297</v>
      </c>
      <c r="AL10" s="280" t="s">
        <v>296</v>
      </c>
      <c r="AM10" s="280" t="s">
        <v>296</v>
      </c>
      <c r="AN10" s="280" t="s">
        <v>296</v>
      </c>
      <c r="AO10" s="280" t="s">
        <v>297</v>
      </c>
      <c r="AP10" s="280" t="s">
        <v>296</v>
      </c>
      <c r="AQ10" s="280" t="s">
        <v>296</v>
      </c>
      <c r="AR10" s="280" t="s">
        <v>296</v>
      </c>
      <c r="AS10" s="280" t="s">
        <v>297</v>
      </c>
      <c r="AT10" s="280" t="s">
        <v>296</v>
      </c>
      <c r="AU10" s="280" t="s">
        <v>296</v>
      </c>
      <c r="AV10" s="280" t="s">
        <v>296</v>
      </c>
      <c r="AW10" s="280" t="s">
        <v>297</v>
      </c>
      <c r="AX10" s="280" t="s">
        <v>296</v>
      </c>
      <c r="AY10" s="280" t="s">
        <v>297</v>
      </c>
      <c r="AZ10" s="281" t="s">
        <v>298</v>
      </c>
      <c r="BA10" s="281" t="s">
        <v>299</v>
      </c>
      <c r="BB10" s="281" t="s">
        <v>300</v>
      </c>
      <c r="BC10" s="281" t="s">
        <v>301</v>
      </c>
      <c r="BD10" s="282" t="s">
        <v>302</v>
      </c>
      <c r="BE10" s="281" t="s">
        <v>303</v>
      </c>
      <c r="BF10" s="281" t="s">
        <v>304</v>
      </c>
      <c r="BG10" s="281" t="s">
        <v>305</v>
      </c>
      <c r="BH10" s="281" t="s">
        <v>306</v>
      </c>
      <c r="BI10" s="281" t="s">
        <v>307</v>
      </c>
      <c r="BJ10" s="281" t="s">
        <v>308</v>
      </c>
      <c r="BK10" s="281" t="s">
        <v>309</v>
      </c>
    </row>
    <row r="11" spans="1:63" x14ac:dyDescent="0.25">
      <c r="A11" s="283" t="s">
        <v>310</v>
      </c>
      <c r="B11" s="284" t="s">
        <v>48</v>
      </c>
      <c r="C11" s="284" t="s">
        <v>48</v>
      </c>
      <c r="D11" s="284">
        <v>37</v>
      </c>
      <c r="E11" s="284" t="s">
        <v>48</v>
      </c>
      <c r="F11" s="284">
        <v>43</v>
      </c>
      <c r="G11" s="284">
        <v>208</v>
      </c>
      <c r="H11" s="284">
        <v>107</v>
      </c>
      <c r="I11" s="284" t="s">
        <v>48</v>
      </c>
      <c r="J11" s="285">
        <v>51</v>
      </c>
      <c r="K11" s="285">
        <v>86</v>
      </c>
      <c r="L11" s="285">
        <v>63</v>
      </c>
      <c r="M11" s="284" t="s">
        <v>48</v>
      </c>
      <c r="N11" s="369">
        <f>36+26+87</f>
        <v>149</v>
      </c>
      <c r="O11" s="432">
        <f>44+30+87</f>
        <v>161</v>
      </c>
      <c r="P11" s="284" t="s">
        <v>48</v>
      </c>
      <c r="Q11" s="284" t="s">
        <v>48</v>
      </c>
      <c r="R11" s="286">
        <f>+SUM(B11:Q11)</f>
        <v>905</v>
      </c>
      <c r="S11" s="287" t="s">
        <v>311</v>
      </c>
      <c r="T11" s="288" t="s">
        <v>48</v>
      </c>
      <c r="U11" s="288" t="s">
        <v>48</v>
      </c>
      <c r="V11" s="288" t="s">
        <v>48</v>
      </c>
      <c r="W11" s="288" t="s">
        <v>48</v>
      </c>
      <c r="X11" s="289" t="s">
        <v>48</v>
      </c>
      <c r="Y11" s="288" t="s">
        <v>48</v>
      </c>
      <c r="Z11" s="288" t="s">
        <v>48</v>
      </c>
      <c r="AA11" s="288" t="s">
        <v>48</v>
      </c>
      <c r="AB11" s="288" t="s">
        <v>48</v>
      </c>
      <c r="AC11" s="288" t="s">
        <v>48</v>
      </c>
      <c r="AD11" s="288" t="s">
        <v>48</v>
      </c>
      <c r="AE11" s="290" t="s">
        <v>48</v>
      </c>
      <c r="AF11" s="270"/>
      <c r="AG11" s="283" t="s">
        <v>310</v>
      </c>
      <c r="AH11" s="284" t="s">
        <v>48</v>
      </c>
      <c r="AI11" s="284" t="s">
        <v>48</v>
      </c>
      <c r="AJ11" s="284" t="s">
        <v>48</v>
      </c>
      <c r="AK11" s="284" t="s">
        <v>48</v>
      </c>
      <c r="AL11" s="284" t="s">
        <v>48</v>
      </c>
      <c r="AM11" s="284" t="s">
        <v>48</v>
      </c>
      <c r="AN11" s="284" t="s">
        <v>48</v>
      </c>
      <c r="AO11" s="284" t="s">
        <v>48</v>
      </c>
      <c r="AP11" s="284" t="s">
        <v>48</v>
      </c>
      <c r="AQ11" s="284" t="s">
        <v>48</v>
      </c>
      <c r="AR11" s="284" t="s">
        <v>48</v>
      </c>
      <c r="AS11" s="284" t="s">
        <v>48</v>
      </c>
      <c r="AT11" s="284" t="s">
        <v>48</v>
      </c>
      <c r="AU11" s="284" t="s">
        <v>48</v>
      </c>
      <c r="AV11" s="284" t="s">
        <v>48</v>
      </c>
      <c r="AW11" s="284" t="s">
        <v>48</v>
      </c>
      <c r="AX11" s="286">
        <v>0</v>
      </c>
      <c r="AY11" s="287" t="s">
        <v>312</v>
      </c>
      <c r="AZ11" s="288" t="s">
        <v>48</v>
      </c>
      <c r="BA11" s="288" t="s">
        <v>48</v>
      </c>
      <c r="BB11" s="288" t="s">
        <v>48</v>
      </c>
      <c r="BC11" s="288" t="s">
        <v>48</v>
      </c>
      <c r="BD11" s="289" t="s">
        <v>48</v>
      </c>
      <c r="BE11" s="288" t="s">
        <v>48</v>
      </c>
      <c r="BF11" s="288" t="s">
        <v>48</v>
      </c>
      <c r="BG11" s="288" t="s">
        <v>48</v>
      </c>
      <c r="BH11" s="288" t="s">
        <v>48</v>
      </c>
      <c r="BI11" s="288" t="s">
        <v>48</v>
      </c>
      <c r="BJ11" s="288" t="s">
        <v>48</v>
      </c>
      <c r="BK11" s="290" t="s">
        <v>48</v>
      </c>
    </row>
    <row r="12" spans="1:63" x14ac:dyDescent="0.25">
      <c r="A12" s="283" t="s">
        <v>313</v>
      </c>
      <c r="B12" s="291" t="s">
        <v>48</v>
      </c>
      <c r="C12" s="291" t="s">
        <v>48</v>
      </c>
      <c r="D12" s="291">
        <v>3</v>
      </c>
      <c r="E12" s="291" t="s">
        <v>48</v>
      </c>
      <c r="F12" s="289">
        <v>19</v>
      </c>
      <c r="G12" s="291">
        <v>8</v>
      </c>
      <c r="H12" s="291">
        <v>15</v>
      </c>
      <c r="I12" s="291" t="s">
        <v>48</v>
      </c>
      <c r="J12" s="292" t="s">
        <v>48</v>
      </c>
      <c r="K12" s="292" t="s">
        <v>48</v>
      </c>
      <c r="L12" s="292">
        <v>23</v>
      </c>
      <c r="M12" s="291" t="s">
        <v>48</v>
      </c>
      <c r="N12" s="370">
        <v>15</v>
      </c>
      <c r="O12" s="431">
        <v>39</v>
      </c>
      <c r="P12" s="291" t="s">
        <v>48</v>
      </c>
      <c r="Q12" s="291" t="s">
        <v>48</v>
      </c>
      <c r="R12" s="286">
        <f t="shared" ref="R12:R31" si="0">+SUM(B12:Q12)</f>
        <v>122</v>
      </c>
      <c r="S12" s="294" t="s">
        <v>311</v>
      </c>
      <c r="T12" s="289" t="s">
        <v>48</v>
      </c>
      <c r="U12" s="289" t="s">
        <v>48</v>
      </c>
      <c r="V12" s="289" t="s">
        <v>48</v>
      </c>
      <c r="W12" s="289" t="s">
        <v>48</v>
      </c>
      <c r="X12" s="289" t="s">
        <v>48</v>
      </c>
      <c r="Y12" s="289" t="s">
        <v>48</v>
      </c>
      <c r="Z12" s="289" t="s">
        <v>48</v>
      </c>
      <c r="AA12" s="289" t="s">
        <v>48</v>
      </c>
      <c r="AB12" s="289" t="s">
        <v>48</v>
      </c>
      <c r="AC12" s="289" t="s">
        <v>48</v>
      </c>
      <c r="AD12" s="289" t="s">
        <v>48</v>
      </c>
      <c r="AE12" s="289" t="s">
        <v>48</v>
      </c>
      <c r="AF12" s="270"/>
      <c r="AG12" s="283" t="s">
        <v>313</v>
      </c>
      <c r="AH12" s="291" t="s">
        <v>48</v>
      </c>
      <c r="AI12" s="291" t="s">
        <v>48</v>
      </c>
      <c r="AJ12" s="291" t="s">
        <v>48</v>
      </c>
      <c r="AK12" s="291" t="s">
        <v>48</v>
      </c>
      <c r="AL12" s="291" t="s">
        <v>48</v>
      </c>
      <c r="AM12" s="291" t="s">
        <v>48</v>
      </c>
      <c r="AN12" s="291" t="s">
        <v>48</v>
      </c>
      <c r="AO12" s="291" t="s">
        <v>48</v>
      </c>
      <c r="AP12" s="291" t="s">
        <v>48</v>
      </c>
      <c r="AQ12" s="291" t="s">
        <v>48</v>
      </c>
      <c r="AR12" s="291" t="s">
        <v>48</v>
      </c>
      <c r="AS12" s="291" t="s">
        <v>48</v>
      </c>
      <c r="AT12" s="291" t="s">
        <v>48</v>
      </c>
      <c r="AU12" s="291" t="s">
        <v>48</v>
      </c>
      <c r="AV12" s="291" t="s">
        <v>48</v>
      </c>
      <c r="AW12" s="291" t="s">
        <v>48</v>
      </c>
      <c r="AX12" s="293">
        <v>0</v>
      </c>
      <c r="AY12" s="294" t="s">
        <v>312</v>
      </c>
      <c r="AZ12" s="289" t="s">
        <v>48</v>
      </c>
      <c r="BA12" s="289" t="s">
        <v>48</v>
      </c>
      <c r="BB12" s="289" t="s">
        <v>48</v>
      </c>
      <c r="BC12" s="289" t="s">
        <v>48</v>
      </c>
      <c r="BD12" s="289" t="s">
        <v>48</v>
      </c>
      <c r="BE12" s="289" t="s">
        <v>48</v>
      </c>
      <c r="BF12" s="289" t="s">
        <v>48</v>
      </c>
      <c r="BG12" s="289" t="s">
        <v>48</v>
      </c>
      <c r="BH12" s="289" t="s">
        <v>48</v>
      </c>
      <c r="BI12" s="289" t="s">
        <v>48</v>
      </c>
      <c r="BJ12" s="289" t="s">
        <v>48</v>
      </c>
      <c r="BK12" s="289" t="s">
        <v>48</v>
      </c>
    </row>
    <row r="13" spans="1:63" x14ac:dyDescent="0.25">
      <c r="A13" s="283" t="s">
        <v>314</v>
      </c>
      <c r="B13" s="291" t="s">
        <v>48</v>
      </c>
      <c r="C13" s="291" t="s">
        <v>48</v>
      </c>
      <c r="D13" s="291">
        <v>8</v>
      </c>
      <c r="E13" s="291" t="s">
        <v>48</v>
      </c>
      <c r="F13" s="289">
        <v>14</v>
      </c>
      <c r="G13" s="291">
        <v>12</v>
      </c>
      <c r="H13" s="291">
        <v>15</v>
      </c>
      <c r="I13" s="291" t="s">
        <v>48</v>
      </c>
      <c r="J13" s="292">
        <v>12</v>
      </c>
      <c r="K13" s="292">
        <v>17</v>
      </c>
      <c r="L13" s="292">
        <v>13</v>
      </c>
      <c r="M13" s="291" t="s">
        <v>48</v>
      </c>
      <c r="N13" s="371">
        <v>20</v>
      </c>
      <c r="O13" s="431">
        <v>24</v>
      </c>
      <c r="P13" s="291" t="s">
        <v>48</v>
      </c>
      <c r="Q13" s="291" t="s">
        <v>48</v>
      </c>
      <c r="R13" s="286">
        <f t="shared" si="0"/>
        <v>135</v>
      </c>
      <c r="S13" s="294" t="s">
        <v>311</v>
      </c>
      <c r="T13" s="289" t="s">
        <v>48</v>
      </c>
      <c r="U13" s="289" t="s">
        <v>48</v>
      </c>
      <c r="V13" s="289" t="s">
        <v>48</v>
      </c>
      <c r="W13" s="289" t="s">
        <v>48</v>
      </c>
      <c r="X13" s="289" t="s">
        <v>48</v>
      </c>
      <c r="Y13" s="289" t="s">
        <v>48</v>
      </c>
      <c r="Z13" s="289" t="s">
        <v>48</v>
      </c>
      <c r="AA13" s="289" t="s">
        <v>48</v>
      </c>
      <c r="AB13" s="289" t="s">
        <v>48</v>
      </c>
      <c r="AC13" s="289" t="s">
        <v>48</v>
      </c>
      <c r="AD13" s="289" t="s">
        <v>48</v>
      </c>
      <c r="AE13" s="289" t="s">
        <v>48</v>
      </c>
      <c r="AF13" s="270"/>
      <c r="AG13" s="283" t="s">
        <v>314</v>
      </c>
      <c r="AH13" s="291" t="s">
        <v>48</v>
      </c>
      <c r="AI13" s="291" t="s">
        <v>48</v>
      </c>
      <c r="AJ13" s="291" t="s">
        <v>48</v>
      </c>
      <c r="AK13" s="291" t="s">
        <v>48</v>
      </c>
      <c r="AL13" s="291" t="s">
        <v>48</v>
      </c>
      <c r="AM13" s="291" t="s">
        <v>48</v>
      </c>
      <c r="AN13" s="291" t="s">
        <v>48</v>
      </c>
      <c r="AO13" s="291" t="s">
        <v>48</v>
      </c>
      <c r="AP13" s="291" t="s">
        <v>48</v>
      </c>
      <c r="AQ13" s="291" t="s">
        <v>48</v>
      </c>
      <c r="AR13" s="291" t="s">
        <v>48</v>
      </c>
      <c r="AS13" s="291" t="s">
        <v>48</v>
      </c>
      <c r="AT13" s="291" t="s">
        <v>48</v>
      </c>
      <c r="AU13" s="291" t="s">
        <v>48</v>
      </c>
      <c r="AV13" s="291" t="s">
        <v>48</v>
      </c>
      <c r="AW13" s="291" t="s">
        <v>48</v>
      </c>
      <c r="AX13" s="293">
        <v>0</v>
      </c>
      <c r="AY13" s="294" t="s">
        <v>312</v>
      </c>
      <c r="AZ13" s="289" t="s">
        <v>48</v>
      </c>
      <c r="BA13" s="289" t="s">
        <v>48</v>
      </c>
      <c r="BB13" s="289" t="s">
        <v>48</v>
      </c>
      <c r="BC13" s="289" t="s">
        <v>48</v>
      </c>
      <c r="BD13" s="289" t="s">
        <v>48</v>
      </c>
      <c r="BE13" s="289" t="s">
        <v>48</v>
      </c>
      <c r="BF13" s="289" t="s">
        <v>48</v>
      </c>
      <c r="BG13" s="289" t="s">
        <v>48</v>
      </c>
      <c r="BH13" s="289" t="s">
        <v>48</v>
      </c>
      <c r="BI13" s="289" t="s">
        <v>48</v>
      </c>
      <c r="BJ13" s="289" t="s">
        <v>48</v>
      </c>
      <c r="BK13" s="289" t="s">
        <v>48</v>
      </c>
    </row>
    <row r="14" spans="1:63" x14ac:dyDescent="0.25">
      <c r="A14" s="283" t="s">
        <v>315</v>
      </c>
      <c r="B14" s="291" t="s">
        <v>48</v>
      </c>
      <c r="C14" s="291" t="s">
        <v>48</v>
      </c>
      <c r="D14" s="291" t="s">
        <v>48</v>
      </c>
      <c r="E14" s="291" t="s">
        <v>48</v>
      </c>
      <c r="F14" s="289">
        <v>18</v>
      </c>
      <c r="G14" s="291" t="s">
        <v>48</v>
      </c>
      <c r="H14" s="291" t="s">
        <v>48</v>
      </c>
      <c r="I14" s="291" t="s">
        <v>48</v>
      </c>
      <c r="J14" s="292">
        <v>7</v>
      </c>
      <c r="K14" s="292" t="s">
        <v>48</v>
      </c>
      <c r="L14" s="292" t="s">
        <v>48</v>
      </c>
      <c r="M14" s="291" t="s">
        <v>48</v>
      </c>
      <c r="N14" s="371">
        <v>22</v>
      </c>
      <c r="O14" s="431">
        <v>10</v>
      </c>
      <c r="P14" s="291" t="s">
        <v>48</v>
      </c>
      <c r="Q14" s="291" t="s">
        <v>48</v>
      </c>
      <c r="R14" s="286">
        <f t="shared" si="0"/>
        <v>57</v>
      </c>
      <c r="S14" s="294" t="s">
        <v>311</v>
      </c>
      <c r="T14" s="289" t="s">
        <v>48</v>
      </c>
      <c r="U14" s="289" t="s">
        <v>48</v>
      </c>
      <c r="V14" s="289" t="s">
        <v>48</v>
      </c>
      <c r="W14" s="289" t="s">
        <v>48</v>
      </c>
      <c r="X14" s="289" t="s">
        <v>48</v>
      </c>
      <c r="Y14" s="289" t="s">
        <v>48</v>
      </c>
      <c r="Z14" s="289" t="s">
        <v>48</v>
      </c>
      <c r="AA14" s="289" t="s">
        <v>48</v>
      </c>
      <c r="AB14" s="289" t="s">
        <v>48</v>
      </c>
      <c r="AC14" s="289" t="s">
        <v>48</v>
      </c>
      <c r="AD14" s="289" t="s">
        <v>48</v>
      </c>
      <c r="AE14" s="289" t="s">
        <v>48</v>
      </c>
      <c r="AF14" s="270"/>
      <c r="AG14" s="283" t="s">
        <v>315</v>
      </c>
      <c r="AH14" s="291" t="s">
        <v>48</v>
      </c>
      <c r="AI14" s="291" t="s">
        <v>48</v>
      </c>
      <c r="AJ14" s="291" t="s">
        <v>48</v>
      </c>
      <c r="AK14" s="291" t="s">
        <v>48</v>
      </c>
      <c r="AL14" s="291" t="s">
        <v>48</v>
      </c>
      <c r="AM14" s="291" t="s">
        <v>48</v>
      </c>
      <c r="AN14" s="291" t="s">
        <v>48</v>
      </c>
      <c r="AO14" s="291" t="s">
        <v>48</v>
      </c>
      <c r="AP14" s="291" t="s">
        <v>48</v>
      </c>
      <c r="AQ14" s="291" t="s">
        <v>48</v>
      </c>
      <c r="AR14" s="291" t="s">
        <v>48</v>
      </c>
      <c r="AS14" s="291" t="s">
        <v>48</v>
      </c>
      <c r="AT14" s="291" t="s">
        <v>48</v>
      </c>
      <c r="AU14" s="291" t="s">
        <v>48</v>
      </c>
      <c r="AV14" s="291" t="s">
        <v>48</v>
      </c>
      <c r="AW14" s="291" t="s">
        <v>48</v>
      </c>
      <c r="AX14" s="293">
        <v>0</v>
      </c>
      <c r="AY14" s="294" t="s">
        <v>312</v>
      </c>
      <c r="AZ14" s="289" t="s">
        <v>48</v>
      </c>
      <c r="BA14" s="289" t="s">
        <v>48</v>
      </c>
      <c r="BB14" s="289" t="s">
        <v>48</v>
      </c>
      <c r="BC14" s="289" t="s">
        <v>48</v>
      </c>
      <c r="BD14" s="289" t="s">
        <v>48</v>
      </c>
      <c r="BE14" s="289" t="s">
        <v>48</v>
      </c>
      <c r="BF14" s="289" t="s">
        <v>48</v>
      </c>
      <c r="BG14" s="289" t="s">
        <v>48</v>
      </c>
      <c r="BH14" s="289" t="s">
        <v>48</v>
      </c>
      <c r="BI14" s="289" t="s">
        <v>48</v>
      </c>
      <c r="BJ14" s="289" t="s">
        <v>48</v>
      </c>
      <c r="BK14" s="289" t="s">
        <v>48</v>
      </c>
    </row>
    <row r="15" spans="1:63" x14ac:dyDescent="0.25">
      <c r="A15" s="283" t="s">
        <v>316</v>
      </c>
      <c r="B15" s="291" t="s">
        <v>48</v>
      </c>
      <c r="C15" s="291" t="s">
        <v>48</v>
      </c>
      <c r="D15" s="291" t="s">
        <v>48</v>
      </c>
      <c r="E15" s="291" t="s">
        <v>48</v>
      </c>
      <c r="F15" s="289">
        <v>22</v>
      </c>
      <c r="G15" s="291">
        <v>42</v>
      </c>
      <c r="H15" s="291" t="s">
        <v>48</v>
      </c>
      <c r="I15" s="291" t="s">
        <v>48</v>
      </c>
      <c r="J15" s="292">
        <v>10</v>
      </c>
      <c r="K15" s="292">
        <v>19</v>
      </c>
      <c r="L15" s="292">
        <v>47</v>
      </c>
      <c r="M15" s="291" t="s">
        <v>48</v>
      </c>
      <c r="N15" s="370">
        <v>34</v>
      </c>
      <c r="O15" s="431">
        <f>47+35</f>
        <v>82</v>
      </c>
      <c r="P15" s="291" t="s">
        <v>48</v>
      </c>
      <c r="Q15" s="291" t="s">
        <v>48</v>
      </c>
      <c r="R15" s="286">
        <f t="shared" si="0"/>
        <v>256</v>
      </c>
      <c r="S15" s="294" t="s">
        <v>311</v>
      </c>
      <c r="T15" s="289" t="s">
        <v>48</v>
      </c>
      <c r="U15" s="289" t="s">
        <v>48</v>
      </c>
      <c r="V15" s="289" t="s">
        <v>48</v>
      </c>
      <c r="W15" s="289" t="s">
        <v>48</v>
      </c>
      <c r="X15" s="289" t="s">
        <v>48</v>
      </c>
      <c r="Y15" s="289" t="s">
        <v>48</v>
      </c>
      <c r="Z15" s="289" t="s">
        <v>48</v>
      </c>
      <c r="AA15" s="289" t="s">
        <v>48</v>
      </c>
      <c r="AB15" s="289" t="s">
        <v>48</v>
      </c>
      <c r="AC15" s="289" t="s">
        <v>48</v>
      </c>
      <c r="AD15" s="289" t="s">
        <v>48</v>
      </c>
      <c r="AE15" s="289" t="s">
        <v>48</v>
      </c>
      <c r="AF15" s="270"/>
      <c r="AG15" s="283" t="s">
        <v>316</v>
      </c>
      <c r="AH15" s="291" t="s">
        <v>48</v>
      </c>
      <c r="AI15" s="291" t="s">
        <v>48</v>
      </c>
      <c r="AJ15" s="291" t="s">
        <v>48</v>
      </c>
      <c r="AK15" s="291" t="s">
        <v>48</v>
      </c>
      <c r="AL15" s="291" t="s">
        <v>48</v>
      </c>
      <c r="AM15" s="291" t="s">
        <v>48</v>
      </c>
      <c r="AN15" s="291" t="s">
        <v>48</v>
      </c>
      <c r="AO15" s="291" t="s">
        <v>48</v>
      </c>
      <c r="AP15" s="291" t="s">
        <v>48</v>
      </c>
      <c r="AQ15" s="291" t="s">
        <v>48</v>
      </c>
      <c r="AR15" s="291" t="s">
        <v>48</v>
      </c>
      <c r="AS15" s="291" t="s">
        <v>48</v>
      </c>
      <c r="AT15" s="291" t="s">
        <v>48</v>
      </c>
      <c r="AU15" s="291" t="s">
        <v>48</v>
      </c>
      <c r="AV15" s="291" t="s">
        <v>48</v>
      </c>
      <c r="AW15" s="291" t="s">
        <v>48</v>
      </c>
      <c r="AX15" s="293">
        <v>0</v>
      </c>
      <c r="AY15" s="294" t="s">
        <v>312</v>
      </c>
      <c r="AZ15" s="289" t="s">
        <v>48</v>
      </c>
      <c r="BA15" s="289" t="s">
        <v>48</v>
      </c>
      <c r="BB15" s="289" t="s">
        <v>48</v>
      </c>
      <c r="BC15" s="289" t="s">
        <v>48</v>
      </c>
      <c r="BD15" s="289" t="s">
        <v>48</v>
      </c>
      <c r="BE15" s="289" t="s">
        <v>48</v>
      </c>
      <c r="BF15" s="289" t="s">
        <v>48</v>
      </c>
      <c r="BG15" s="289" t="s">
        <v>48</v>
      </c>
      <c r="BH15" s="289" t="s">
        <v>48</v>
      </c>
      <c r="BI15" s="289" t="s">
        <v>48</v>
      </c>
      <c r="BJ15" s="289" t="s">
        <v>48</v>
      </c>
      <c r="BK15" s="289" t="s">
        <v>48</v>
      </c>
    </row>
    <row r="16" spans="1:63" x14ac:dyDescent="0.25">
      <c r="A16" s="283" t="s">
        <v>317</v>
      </c>
      <c r="B16" s="291" t="s">
        <v>48</v>
      </c>
      <c r="C16" s="291" t="s">
        <v>48</v>
      </c>
      <c r="D16" s="291">
        <v>16</v>
      </c>
      <c r="E16" s="291" t="s">
        <v>48</v>
      </c>
      <c r="F16" s="289">
        <v>11</v>
      </c>
      <c r="G16" s="291" t="s">
        <v>48</v>
      </c>
      <c r="H16" s="291">
        <v>27</v>
      </c>
      <c r="I16" s="291" t="s">
        <v>48</v>
      </c>
      <c r="J16" s="292">
        <v>12</v>
      </c>
      <c r="K16" s="292" t="s">
        <v>48</v>
      </c>
      <c r="L16" s="292">
        <v>10</v>
      </c>
      <c r="M16" s="291" t="s">
        <v>48</v>
      </c>
      <c r="N16" s="371"/>
      <c r="O16" s="431" t="s">
        <v>48</v>
      </c>
      <c r="P16" s="291" t="s">
        <v>48</v>
      </c>
      <c r="Q16" s="291" t="s">
        <v>48</v>
      </c>
      <c r="R16" s="286">
        <f t="shared" si="0"/>
        <v>76</v>
      </c>
      <c r="S16" s="294" t="s">
        <v>311</v>
      </c>
      <c r="T16" s="289" t="s">
        <v>48</v>
      </c>
      <c r="U16" s="289" t="s">
        <v>48</v>
      </c>
      <c r="V16" s="289" t="s">
        <v>48</v>
      </c>
      <c r="W16" s="289" t="s">
        <v>48</v>
      </c>
      <c r="X16" s="289" t="s">
        <v>48</v>
      </c>
      <c r="Y16" s="289" t="s">
        <v>48</v>
      </c>
      <c r="Z16" s="289" t="s">
        <v>48</v>
      </c>
      <c r="AA16" s="289" t="s">
        <v>48</v>
      </c>
      <c r="AB16" s="289" t="s">
        <v>48</v>
      </c>
      <c r="AC16" s="289" t="s">
        <v>48</v>
      </c>
      <c r="AD16" s="289" t="s">
        <v>48</v>
      </c>
      <c r="AE16" s="289" t="s">
        <v>48</v>
      </c>
      <c r="AF16" s="270"/>
      <c r="AG16" s="283" t="s">
        <v>317</v>
      </c>
      <c r="AH16" s="291" t="s">
        <v>48</v>
      </c>
      <c r="AI16" s="291" t="s">
        <v>48</v>
      </c>
      <c r="AJ16" s="291" t="s">
        <v>48</v>
      </c>
      <c r="AK16" s="291" t="s">
        <v>48</v>
      </c>
      <c r="AL16" s="291" t="s">
        <v>48</v>
      </c>
      <c r="AM16" s="291" t="s">
        <v>48</v>
      </c>
      <c r="AN16" s="291" t="s">
        <v>48</v>
      </c>
      <c r="AO16" s="291" t="s">
        <v>48</v>
      </c>
      <c r="AP16" s="291" t="s">
        <v>48</v>
      </c>
      <c r="AQ16" s="291" t="s">
        <v>48</v>
      </c>
      <c r="AR16" s="291" t="s">
        <v>48</v>
      </c>
      <c r="AS16" s="291" t="s">
        <v>48</v>
      </c>
      <c r="AT16" s="291" t="s">
        <v>48</v>
      </c>
      <c r="AU16" s="291" t="s">
        <v>48</v>
      </c>
      <c r="AV16" s="291" t="s">
        <v>48</v>
      </c>
      <c r="AW16" s="291" t="s">
        <v>48</v>
      </c>
      <c r="AX16" s="293">
        <v>0</v>
      </c>
      <c r="AY16" s="294" t="s">
        <v>312</v>
      </c>
      <c r="AZ16" s="289" t="s">
        <v>48</v>
      </c>
      <c r="BA16" s="289" t="s">
        <v>48</v>
      </c>
      <c r="BB16" s="289" t="s">
        <v>48</v>
      </c>
      <c r="BC16" s="289" t="s">
        <v>48</v>
      </c>
      <c r="BD16" s="289" t="s">
        <v>48</v>
      </c>
      <c r="BE16" s="289" t="s">
        <v>48</v>
      </c>
      <c r="BF16" s="289" t="s">
        <v>48</v>
      </c>
      <c r="BG16" s="289" t="s">
        <v>48</v>
      </c>
      <c r="BH16" s="289" t="s">
        <v>48</v>
      </c>
      <c r="BI16" s="289" t="s">
        <v>48</v>
      </c>
      <c r="BJ16" s="289" t="s">
        <v>48</v>
      </c>
      <c r="BK16" s="289" t="s">
        <v>48</v>
      </c>
    </row>
    <row r="17" spans="1:63" x14ac:dyDescent="0.25">
      <c r="A17" s="283" t="s">
        <v>318</v>
      </c>
      <c r="B17" s="291" t="s">
        <v>48</v>
      </c>
      <c r="C17" s="291" t="s">
        <v>48</v>
      </c>
      <c r="D17" s="291" t="s">
        <v>48</v>
      </c>
      <c r="E17" s="291" t="s">
        <v>48</v>
      </c>
      <c r="F17" s="291" t="s">
        <v>48</v>
      </c>
      <c r="G17" s="291">
        <v>31</v>
      </c>
      <c r="H17" s="291" t="s">
        <v>48</v>
      </c>
      <c r="I17" s="291" t="s">
        <v>48</v>
      </c>
      <c r="J17" s="292">
        <v>19</v>
      </c>
      <c r="K17" s="292">
        <v>38</v>
      </c>
      <c r="L17" s="292">
        <v>13</v>
      </c>
      <c r="M17" s="291" t="s">
        <v>48</v>
      </c>
      <c r="N17" s="371">
        <v>26</v>
      </c>
      <c r="O17" s="431">
        <v>37</v>
      </c>
      <c r="P17" s="291" t="s">
        <v>48</v>
      </c>
      <c r="Q17" s="291" t="s">
        <v>48</v>
      </c>
      <c r="R17" s="286">
        <f t="shared" si="0"/>
        <v>164</v>
      </c>
      <c r="S17" s="294" t="s">
        <v>311</v>
      </c>
      <c r="T17" s="289" t="s">
        <v>48</v>
      </c>
      <c r="U17" s="289" t="s">
        <v>48</v>
      </c>
      <c r="V17" s="289" t="s">
        <v>48</v>
      </c>
      <c r="W17" s="289" t="s">
        <v>48</v>
      </c>
      <c r="X17" s="289" t="s">
        <v>48</v>
      </c>
      <c r="Y17" s="289" t="s">
        <v>48</v>
      </c>
      <c r="Z17" s="289" t="s">
        <v>48</v>
      </c>
      <c r="AA17" s="289" t="s">
        <v>48</v>
      </c>
      <c r="AB17" s="289" t="s">
        <v>48</v>
      </c>
      <c r="AC17" s="289" t="s">
        <v>48</v>
      </c>
      <c r="AD17" s="289" t="s">
        <v>48</v>
      </c>
      <c r="AE17" s="289" t="s">
        <v>48</v>
      </c>
      <c r="AF17" s="270"/>
      <c r="AG17" s="283" t="s">
        <v>318</v>
      </c>
      <c r="AH17" s="291" t="s">
        <v>48</v>
      </c>
      <c r="AI17" s="291" t="s">
        <v>48</v>
      </c>
      <c r="AJ17" s="291" t="s">
        <v>48</v>
      </c>
      <c r="AK17" s="291" t="s">
        <v>48</v>
      </c>
      <c r="AL17" s="291" t="s">
        <v>48</v>
      </c>
      <c r="AM17" s="291" t="s">
        <v>48</v>
      </c>
      <c r="AN17" s="291" t="s">
        <v>48</v>
      </c>
      <c r="AO17" s="291" t="s">
        <v>48</v>
      </c>
      <c r="AP17" s="291" t="s">
        <v>48</v>
      </c>
      <c r="AQ17" s="291" t="s">
        <v>48</v>
      </c>
      <c r="AR17" s="291" t="s">
        <v>48</v>
      </c>
      <c r="AS17" s="291" t="s">
        <v>48</v>
      </c>
      <c r="AT17" s="291" t="s">
        <v>48</v>
      </c>
      <c r="AU17" s="291" t="s">
        <v>48</v>
      </c>
      <c r="AV17" s="291" t="s">
        <v>48</v>
      </c>
      <c r="AW17" s="291" t="s">
        <v>48</v>
      </c>
      <c r="AX17" s="293">
        <v>0</v>
      </c>
      <c r="AY17" s="294" t="s">
        <v>312</v>
      </c>
      <c r="AZ17" s="289" t="s">
        <v>48</v>
      </c>
      <c r="BA17" s="289" t="s">
        <v>48</v>
      </c>
      <c r="BB17" s="289" t="s">
        <v>48</v>
      </c>
      <c r="BC17" s="289" t="s">
        <v>48</v>
      </c>
      <c r="BD17" s="289" t="s">
        <v>48</v>
      </c>
      <c r="BE17" s="289" t="s">
        <v>48</v>
      </c>
      <c r="BF17" s="289" t="s">
        <v>48</v>
      </c>
      <c r="BG17" s="289" t="s">
        <v>48</v>
      </c>
      <c r="BH17" s="289" t="s">
        <v>48</v>
      </c>
      <c r="BI17" s="289" t="s">
        <v>48</v>
      </c>
      <c r="BJ17" s="289" t="s">
        <v>48</v>
      </c>
      <c r="BK17" s="289" t="s">
        <v>48</v>
      </c>
    </row>
    <row r="18" spans="1:63" x14ac:dyDescent="0.25">
      <c r="A18" s="283" t="s">
        <v>319</v>
      </c>
      <c r="B18" s="291" t="s">
        <v>48</v>
      </c>
      <c r="C18" s="291" t="s">
        <v>48</v>
      </c>
      <c r="D18" s="291">
        <v>10</v>
      </c>
      <c r="E18" s="291" t="s">
        <v>48</v>
      </c>
      <c r="F18" s="289">
        <v>22</v>
      </c>
      <c r="G18" s="291">
        <v>27</v>
      </c>
      <c r="H18" s="291">
        <v>20</v>
      </c>
      <c r="I18" s="291" t="s">
        <v>48</v>
      </c>
      <c r="J18" s="292" t="s">
        <v>48</v>
      </c>
      <c r="K18" s="292" t="s">
        <v>48</v>
      </c>
      <c r="L18" s="292">
        <v>10</v>
      </c>
      <c r="M18" s="291" t="s">
        <v>48</v>
      </c>
      <c r="N18" s="371">
        <v>36</v>
      </c>
      <c r="O18" s="431">
        <v>27</v>
      </c>
      <c r="P18" s="291" t="s">
        <v>48</v>
      </c>
      <c r="Q18" s="291" t="s">
        <v>48</v>
      </c>
      <c r="R18" s="286">
        <f t="shared" si="0"/>
        <v>152</v>
      </c>
      <c r="S18" s="294" t="s">
        <v>311</v>
      </c>
      <c r="T18" s="289" t="s">
        <v>48</v>
      </c>
      <c r="U18" s="289" t="s">
        <v>48</v>
      </c>
      <c r="V18" s="289" t="s">
        <v>48</v>
      </c>
      <c r="W18" s="289" t="s">
        <v>48</v>
      </c>
      <c r="X18" s="289" t="s">
        <v>48</v>
      </c>
      <c r="Y18" s="289" t="s">
        <v>48</v>
      </c>
      <c r="Z18" s="289" t="s">
        <v>48</v>
      </c>
      <c r="AA18" s="289" t="s">
        <v>48</v>
      </c>
      <c r="AB18" s="289" t="s">
        <v>48</v>
      </c>
      <c r="AC18" s="289" t="s">
        <v>48</v>
      </c>
      <c r="AD18" s="289" t="s">
        <v>48</v>
      </c>
      <c r="AE18" s="289" t="s">
        <v>48</v>
      </c>
      <c r="AF18" s="270"/>
      <c r="AG18" s="283" t="s">
        <v>319</v>
      </c>
      <c r="AH18" s="291" t="s">
        <v>48</v>
      </c>
      <c r="AI18" s="291" t="s">
        <v>48</v>
      </c>
      <c r="AJ18" s="291" t="s">
        <v>48</v>
      </c>
      <c r="AK18" s="291" t="s">
        <v>48</v>
      </c>
      <c r="AL18" s="291" t="s">
        <v>48</v>
      </c>
      <c r="AM18" s="291" t="s">
        <v>48</v>
      </c>
      <c r="AN18" s="291" t="s">
        <v>48</v>
      </c>
      <c r="AO18" s="291" t="s">
        <v>48</v>
      </c>
      <c r="AP18" s="291" t="s">
        <v>48</v>
      </c>
      <c r="AQ18" s="291" t="s">
        <v>48</v>
      </c>
      <c r="AR18" s="291" t="s">
        <v>48</v>
      </c>
      <c r="AS18" s="291" t="s">
        <v>48</v>
      </c>
      <c r="AT18" s="291" t="s">
        <v>48</v>
      </c>
      <c r="AU18" s="291" t="s">
        <v>48</v>
      </c>
      <c r="AV18" s="291" t="s">
        <v>48</v>
      </c>
      <c r="AW18" s="291" t="s">
        <v>48</v>
      </c>
      <c r="AX18" s="293">
        <v>0</v>
      </c>
      <c r="AY18" s="294" t="s">
        <v>312</v>
      </c>
      <c r="AZ18" s="289" t="s">
        <v>48</v>
      </c>
      <c r="BA18" s="289" t="s">
        <v>48</v>
      </c>
      <c r="BB18" s="289" t="s">
        <v>48</v>
      </c>
      <c r="BC18" s="289" t="s">
        <v>48</v>
      </c>
      <c r="BD18" s="289" t="s">
        <v>48</v>
      </c>
      <c r="BE18" s="289" t="s">
        <v>48</v>
      </c>
      <c r="BF18" s="289" t="s">
        <v>48</v>
      </c>
      <c r="BG18" s="289" t="s">
        <v>48</v>
      </c>
      <c r="BH18" s="289" t="s">
        <v>48</v>
      </c>
      <c r="BI18" s="289" t="s">
        <v>48</v>
      </c>
      <c r="BJ18" s="289" t="s">
        <v>48</v>
      </c>
      <c r="BK18" s="289" t="s">
        <v>48</v>
      </c>
    </row>
    <row r="19" spans="1:63" x14ac:dyDescent="0.25">
      <c r="A19" s="283" t="s">
        <v>320</v>
      </c>
      <c r="B19" s="291" t="s">
        <v>48</v>
      </c>
      <c r="C19" s="291" t="s">
        <v>48</v>
      </c>
      <c r="D19" s="291">
        <v>27</v>
      </c>
      <c r="E19" s="291" t="s">
        <v>48</v>
      </c>
      <c r="F19" s="289">
        <v>47</v>
      </c>
      <c r="G19" s="291">
        <v>28</v>
      </c>
      <c r="H19" s="291">
        <v>28</v>
      </c>
      <c r="I19" s="291" t="s">
        <v>48</v>
      </c>
      <c r="J19" s="292">
        <v>30</v>
      </c>
      <c r="K19" s="292">
        <v>32</v>
      </c>
      <c r="L19" s="292">
        <v>41</v>
      </c>
      <c r="M19" s="291" t="s">
        <v>48</v>
      </c>
      <c r="N19" s="370">
        <v>30</v>
      </c>
      <c r="O19" s="431">
        <v>31</v>
      </c>
      <c r="P19" s="291" t="s">
        <v>48</v>
      </c>
      <c r="Q19" s="291" t="s">
        <v>48</v>
      </c>
      <c r="R19" s="286">
        <f t="shared" si="0"/>
        <v>294</v>
      </c>
      <c r="S19" s="294" t="s">
        <v>311</v>
      </c>
      <c r="T19" s="289" t="s">
        <v>48</v>
      </c>
      <c r="U19" s="289" t="s">
        <v>48</v>
      </c>
      <c r="V19" s="289" t="s">
        <v>48</v>
      </c>
      <c r="W19" s="289" t="s">
        <v>48</v>
      </c>
      <c r="X19" s="289" t="s">
        <v>48</v>
      </c>
      <c r="Y19" s="289" t="s">
        <v>48</v>
      </c>
      <c r="Z19" s="289" t="s">
        <v>48</v>
      </c>
      <c r="AA19" s="289" t="s">
        <v>48</v>
      </c>
      <c r="AB19" s="289" t="s">
        <v>48</v>
      </c>
      <c r="AC19" s="289" t="s">
        <v>48</v>
      </c>
      <c r="AD19" s="289" t="s">
        <v>48</v>
      </c>
      <c r="AE19" s="289" t="s">
        <v>48</v>
      </c>
      <c r="AF19" s="270"/>
      <c r="AG19" s="283" t="s">
        <v>320</v>
      </c>
      <c r="AH19" s="291" t="s">
        <v>48</v>
      </c>
      <c r="AI19" s="291" t="s">
        <v>48</v>
      </c>
      <c r="AJ19" s="291" t="s">
        <v>48</v>
      </c>
      <c r="AK19" s="291" t="s">
        <v>48</v>
      </c>
      <c r="AL19" s="291" t="s">
        <v>48</v>
      </c>
      <c r="AM19" s="291" t="s">
        <v>48</v>
      </c>
      <c r="AN19" s="291" t="s">
        <v>48</v>
      </c>
      <c r="AO19" s="291" t="s">
        <v>48</v>
      </c>
      <c r="AP19" s="291" t="s">
        <v>48</v>
      </c>
      <c r="AQ19" s="291" t="s">
        <v>48</v>
      </c>
      <c r="AR19" s="291" t="s">
        <v>48</v>
      </c>
      <c r="AS19" s="291" t="s">
        <v>48</v>
      </c>
      <c r="AT19" s="291" t="s">
        <v>48</v>
      </c>
      <c r="AU19" s="291" t="s">
        <v>48</v>
      </c>
      <c r="AV19" s="291" t="s">
        <v>48</v>
      </c>
      <c r="AW19" s="291" t="s">
        <v>48</v>
      </c>
      <c r="AX19" s="293">
        <v>0</v>
      </c>
      <c r="AY19" s="294" t="s">
        <v>312</v>
      </c>
      <c r="AZ19" s="289" t="s">
        <v>48</v>
      </c>
      <c r="BA19" s="289" t="s">
        <v>48</v>
      </c>
      <c r="BB19" s="289" t="s">
        <v>48</v>
      </c>
      <c r="BC19" s="289" t="s">
        <v>48</v>
      </c>
      <c r="BD19" s="289" t="s">
        <v>48</v>
      </c>
      <c r="BE19" s="289" t="s">
        <v>48</v>
      </c>
      <c r="BF19" s="289" t="s">
        <v>48</v>
      </c>
      <c r="BG19" s="289" t="s">
        <v>48</v>
      </c>
      <c r="BH19" s="289" t="s">
        <v>48</v>
      </c>
      <c r="BI19" s="291" t="s">
        <v>48</v>
      </c>
      <c r="BJ19" s="291" t="s">
        <v>48</v>
      </c>
      <c r="BK19" s="291" t="s">
        <v>48</v>
      </c>
    </row>
    <row r="20" spans="1:63" x14ac:dyDescent="0.25">
      <c r="A20" s="283" t="s">
        <v>321</v>
      </c>
      <c r="B20" s="291" t="s">
        <v>48</v>
      </c>
      <c r="C20" s="291" t="s">
        <v>48</v>
      </c>
      <c r="D20" s="291">
        <v>15</v>
      </c>
      <c r="E20" s="291" t="s">
        <v>48</v>
      </c>
      <c r="F20" s="289">
        <v>18</v>
      </c>
      <c r="G20" s="291">
        <v>9</v>
      </c>
      <c r="H20" s="291">
        <v>13</v>
      </c>
      <c r="I20" s="291" t="s">
        <v>48</v>
      </c>
      <c r="J20" s="292">
        <v>10</v>
      </c>
      <c r="K20" s="292">
        <v>13</v>
      </c>
      <c r="L20" s="292" t="s">
        <v>48</v>
      </c>
      <c r="M20" s="291" t="s">
        <v>48</v>
      </c>
      <c r="N20" s="371">
        <v>22</v>
      </c>
      <c r="O20" s="431">
        <v>22</v>
      </c>
      <c r="P20" s="291" t="s">
        <v>48</v>
      </c>
      <c r="Q20" s="291" t="s">
        <v>48</v>
      </c>
      <c r="R20" s="286">
        <f t="shared" si="0"/>
        <v>122</v>
      </c>
      <c r="S20" s="294" t="s">
        <v>311</v>
      </c>
      <c r="T20" s="289" t="s">
        <v>48</v>
      </c>
      <c r="U20" s="289" t="s">
        <v>48</v>
      </c>
      <c r="V20" s="289" t="s">
        <v>48</v>
      </c>
      <c r="W20" s="289" t="s">
        <v>48</v>
      </c>
      <c r="X20" s="289" t="s">
        <v>48</v>
      </c>
      <c r="Y20" s="289" t="s">
        <v>48</v>
      </c>
      <c r="Z20" s="289" t="s">
        <v>48</v>
      </c>
      <c r="AA20" s="289" t="s">
        <v>48</v>
      </c>
      <c r="AB20" s="289" t="s">
        <v>48</v>
      </c>
      <c r="AC20" s="289" t="s">
        <v>48</v>
      </c>
      <c r="AD20" s="289" t="s">
        <v>48</v>
      </c>
      <c r="AE20" s="289" t="s">
        <v>48</v>
      </c>
      <c r="AF20" s="270"/>
      <c r="AG20" s="283" t="s">
        <v>321</v>
      </c>
      <c r="AH20" s="291" t="s">
        <v>48</v>
      </c>
      <c r="AI20" s="291" t="s">
        <v>48</v>
      </c>
      <c r="AJ20" s="291" t="s">
        <v>48</v>
      </c>
      <c r="AK20" s="291" t="s">
        <v>48</v>
      </c>
      <c r="AL20" s="291" t="s">
        <v>48</v>
      </c>
      <c r="AM20" s="291" t="s">
        <v>48</v>
      </c>
      <c r="AN20" s="291" t="s">
        <v>48</v>
      </c>
      <c r="AO20" s="291" t="s">
        <v>48</v>
      </c>
      <c r="AP20" s="291" t="s">
        <v>48</v>
      </c>
      <c r="AQ20" s="291" t="s">
        <v>48</v>
      </c>
      <c r="AR20" s="291" t="s">
        <v>48</v>
      </c>
      <c r="AS20" s="291" t="s">
        <v>48</v>
      </c>
      <c r="AT20" s="291" t="s">
        <v>48</v>
      </c>
      <c r="AU20" s="291" t="s">
        <v>48</v>
      </c>
      <c r="AV20" s="291" t="s">
        <v>48</v>
      </c>
      <c r="AW20" s="291" t="s">
        <v>48</v>
      </c>
      <c r="AX20" s="293">
        <v>0</v>
      </c>
      <c r="AY20" s="294" t="s">
        <v>312</v>
      </c>
      <c r="AZ20" s="289" t="s">
        <v>48</v>
      </c>
      <c r="BA20" s="289" t="s">
        <v>48</v>
      </c>
      <c r="BB20" s="289" t="s">
        <v>48</v>
      </c>
      <c r="BC20" s="289" t="s">
        <v>48</v>
      </c>
      <c r="BD20" s="289" t="s">
        <v>48</v>
      </c>
      <c r="BE20" s="289" t="s">
        <v>48</v>
      </c>
      <c r="BF20" s="289" t="s">
        <v>48</v>
      </c>
      <c r="BG20" s="289" t="s">
        <v>48</v>
      </c>
      <c r="BH20" s="289" t="s">
        <v>48</v>
      </c>
      <c r="BI20" s="291" t="s">
        <v>48</v>
      </c>
      <c r="BJ20" s="291" t="s">
        <v>48</v>
      </c>
      <c r="BK20" s="291" t="s">
        <v>48</v>
      </c>
    </row>
    <row r="21" spans="1:63" x14ac:dyDescent="0.25">
      <c r="A21" s="283" t="s">
        <v>322</v>
      </c>
      <c r="B21" s="291" t="s">
        <v>48</v>
      </c>
      <c r="C21" s="291" t="s">
        <v>48</v>
      </c>
      <c r="D21" s="291">
        <v>12</v>
      </c>
      <c r="E21" s="291" t="s">
        <v>48</v>
      </c>
      <c r="F21" s="289">
        <v>7</v>
      </c>
      <c r="G21" s="291">
        <v>18</v>
      </c>
      <c r="H21" s="291">
        <v>13</v>
      </c>
      <c r="I21" s="291" t="s">
        <v>48</v>
      </c>
      <c r="J21" s="292">
        <v>10</v>
      </c>
      <c r="K21" s="292">
        <v>15</v>
      </c>
      <c r="L21" s="292">
        <v>15</v>
      </c>
      <c r="M21" s="291" t="s">
        <v>48</v>
      </c>
      <c r="N21" s="371">
        <v>11</v>
      </c>
      <c r="O21" s="431">
        <v>24</v>
      </c>
      <c r="P21" s="291" t="s">
        <v>48</v>
      </c>
      <c r="Q21" s="291" t="s">
        <v>48</v>
      </c>
      <c r="R21" s="286">
        <f t="shared" si="0"/>
        <v>125</v>
      </c>
      <c r="S21" s="294" t="s">
        <v>311</v>
      </c>
      <c r="T21" s="289" t="s">
        <v>48</v>
      </c>
      <c r="U21" s="289" t="s">
        <v>48</v>
      </c>
      <c r="V21" s="289" t="s">
        <v>48</v>
      </c>
      <c r="W21" s="289" t="s">
        <v>48</v>
      </c>
      <c r="X21" s="289" t="s">
        <v>48</v>
      </c>
      <c r="Y21" s="289" t="s">
        <v>48</v>
      </c>
      <c r="Z21" s="289" t="s">
        <v>48</v>
      </c>
      <c r="AA21" s="289" t="s">
        <v>48</v>
      </c>
      <c r="AB21" s="289" t="s">
        <v>48</v>
      </c>
      <c r="AC21" s="289" t="s">
        <v>48</v>
      </c>
      <c r="AD21" s="289" t="s">
        <v>48</v>
      </c>
      <c r="AE21" s="289" t="s">
        <v>48</v>
      </c>
      <c r="AF21" s="270"/>
      <c r="AG21" s="283" t="s">
        <v>322</v>
      </c>
      <c r="AH21" s="291" t="s">
        <v>48</v>
      </c>
      <c r="AI21" s="291" t="s">
        <v>48</v>
      </c>
      <c r="AJ21" s="291" t="s">
        <v>48</v>
      </c>
      <c r="AK21" s="291" t="s">
        <v>48</v>
      </c>
      <c r="AL21" s="291" t="s">
        <v>48</v>
      </c>
      <c r="AM21" s="291" t="s">
        <v>48</v>
      </c>
      <c r="AN21" s="291" t="s">
        <v>48</v>
      </c>
      <c r="AO21" s="291" t="s">
        <v>48</v>
      </c>
      <c r="AP21" s="291" t="s">
        <v>48</v>
      </c>
      <c r="AQ21" s="291" t="s">
        <v>48</v>
      </c>
      <c r="AR21" s="291" t="s">
        <v>48</v>
      </c>
      <c r="AS21" s="291" t="s">
        <v>48</v>
      </c>
      <c r="AT21" s="291" t="s">
        <v>48</v>
      </c>
      <c r="AU21" s="291" t="s">
        <v>48</v>
      </c>
      <c r="AV21" s="291" t="s">
        <v>48</v>
      </c>
      <c r="AW21" s="291" t="s">
        <v>48</v>
      </c>
      <c r="AX21" s="293">
        <v>0</v>
      </c>
      <c r="AY21" s="294" t="s">
        <v>312</v>
      </c>
      <c r="AZ21" s="289" t="s">
        <v>48</v>
      </c>
      <c r="BA21" s="289" t="s">
        <v>48</v>
      </c>
      <c r="BB21" s="289" t="s">
        <v>48</v>
      </c>
      <c r="BC21" s="289" t="s">
        <v>48</v>
      </c>
      <c r="BD21" s="289" t="s">
        <v>48</v>
      </c>
      <c r="BE21" s="289" t="s">
        <v>48</v>
      </c>
      <c r="BF21" s="289" t="s">
        <v>48</v>
      </c>
      <c r="BG21" s="289" t="s">
        <v>48</v>
      </c>
      <c r="BH21" s="289" t="s">
        <v>48</v>
      </c>
      <c r="BI21" s="291" t="s">
        <v>48</v>
      </c>
      <c r="BJ21" s="291" t="s">
        <v>48</v>
      </c>
      <c r="BK21" s="291" t="s">
        <v>48</v>
      </c>
    </row>
    <row r="22" spans="1:63" x14ac:dyDescent="0.25">
      <c r="A22" s="283" t="s">
        <v>323</v>
      </c>
      <c r="B22" s="291" t="s">
        <v>48</v>
      </c>
      <c r="C22" s="291" t="s">
        <v>48</v>
      </c>
      <c r="D22" s="291">
        <v>14</v>
      </c>
      <c r="E22" s="291" t="s">
        <v>48</v>
      </c>
      <c r="F22" s="289">
        <v>20</v>
      </c>
      <c r="G22" s="291">
        <v>29</v>
      </c>
      <c r="H22" s="291">
        <v>16</v>
      </c>
      <c r="I22" s="291" t="s">
        <v>48</v>
      </c>
      <c r="J22" s="292" t="s">
        <v>48</v>
      </c>
      <c r="K22" s="292">
        <v>16</v>
      </c>
      <c r="L22" s="292">
        <v>39</v>
      </c>
      <c r="M22" s="291" t="s">
        <v>48</v>
      </c>
      <c r="N22" s="370">
        <v>28</v>
      </c>
      <c r="O22" s="431">
        <v>26</v>
      </c>
      <c r="P22" s="291" t="s">
        <v>48</v>
      </c>
      <c r="Q22" s="291" t="s">
        <v>48</v>
      </c>
      <c r="R22" s="286">
        <f t="shared" si="0"/>
        <v>188</v>
      </c>
      <c r="S22" s="294" t="s">
        <v>311</v>
      </c>
      <c r="T22" s="289" t="s">
        <v>48</v>
      </c>
      <c r="U22" s="289" t="s">
        <v>48</v>
      </c>
      <c r="V22" s="289" t="s">
        <v>48</v>
      </c>
      <c r="W22" s="289" t="s">
        <v>48</v>
      </c>
      <c r="X22" s="289" t="s">
        <v>48</v>
      </c>
      <c r="Y22" s="289" t="s">
        <v>48</v>
      </c>
      <c r="Z22" s="289" t="s">
        <v>48</v>
      </c>
      <c r="AA22" s="289" t="s">
        <v>48</v>
      </c>
      <c r="AB22" s="289" t="s">
        <v>48</v>
      </c>
      <c r="AC22" s="289" t="s">
        <v>48</v>
      </c>
      <c r="AD22" s="289" t="s">
        <v>48</v>
      </c>
      <c r="AE22" s="289" t="s">
        <v>48</v>
      </c>
      <c r="AF22" s="270"/>
      <c r="AG22" s="283" t="s">
        <v>323</v>
      </c>
      <c r="AH22" s="291" t="s">
        <v>48</v>
      </c>
      <c r="AI22" s="291" t="s">
        <v>48</v>
      </c>
      <c r="AJ22" s="291" t="s">
        <v>48</v>
      </c>
      <c r="AK22" s="291" t="s">
        <v>48</v>
      </c>
      <c r="AL22" s="291" t="s">
        <v>48</v>
      </c>
      <c r="AM22" s="291" t="s">
        <v>48</v>
      </c>
      <c r="AN22" s="291" t="s">
        <v>48</v>
      </c>
      <c r="AO22" s="291" t="s">
        <v>48</v>
      </c>
      <c r="AP22" s="291" t="s">
        <v>48</v>
      </c>
      <c r="AQ22" s="291" t="s">
        <v>48</v>
      </c>
      <c r="AR22" s="291" t="s">
        <v>48</v>
      </c>
      <c r="AS22" s="291" t="s">
        <v>48</v>
      </c>
      <c r="AT22" s="291" t="s">
        <v>48</v>
      </c>
      <c r="AU22" s="291" t="s">
        <v>48</v>
      </c>
      <c r="AV22" s="291" t="s">
        <v>48</v>
      </c>
      <c r="AW22" s="291" t="s">
        <v>48</v>
      </c>
      <c r="AX22" s="293">
        <v>0</v>
      </c>
      <c r="AY22" s="294" t="s">
        <v>312</v>
      </c>
      <c r="AZ22" s="289" t="s">
        <v>48</v>
      </c>
      <c r="BA22" s="289" t="s">
        <v>48</v>
      </c>
      <c r="BB22" s="289" t="s">
        <v>48</v>
      </c>
      <c r="BC22" s="289" t="s">
        <v>48</v>
      </c>
      <c r="BD22" s="289" t="s">
        <v>48</v>
      </c>
      <c r="BE22" s="289" t="s">
        <v>48</v>
      </c>
      <c r="BF22" s="289" t="s">
        <v>48</v>
      </c>
      <c r="BG22" s="289" t="s">
        <v>48</v>
      </c>
      <c r="BH22" s="289" t="s">
        <v>48</v>
      </c>
      <c r="BI22" s="289" t="s">
        <v>48</v>
      </c>
      <c r="BJ22" s="289" t="s">
        <v>48</v>
      </c>
      <c r="BK22" s="289" t="s">
        <v>48</v>
      </c>
    </row>
    <row r="23" spans="1:63" x14ac:dyDescent="0.25">
      <c r="A23" s="283" t="s">
        <v>324</v>
      </c>
      <c r="B23" s="291" t="s">
        <v>48</v>
      </c>
      <c r="C23" s="291" t="s">
        <v>48</v>
      </c>
      <c r="D23" s="291">
        <v>18</v>
      </c>
      <c r="E23" s="291" t="s">
        <v>48</v>
      </c>
      <c r="F23" s="289">
        <v>24</v>
      </c>
      <c r="G23" s="291" t="s">
        <v>48</v>
      </c>
      <c r="H23" s="291">
        <v>2</v>
      </c>
      <c r="I23" s="291" t="s">
        <v>48</v>
      </c>
      <c r="J23" s="292">
        <v>7</v>
      </c>
      <c r="K23" s="292" t="s">
        <v>48</v>
      </c>
      <c r="L23" s="292" t="s">
        <v>48</v>
      </c>
      <c r="M23" s="291" t="s">
        <v>48</v>
      </c>
      <c r="N23" s="371">
        <v>27</v>
      </c>
      <c r="O23" s="431">
        <v>20</v>
      </c>
      <c r="P23" s="291" t="s">
        <v>48</v>
      </c>
      <c r="Q23" s="291" t="s">
        <v>48</v>
      </c>
      <c r="R23" s="286">
        <f t="shared" si="0"/>
        <v>98</v>
      </c>
      <c r="S23" s="294" t="s">
        <v>311</v>
      </c>
      <c r="T23" s="289" t="s">
        <v>48</v>
      </c>
      <c r="U23" s="289" t="s">
        <v>48</v>
      </c>
      <c r="V23" s="289" t="s">
        <v>48</v>
      </c>
      <c r="W23" s="289" t="s">
        <v>48</v>
      </c>
      <c r="X23" s="289" t="s">
        <v>48</v>
      </c>
      <c r="Y23" s="289" t="s">
        <v>48</v>
      </c>
      <c r="Z23" s="289" t="s">
        <v>48</v>
      </c>
      <c r="AA23" s="289" t="s">
        <v>48</v>
      </c>
      <c r="AB23" s="289" t="s">
        <v>48</v>
      </c>
      <c r="AC23" s="289" t="s">
        <v>48</v>
      </c>
      <c r="AD23" s="289" t="s">
        <v>48</v>
      </c>
      <c r="AE23" s="289" t="s">
        <v>48</v>
      </c>
      <c r="AF23" s="270"/>
      <c r="AG23" s="283" t="s">
        <v>324</v>
      </c>
      <c r="AH23" s="291" t="s">
        <v>48</v>
      </c>
      <c r="AI23" s="291" t="s">
        <v>48</v>
      </c>
      <c r="AJ23" s="291" t="s">
        <v>48</v>
      </c>
      <c r="AK23" s="291" t="s">
        <v>48</v>
      </c>
      <c r="AL23" s="291" t="s">
        <v>48</v>
      </c>
      <c r="AM23" s="291" t="s">
        <v>48</v>
      </c>
      <c r="AN23" s="291" t="s">
        <v>48</v>
      </c>
      <c r="AO23" s="291" t="s">
        <v>48</v>
      </c>
      <c r="AP23" s="291" t="s">
        <v>48</v>
      </c>
      <c r="AQ23" s="291" t="s">
        <v>48</v>
      </c>
      <c r="AR23" s="291" t="s">
        <v>48</v>
      </c>
      <c r="AS23" s="291" t="s">
        <v>48</v>
      </c>
      <c r="AT23" s="291" t="s">
        <v>48</v>
      </c>
      <c r="AU23" s="291" t="s">
        <v>48</v>
      </c>
      <c r="AV23" s="291" t="s">
        <v>48</v>
      </c>
      <c r="AW23" s="291" t="s">
        <v>48</v>
      </c>
      <c r="AX23" s="293">
        <v>0</v>
      </c>
      <c r="AY23" s="294" t="s">
        <v>312</v>
      </c>
      <c r="AZ23" s="289" t="s">
        <v>48</v>
      </c>
      <c r="BA23" s="289" t="s">
        <v>48</v>
      </c>
      <c r="BB23" s="289" t="s">
        <v>48</v>
      </c>
      <c r="BC23" s="289" t="s">
        <v>48</v>
      </c>
      <c r="BD23" s="289" t="s">
        <v>48</v>
      </c>
      <c r="BE23" s="289" t="s">
        <v>48</v>
      </c>
      <c r="BF23" s="289" t="s">
        <v>48</v>
      </c>
      <c r="BG23" s="289" t="s">
        <v>48</v>
      </c>
      <c r="BH23" s="289" t="s">
        <v>48</v>
      </c>
      <c r="BI23" s="289" t="s">
        <v>48</v>
      </c>
      <c r="BJ23" s="289" t="s">
        <v>48</v>
      </c>
      <c r="BK23" s="289" t="s">
        <v>48</v>
      </c>
    </row>
    <row r="24" spans="1:63" x14ac:dyDescent="0.25">
      <c r="A24" s="283" t="s">
        <v>325</v>
      </c>
      <c r="B24" s="291" t="s">
        <v>48</v>
      </c>
      <c r="C24" s="291" t="s">
        <v>48</v>
      </c>
      <c r="D24" s="291" t="s">
        <v>48</v>
      </c>
      <c r="E24" s="291" t="s">
        <v>48</v>
      </c>
      <c r="F24" s="291" t="s">
        <v>48</v>
      </c>
      <c r="G24" s="291">
        <v>9</v>
      </c>
      <c r="H24" s="291" t="s">
        <v>48</v>
      </c>
      <c r="I24" s="291" t="s">
        <v>48</v>
      </c>
      <c r="J24" s="292" t="s">
        <v>48</v>
      </c>
      <c r="K24" s="292" t="s">
        <v>48</v>
      </c>
      <c r="L24" s="292">
        <v>15</v>
      </c>
      <c r="M24" s="291" t="s">
        <v>48</v>
      </c>
      <c r="N24" s="371">
        <v>29</v>
      </c>
      <c r="O24" s="431">
        <v>22</v>
      </c>
      <c r="P24" s="291" t="s">
        <v>48</v>
      </c>
      <c r="Q24" s="291" t="s">
        <v>48</v>
      </c>
      <c r="R24" s="286">
        <f t="shared" si="0"/>
        <v>75</v>
      </c>
      <c r="S24" s="294" t="s">
        <v>311</v>
      </c>
      <c r="T24" s="289" t="s">
        <v>48</v>
      </c>
      <c r="U24" s="289" t="s">
        <v>48</v>
      </c>
      <c r="V24" s="289" t="s">
        <v>48</v>
      </c>
      <c r="W24" s="289" t="s">
        <v>48</v>
      </c>
      <c r="X24" s="289" t="s">
        <v>48</v>
      </c>
      <c r="Y24" s="289" t="s">
        <v>48</v>
      </c>
      <c r="Z24" s="289" t="s">
        <v>48</v>
      </c>
      <c r="AA24" s="289" t="s">
        <v>48</v>
      </c>
      <c r="AB24" s="289" t="s">
        <v>48</v>
      </c>
      <c r="AC24" s="289" t="s">
        <v>48</v>
      </c>
      <c r="AD24" s="289" t="s">
        <v>48</v>
      </c>
      <c r="AE24" s="289" t="s">
        <v>48</v>
      </c>
      <c r="AF24" s="270"/>
      <c r="AG24" s="283" t="s">
        <v>325</v>
      </c>
      <c r="AH24" s="291" t="s">
        <v>48</v>
      </c>
      <c r="AI24" s="291" t="s">
        <v>48</v>
      </c>
      <c r="AJ24" s="291" t="s">
        <v>48</v>
      </c>
      <c r="AK24" s="291" t="s">
        <v>48</v>
      </c>
      <c r="AL24" s="291" t="s">
        <v>48</v>
      </c>
      <c r="AM24" s="291" t="s">
        <v>48</v>
      </c>
      <c r="AN24" s="291" t="s">
        <v>48</v>
      </c>
      <c r="AO24" s="291" t="s">
        <v>48</v>
      </c>
      <c r="AP24" s="291" t="s">
        <v>48</v>
      </c>
      <c r="AQ24" s="291" t="s">
        <v>48</v>
      </c>
      <c r="AR24" s="291" t="s">
        <v>48</v>
      </c>
      <c r="AS24" s="291" t="s">
        <v>48</v>
      </c>
      <c r="AT24" s="291" t="s">
        <v>48</v>
      </c>
      <c r="AU24" s="291" t="s">
        <v>48</v>
      </c>
      <c r="AV24" s="291" t="s">
        <v>48</v>
      </c>
      <c r="AW24" s="291" t="s">
        <v>48</v>
      </c>
      <c r="AX24" s="293">
        <v>0</v>
      </c>
      <c r="AY24" s="294" t="s">
        <v>312</v>
      </c>
      <c r="AZ24" s="289" t="s">
        <v>48</v>
      </c>
      <c r="BA24" s="289" t="s">
        <v>48</v>
      </c>
      <c r="BB24" s="289" t="s">
        <v>48</v>
      </c>
      <c r="BC24" s="289" t="s">
        <v>48</v>
      </c>
      <c r="BD24" s="289" t="s">
        <v>48</v>
      </c>
      <c r="BE24" s="289" t="s">
        <v>48</v>
      </c>
      <c r="BF24" s="289" t="s">
        <v>48</v>
      </c>
      <c r="BG24" s="289" t="s">
        <v>48</v>
      </c>
      <c r="BH24" s="289" t="s">
        <v>48</v>
      </c>
      <c r="BI24" s="289" t="s">
        <v>48</v>
      </c>
      <c r="BJ24" s="289" t="s">
        <v>48</v>
      </c>
      <c r="BK24" s="289" t="s">
        <v>48</v>
      </c>
    </row>
    <row r="25" spans="1:63" x14ac:dyDescent="0.25">
      <c r="A25" s="283" t="s">
        <v>326</v>
      </c>
      <c r="B25" s="291" t="s">
        <v>48</v>
      </c>
      <c r="C25" s="291" t="s">
        <v>48</v>
      </c>
      <c r="D25" s="291">
        <v>15</v>
      </c>
      <c r="E25" s="291" t="s">
        <v>48</v>
      </c>
      <c r="F25" s="289">
        <v>15</v>
      </c>
      <c r="G25" s="291">
        <v>15</v>
      </c>
      <c r="H25" s="291">
        <v>12</v>
      </c>
      <c r="I25" s="291" t="s">
        <v>48</v>
      </c>
      <c r="J25" s="292">
        <v>12</v>
      </c>
      <c r="K25" s="292">
        <v>20</v>
      </c>
      <c r="L25" s="292">
        <v>15</v>
      </c>
      <c r="M25" s="291" t="s">
        <v>48</v>
      </c>
      <c r="N25" s="371">
        <v>9</v>
      </c>
      <c r="O25" s="431">
        <v>28</v>
      </c>
      <c r="P25" s="291" t="s">
        <v>48</v>
      </c>
      <c r="Q25" s="291" t="s">
        <v>48</v>
      </c>
      <c r="R25" s="286">
        <f t="shared" si="0"/>
        <v>141</v>
      </c>
      <c r="S25" s="294" t="s">
        <v>311</v>
      </c>
      <c r="T25" s="289" t="s">
        <v>48</v>
      </c>
      <c r="U25" s="289" t="s">
        <v>48</v>
      </c>
      <c r="V25" s="289" t="s">
        <v>48</v>
      </c>
      <c r="W25" s="289" t="s">
        <v>48</v>
      </c>
      <c r="X25" s="289" t="s">
        <v>48</v>
      </c>
      <c r="Y25" s="289" t="s">
        <v>48</v>
      </c>
      <c r="Z25" s="289" t="s">
        <v>48</v>
      </c>
      <c r="AA25" s="289" t="s">
        <v>48</v>
      </c>
      <c r="AB25" s="289" t="s">
        <v>48</v>
      </c>
      <c r="AC25" s="289" t="s">
        <v>48</v>
      </c>
      <c r="AD25" s="289" t="s">
        <v>48</v>
      </c>
      <c r="AE25" s="289" t="s">
        <v>48</v>
      </c>
      <c r="AF25" s="270"/>
      <c r="AG25" s="283" t="s">
        <v>326</v>
      </c>
      <c r="AH25" s="291" t="s">
        <v>48</v>
      </c>
      <c r="AI25" s="291" t="s">
        <v>48</v>
      </c>
      <c r="AJ25" s="291" t="s">
        <v>48</v>
      </c>
      <c r="AK25" s="291" t="s">
        <v>48</v>
      </c>
      <c r="AL25" s="291" t="s">
        <v>48</v>
      </c>
      <c r="AM25" s="291" t="s">
        <v>48</v>
      </c>
      <c r="AN25" s="291" t="s">
        <v>48</v>
      </c>
      <c r="AO25" s="291" t="s">
        <v>48</v>
      </c>
      <c r="AP25" s="291" t="s">
        <v>48</v>
      </c>
      <c r="AQ25" s="291" t="s">
        <v>48</v>
      </c>
      <c r="AR25" s="291" t="s">
        <v>48</v>
      </c>
      <c r="AS25" s="291" t="s">
        <v>48</v>
      </c>
      <c r="AT25" s="291" t="s">
        <v>48</v>
      </c>
      <c r="AU25" s="291" t="s">
        <v>48</v>
      </c>
      <c r="AV25" s="291" t="s">
        <v>48</v>
      </c>
      <c r="AW25" s="291" t="s">
        <v>48</v>
      </c>
      <c r="AX25" s="293">
        <v>0</v>
      </c>
      <c r="AY25" s="294" t="s">
        <v>312</v>
      </c>
      <c r="AZ25" s="289" t="s">
        <v>48</v>
      </c>
      <c r="BA25" s="289" t="s">
        <v>48</v>
      </c>
      <c r="BB25" s="289" t="s">
        <v>48</v>
      </c>
      <c r="BC25" s="289" t="s">
        <v>48</v>
      </c>
      <c r="BD25" s="289" t="s">
        <v>48</v>
      </c>
      <c r="BE25" s="289" t="s">
        <v>48</v>
      </c>
      <c r="BF25" s="289" t="s">
        <v>48</v>
      </c>
      <c r="BG25" s="289" t="s">
        <v>48</v>
      </c>
      <c r="BH25" s="289" t="s">
        <v>48</v>
      </c>
      <c r="BI25" s="289" t="s">
        <v>48</v>
      </c>
      <c r="BJ25" s="289" t="s">
        <v>48</v>
      </c>
      <c r="BK25" s="289" t="s">
        <v>48</v>
      </c>
    </row>
    <row r="26" spans="1:63" x14ac:dyDescent="0.25">
      <c r="A26" s="283" t="s">
        <v>327</v>
      </c>
      <c r="B26" s="291" t="s">
        <v>48</v>
      </c>
      <c r="C26" s="291" t="s">
        <v>48</v>
      </c>
      <c r="D26" s="291">
        <v>24</v>
      </c>
      <c r="E26" s="291" t="s">
        <v>48</v>
      </c>
      <c r="F26" s="291" t="s">
        <v>48</v>
      </c>
      <c r="G26" s="291">
        <v>20</v>
      </c>
      <c r="H26" s="291">
        <v>15</v>
      </c>
      <c r="I26" s="291" t="s">
        <v>48</v>
      </c>
      <c r="J26" s="292" t="s">
        <v>48</v>
      </c>
      <c r="K26" s="292">
        <v>19</v>
      </c>
      <c r="L26" s="292">
        <v>5</v>
      </c>
      <c r="M26" s="291" t="s">
        <v>48</v>
      </c>
      <c r="N26" s="371">
        <v>8</v>
      </c>
      <c r="O26" s="431">
        <v>3</v>
      </c>
      <c r="P26" s="291" t="s">
        <v>48</v>
      </c>
      <c r="Q26" s="291" t="s">
        <v>48</v>
      </c>
      <c r="R26" s="286">
        <f t="shared" si="0"/>
        <v>94</v>
      </c>
      <c r="S26" s="294" t="s">
        <v>311</v>
      </c>
      <c r="T26" s="289" t="s">
        <v>48</v>
      </c>
      <c r="U26" s="289" t="s">
        <v>48</v>
      </c>
      <c r="V26" s="289" t="s">
        <v>48</v>
      </c>
      <c r="W26" s="289" t="s">
        <v>48</v>
      </c>
      <c r="X26" s="289" t="s">
        <v>48</v>
      </c>
      <c r="Y26" s="289" t="s">
        <v>48</v>
      </c>
      <c r="Z26" s="289" t="s">
        <v>48</v>
      </c>
      <c r="AA26" s="289" t="s">
        <v>48</v>
      </c>
      <c r="AB26" s="289" t="s">
        <v>48</v>
      </c>
      <c r="AC26" s="289" t="s">
        <v>48</v>
      </c>
      <c r="AD26" s="289" t="s">
        <v>48</v>
      </c>
      <c r="AE26" s="289" t="s">
        <v>48</v>
      </c>
      <c r="AF26" s="270"/>
      <c r="AG26" s="283" t="s">
        <v>327</v>
      </c>
      <c r="AH26" s="291" t="s">
        <v>48</v>
      </c>
      <c r="AI26" s="291" t="s">
        <v>48</v>
      </c>
      <c r="AJ26" s="291" t="s">
        <v>48</v>
      </c>
      <c r="AK26" s="291" t="s">
        <v>48</v>
      </c>
      <c r="AL26" s="291" t="s">
        <v>48</v>
      </c>
      <c r="AM26" s="291" t="s">
        <v>48</v>
      </c>
      <c r="AN26" s="291" t="s">
        <v>48</v>
      </c>
      <c r="AO26" s="291" t="s">
        <v>48</v>
      </c>
      <c r="AP26" s="291" t="s">
        <v>48</v>
      </c>
      <c r="AQ26" s="291" t="s">
        <v>48</v>
      </c>
      <c r="AR26" s="291" t="s">
        <v>48</v>
      </c>
      <c r="AS26" s="291" t="s">
        <v>48</v>
      </c>
      <c r="AT26" s="291" t="s">
        <v>48</v>
      </c>
      <c r="AU26" s="291" t="s">
        <v>48</v>
      </c>
      <c r="AV26" s="291" t="s">
        <v>48</v>
      </c>
      <c r="AW26" s="291" t="s">
        <v>48</v>
      </c>
      <c r="AX26" s="293">
        <v>0</v>
      </c>
      <c r="AY26" s="294" t="s">
        <v>312</v>
      </c>
      <c r="AZ26" s="289" t="s">
        <v>48</v>
      </c>
      <c r="BA26" s="289" t="s">
        <v>48</v>
      </c>
      <c r="BB26" s="289" t="s">
        <v>48</v>
      </c>
      <c r="BC26" s="289" t="s">
        <v>48</v>
      </c>
      <c r="BD26" s="289" t="s">
        <v>48</v>
      </c>
      <c r="BE26" s="289" t="s">
        <v>48</v>
      </c>
      <c r="BF26" s="289" t="s">
        <v>48</v>
      </c>
      <c r="BG26" s="289" t="s">
        <v>48</v>
      </c>
      <c r="BH26" s="289" t="s">
        <v>48</v>
      </c>
      <c r="BI26" s="289" t="s">
        <v>48</v>
      </c>
      <c r="BJ26" s="289" t="s">
        <v>48</v>
      </c>
      <c r="BK26" s="289" t="s">
        <v>48</v>
      </c>
    </row>
    <row r="27" spans="1:63" x14ac:dyDescent="0.25">
      <c r="A27" s="283" t="s">
        <v>328</v>
      </c>
      <c r="B27" s="291" t="s">
        <v>48</v>
      </c>
      <c r="C27" s="291" t="s">
        <v>48</v>
      </c>
      <c r="D27" s="291" t="s">
        <v>48</v>
      </c>
      <c r="E27" s="291" t="s">
        <v>48</v>
      </c>
      <c r="F27" s="291" t="s">
        <v>48</v>
      </c>
      <c r="G27" s="291">
        <v>59</v>
      </c>
      <c r="H27" s="291">
        <v>17</v>
      </c>
      <c r="I27" s="291" t="s">
        <v>48</v>
      </c>
      <c r="J27" s="292">
        <v>9</v>
      </c>
      <c r="K27" s="292">
        <v>25</v>
      </c>
      <c r="L27" s="292">
        <v>26</v>
      </c>
      <c r="M27" s="291" t="s">
        <v>48</v>
      </c>
      <c r="N27" s="370">
        <v>20</v>
      </c>
      <c r="O27" s="431">
        <v>31</v>
      </c>
      <c r="P27" s="291" t="s">
        <v>48</v>
      </c>
      <c r="Q27" s="291" t="s">
        <v>48</v>
      </c>
      <c r="R27" s="286">
        <f t="shared" si="0"/>
        <v>187</v>
      </c>
      <c r="S27" s="294" t="s">
        <v>311</v>
      </c>
      <c r="T27" s="289" t="s">
        <v>48</v>
      </c>
      <c r="U27" s="289" t="s">
        <v>48</v>
      </c>
      <c r="V27" s="289" t="s">
        <v>48</v>
      </c>
      <c r="W27" s="289" t="s">
        <v>48</v>
      </c>
      <c r="X27" s="289" t="s">
        <v>48</v>
      </c>
      <c r="Y27" s="289" t="s">
        <v>48</v>
      </c>
      <c r="Z27" s="289" t="s">
        <v>48</v>
      </c>
      <c r="AA27" s="289" t="s">
        <v>48</v>
      </c>
      <c r="AB27" s="289" t="s">
        <v>48</v>
      </c>
      <c r="AC27" s="289" t="s">
        <v>48</v>
      </c>
      <c r="AD27" s="289" t="s">
        <v>48</v>
      </c>
      <c r="AE27" s="289" t="s">
        <v>48</v>
      </c>
      <c r="AF27" s="270"/>
      <c r="AG27" s="283" t="s">
        <v>328</v>
      </c>
      <c r="AH27" s="291" t="s">
        <v>48</v>
      </c>
      <c r="AI27" s="291" t="s">
        <v>48</v>
      </c>
      <c r="AJ27" s="291" t="s">
        <v>48</v>
      </c>
      <c r="AK27" s="291" t="s">
        <v>48</v>
      </c>
      <c r="AL27" s="291" t="s">
        <v>48</v>
      </c>
      <c r="AM27" s="291" t="s">
        <v>48</v>
      </c>
      <c r="AN27" s="291" t="s">
        <v>48</v>
      </c>
      <c r="AO27" s="291" t="s">
        <v>48</v>
      </c>
      <c r="AP27" s="291" t="s">
        <v>48</v>
      </c>
      <c r="AQ27" s="291" t="s">
        <v>48</v>
      </c>
      <c r="AR27" s="291" t="s">
        <v>48</v>
      </c>
      <c r="AS27" s="291" t="s">
        <v>48</v>
      </c>
      <c r="AT27" s="291" t="s">
        <v>48</v>
      </c>
      <c r="AU27" s="291" t="s">
        <v>48</v>
      </c>
      <c r="AV27" s="291" t="s">
        <v>48</v>
      </c>
      <c r="AW27" s="291" t="s">
        <v>48</v>
      </c>
      <c r="AX27" s="293">
        <v>0</v>
      </c>
      <c r="AY27" s="294" t="s">
        <v>312</v>
      </c>
      <c r="AZ27" s="289" t="s">
        <v>48</v>
      </c>
      <c r="BA27" s="289" t="s">
        <v>48</v>
      </c>
      <c r="BB27" s="289" t="s">
        <v>48</v>
      </c>
      <c r="BC27" s="289" t="s">
        <v>48</v>
      </c>
      <c r="BD27" s="289" t="s">
        <v>48</v>
      </c>
      <c r="BE27" s="289" t="s">
        <v>48</v>
      </c>
      <c r="BF27" s="289" t="s">
        <v>48</v>
      </c>
      <c r="BG27" s="289" t="s">
        <v>48</v>
      </c>
      <c r="BH27" s="289" t="s">
        <v>48</v>
      </c>
      <c r="BI27" s="289" t="s">
        <v>48</v>
      </c>
      <c r="BJ27" s="289" t="s">
        <v>48</v>
      </c>
      <c r="BK27" s="289" t="s">
        <v>48</v>
      </c>
    </row>
    <row r="28" spans="1:63" x14ac:dyDescent="0.25">
      <c r="A28" s="283" t="s">
        <v>329</v>
      </c>
      <c r="B28" s="291" t="s">
        <v>48</v>
      </c>
      <c r="C28" s="291" t="s">
        <v>48</v>
      </c>
      <c r="D28" s="291">
        <v>6</v>
      </c>
      <c r="E28" s="291" t="s">
        <v>48</v>
      </c>
      <c r="F28" s="291" t="s">
        <v>48</v>
      </c>
      <c r="G28" s="291">
        <v>13</v>
      </c>
      <c r="H28" s="291" t="s">
        <v>48</v>
      </c>
      <c r="I28" s="291" t="s">
        <v>48</v>
      </c>
      <c r="J28" s="292">
        <v>14</v>
      </c>
      <c r="K28" s="292" t="s">
        <v>48</v>
      </c>
      <c r="L28" s="292" t="s">
        <v>48</v>
      </c>
      <c r="M28" s="291" t="s">
        <v>48</v>
      </c>
      <c r="N28" s="371">
        <v>9</v>
      </c>
      <c r="O28" s="431">
        <v>16</v>
      </c>
      <c r="P28" s="291" t="s">
        <v>48</v>
      </c>
      <c r="Q28" s="291" t="s">
        <v>48</v>
      </c>
      <c r="R28" s="286">
        <f t="shared" si="0"/>
        <v>58</v>
      </c>
      <c r="S28" s="294" t="s">
        <v>311</v>
      </c>
      <c r="T28" s="289" t="s">
        <v>48</v>
      </c>
      <c r="U28" s="289" t="s">
        <v>48</v>
      </c>
      <c r="V28" s="289" t="s">
        <v>48</v>
      </c>
      <c r="W28" s="289" t="s">
        <v>48</v>
      </c>
      <c r="X28" s="289" t="s">
        <v>48</v>
      </c>
      <c r="Y28" s="289" t="s">
        <v>48</v>
      </c>
      <c r="Z28" s="289" t="s">
        <v>48</v>
      </c>
      <c r="AA28" s="289" t="s">
        <v>48</v>
      </c>
      <c r="AB28" s="289" t="s">
        <v>48</v>
      </c>
      <c r="AC28" s="289" t="s">
        <v>48</v>
      </c>
      <c r="AD28" s="289" t="s">
        <v>48</v>
      </c>
      <c r="AE28" s="289" t="s">
        <v>48</v>
      </c>
      <c r="AF28" s="270"/>
      <c r="AG28" s="283" t="s">
        <v>329</v>
      </c>
      <c r="AH28" s="291" t="s">
        <v>48</v>
      </c>
      <c r="AI28" s="291" t="s">
        <v>48</v>
      </c>
      <c r="AJ28" s="291" t="s">
        <v>48</v>
      </c>
      <c r="AK28" s="291" t="s">
        <v>48</v>
      </c>
      <c r="AL28" s="291" t="s">
        <v>48</v>
      </c>
      <c r="AM28" s="291" t="s">
        <v>48</v>
      </c>
      <c r="AN28" s="291" t="s">
        <v>48</v>
      </c>
      <c r="AO28" s="291" t="s">
        <v>48</v>
      </c>
      <c r="AP28" s="291" t="s">
        <v>48</v>
      </c>
      <c r="AQ28" s="291" t="s">
        <v>48</v>
      </c>
      <c r="AR28" s="291" t="s">
        <v>48</v>
      </c>
      <c r="AS28" s="291" t="s">
        <v>48</v>
      </c>
      <c r="AT28" s="291" t="s">
        <v>48</v>
      </c>
      <c r="AU28" s="291" t="s">
        <v>48</v>
      </c>
      <c r="AV28" s="291" t="s">
        <v>48</v>
      </c>
      <c r="AW28" s="291" t="s">
        <v>48</v>
      </c>
      <c r="AX28" s="293">
        <v>0</v>
      </c>
      <c r="AY28" s="294" t="s">
        <v>312</v>
      </c>
      <c r="AZ28" s="289" t="s">
        <v>48</v>
      </c>
      <c r="BA28" s="289" t="s">
        <v>48</v>
      </c>
      <c r="BB28" s="289" t="s">
        <v>48</v>
      </c>
      <c r="BC28" s="289" t="s">
        <v>48</v>
      </c>
      <c r="BD28" s="289" t="s">
        <v>48</v>
      </c>
      <c r="BE28" s="289" t="s">
        <v>48</v>
      </c>
      <c r="BF28" s="289" t="s">
        <v>48</v>
      </c>
      <c r="BG28" s="289" t="s">
        <v>48</v>
      </c>
      <c r="BH28" s="289" t="s">
        <v>48</v>
      </c>
      <c r="BI28" s="289" t="s">
        <v>48</v>
      </c>
      <c r="BJ28" s="289" t="s">
        <v>48</v>
      </c>
      <c r="BK28" s="289" t="s">
        <v>48</v>
      </c>
    </row>
    <row r="29" spans="1:63" x14ac:dyDescent="0.25">
      <c r="A29" s="283" t="s">
        <v>330</v>
      </c>
      <c r="B29" s="291" t="s">
        <v>48</v>
      </c>
      <c r="C29" s="291" t="s">
        <v>48</v>
      </c>
      <c r="D29" s="291" t="s">
        <v>48</v>
      </c>
      <c r="E29" s="291" t="s">
        <v>48</v>
      </c>
      <c r="F29" s="291" t="s">
        <v>48</v>
      </c>
      <c r="G29" s="291">
        <v>39</v>
      </c>
      <c r="H29" s="291">
        <v>31</v>
      </c>
      <c r="I29" s="291" t="s">
        <v>48</v>
      </c>
      <c r="J29" s="292" t="s">
        <v>48</v>
      </c>
      <c r="K29" s="292">
        <v>10</v>
      </c>
      <c r="L29" s="292">
        <v>17</v>
      </c>
      <c r="M29" s="291" t="s">
        <v>48</v>
      </c>
      <c r="N29" s="371">
        <v>30</v>
      </c>
      <c r="O29" s="431">
        <v>31</v>
      </c>
      <c r="P29" s="291" t="s">
        <v>48</v>
      </c>
      <c r="Q29" s="291" t="s">
        <v>48</v>
      </c>
      <c r="R29" s="286">
        <f t="shared" si="0"/>
        <v>158</v>
      </c>
      <c r="S29" s="294" t="s">
        <v>311</v>
      </c>
      <c r="T29" s="289" t="s">
        <v>48</v>
      </c>
      <c r="U29" s="289" t="s">
        <v>48</v>
      </c>
      <c r="V29" s="289" t="s">
        <v>48</v>
      </c>
      <c r="W29" s="289" t="s">
        <v>48</v>
      </c>
      <c r="X29" s="289" t="s">
        <v>48</v>
      </c>
      <c r="Y29" s="289" t="s">
        <v>48</v>
      </c>
      <c r="Z29" s="289" t="s">
        <v>48</v>
      </c>
      <c r="AA29" s="289" t="s">
        <v>48</v>
      </c>
      <c r="AB29" s="289" t="s">
        <v>48</v>
      </c>
      <c r="AC29" s="289" t="s">
        <v>48</v>
      </c>
      <c r="AD29" s="289" t="s">
        <v>48</v>
      </c>
      <c r="AE29" s="289" t="s">
        <v>48</v>
      </c>
      <c r="AF29" s="270"/>
      <c r="AG29" s="283" t="s">
        <v>330</v>
      </c>
      <c r="AH29" s="291" t="s">
        <v>48</v>
      </c>
      <c r="AI29" s="291" t="s">
        <v>48</v>
      </c>
      <c r="AJ29" s="291" t="s">
        <v>48</v>
      </c>
      <c r="AK29" s="291" t="s">
        <v>48</v>
      </c>
      <c r="AL29" s="291" t="s">
        <v>48</v>
      </c>
      <c r="AM29" s="291" t="s">
        <v>48</v>
      </c>
      <c r="AN29" s="291" t="s">
        <v>48</v>
      </c>
      <c r="AO29" s="291" t="s">
        <v>48</v>
      </c>
      <c r="AP29" s="291" t="s">
        <v>48</v>
      </c>
      <c r="AQ29" s="291" t="s">
        <v>48</v>
      </c>
      <c r="AR29" s="291" t="s">
        <v>48</v>
      </c>
      <c r="AS29" s="291" t="s">
        <v>48</v>
      </c>
      <c r="AT29" s="291" t="s">
        <v>48</v>
      </c>
      <c r="AU29" s="291" t="s">
        <v>48</v>
      </c>
      <c r="AV29" s="291" t="s">
        <v>48</v>
      </c>
      <c r="AW29" s="291" t="s">
        <v>48</v>
      </c>
      <c r="AX29" s="293">
        <v>0</v>
      </c>
      <c r="AY29" s="294" t="s">
        <v>312</v>
      </c>
      <c r="AZ29" s="289" t="s">
        <v>48</v>
      </c>
      <c r="BA29" s="289" t="s">
        <v>48</v>
      </c>
      <c r="BB29" s="289" t="s">
        <v>48</v>
      </c>
      <c r="BC29" s="289" t="s">
        <v>48</v>
      </c>
      <c r="BD29" s="289" t="s">
        <v>48</v>
      </c>
      <c r="BE29" s="289" t="s">
        <v>48</v>
      </c>
      <c r="BF29" s="289" t="s">
        <v>48</v>
      </c>
      <c r="BG29" s="289" t="s">
        <v>48</v>
      </c>
      <c r="BH29" s="289" t="s">
        <v>48</v>
      </c>
      <c r="BI29" s="289" t="s">
        <v>48</v>
      </c>
      <c r="BJ29" s="289" t="s">
        <v>48</v>
      </c>
      <c r="BK29" s="289" t="s">
        <v>48</v>
      </c>
    </row>
    <row r="30" spans="1:63" x14ac:dyDescent="0.25">
      <c r="A30" s="283" t="s">
        <v>331</v>
      </c>
      <c r="B30" s="291" t="s">
        <v>48</v>
      </c>
      <c r="C30" s="291" t="s">
        <v>48</v>
      </c>
      <c r="D30" s="291">
        <v>15</v>
      </c>
      <c r="E30" s="291" t="s">
        <v>48</v>
      </c>
      <c r="F30" s="289">
        <v>17</v>
      </c>
      <c r="G30" s="291">
        <v>29</v>
      </c>
      <c r="H30" s="291">
        <v>40</v>
      </c>
      <c r="I30" s="291" t="s">
        <v>48</v>
      </c>
      <c r="J30" s="292">
        <v>15</v>
      </c>
      <c r="K30" s="292">
        <v>45</v>
      </c>
      <c r="L30" s="292">
        <v>33</v>
      </c>
      <c r="M30" s="291" t="s">
        <v>48</v>
      </c>
      <c r="N30" s="371">
        <f>24+34</f>
        <v>58</v>
      </c>
      <c r="O30" s="431">
        <f>12+50</f>
        <v>62</v>
      </c>
      <c r="P30" s="291" t="s">
        <v>48</v>
      </c>
      <c r="Q30" s="291" t="s">
        <v>48</v>
      </c>
      <c r="R30" s="286">
        <f t="shared" si="0"/>
        <v>314</v>
      </c>
      <c r="S30" s="294" t="s">
        <v>311</v>
      </c>
      <c r="T30" s="289" t="s">
        <v>48</v>
      </c>
      <c r="U30" s="289" t="s">
        <v>48</v>
      </c>
      <c r="V30" s="289" t="s">
        <v>48</v>
      </c>
      <c r="W30" s="289" t="s">
        <v>48</v>
      </c>
      <c r="X30" s="289" t="s">
        <v>48</v>
      </c>
      <c r="Y30" s="289" t="s">
        <v>48</v>
      </c>
      <c r="Z30" s="289" t="s">
        <v>48</v>
      </c>
      <c r="AA30" s="289" t="s">
        <v>48</v>
      </c>
      <c r="AB30" s="289" t="s">
        <v>48</v>
      </c>
      <c r="AC30" s="289" t="s">
        <v>48</v>
      </c>
      <c r="AD30" s="289" t="s">
        <v>48</v>
      </c>
      <c r="AE30" s="289" t="s">
        <v>48</v>
      </c>
      <c r="AF30" s="270"/>
      <c r="AG30" s="283" t="s">
        <v>331</v>
      </c>
      <c r="AH30" s="291" t="s">
        <v>48</v>
      </c>
      <c r="AI30" s="291" t="s">
        <v>48</v>
      </c>
      <c r="AJ30" s="291" t="s">
        <v>48</v>
      </c>
      <c r="AK30" s="291" t="s">
        <v>48</v>
      </c>
      <c r="AL30" s="291" t="s">
        <v>48</v>
      </c>
      <c r="AM30" s="291" t="s">
        <v>48</v>
      </c>
      <c r="AN30" s="291" t="s">
        <v>48</v>
      </c>
      <c r="AO30" s="291" t="s">
        <v>48</v>
      </c>
      <c r="AP30" s="291" t="s">
        <v>48</v>
      </c>
      <c r="AQ30" s="291" t="s">
        <v>48</v>
      </c>
      <c r="AR30" s="291" t="s">
        <v>48</v>
      </c>
      <c r="AS30" s="291" t="s">
        <v>48</v>
      </c>
      <c r="AT30" s="291" t="s">
        <v>48</v>
      </c>
      <c r="AU30" s="291" t="s">
        <v>48</v>
      </c>
      <c r="AV30" s="291" t="s">
        <v>48</v>
      </c>
      <c r="AW30" s="291" t="s">
        <v>48</v>
      </c>
      <c r="AX30" s="293">
        <v>0</v>
      </c>
      <c r="AY30" s="294" t="s">
        <v>312</v>
      </c>
      <c r="AZ30" s="289" t="s">
        <v>48</v>
      </c>
      <c r="BA30" s="289" t="s">
        <v>48</v>
      </c>
      <c r="BB30" s="289" t="s">
        <v>48</v>
      </c>
      <c r="BC30" s="289" t="s">
        <v>48</v>
      </c>
      <c r="BD30" s="289" t="s">
        <v>48</v>
      </c>
      <c r="BE30" s="289" t="s">
        <v>48</v>
      </c>
      <c r="BF30" s="289" t="s">
        <v>48</v>
      </c>
      <c r="BG30" s="289" t="s">
        <v>48</v>
      </c>
      <c r="BH30" s="289" t="s">
        <v>48</v>
      </c>
      <c r="BI30" s="289" t="s">
        <v>48</v>
      </c>
      <c r="BJ30" s="289" t="s">
        <v>48</v>
      </c>
      <c r="BK30" s="289" t="s">
        <v>48</v>
      </c>
    </row>
    <row r="31" spans="1:63" x14ac:dyDescent="0.25">
      <c r="A31" s="283" t="s">
        <v>332</v>
      </c>
      <c r="B31" s="291" t="s">
        <v>48</v>
      </c>
      <c r="C31" s="291" t="s">
        <v>48</v>
      </c>
      <c r="D31" s="291" t="s">
        <v>48</v>
      </c>
      <c r="E31" s="291" t="s">
        <v>48</v>
      </c>
      <c r="F31" s="291" t="s">
        <v>48</v>
      </c>
      <c r="G31" s="291" t="s">
        <v>48</v>
      </c>
      <c r="H31" s="291" t="s">
        <v>48</v>
      </c>
      <c r="I31" s="291" t="s">
        <v>48</v>
      </c>
      <c r="J31" s="292" t="s">
        <v>48</v>
      </c>
      <c r="K31" s="292" t="s">
        <v>48</v>
      </c>
      <c r="L31" s="292" t="s">
        <v>48</v>
      </c>
      <c r="M31" s="291" t="s">
        <v>48</v>
      </c>
      <c r="N31" s="371"/>
      <c r="O31" s="431" t="s">
        <v>48</v>
      </c>
      <c r="P31" s="291" t="s">
        <v>48</v>
      </c>
      <c r="Q31" s="291" t="s">
        <v>48</v>
      </c>
      <c r="R31" s="286">
        <f t="shared" si="0"/>
        <v>0</v>
      </c>
      <c r="S31" s="294" t="s">
        <v>311</v>
      </c>
      <c r="T31" s="289" t="s">
        <v>48</v>
      </c>
      <c r="U31" s="289" t="s">
        <v>48</v>
      </c>
      <c r="V31" s="289" t="s">
        <v>48</v>
      </c>
      <c r="W31" s="289" t="s">
        <v>48</v>
      </c>
      <c r="X31" s="289" t="s">
        <v>48</v>
      </c>
      <c r="Y31" s="289" t="s">
        <v>48</v>
      </c>
      <c r="Z31" s="289" t="s">
        <v>48</v>
      </c>
      <c r="AA31" s="289" t="s">
        <v>48</v>
      </c>
      <c r="AB31" s="289" t="s">
        <v>48</v>
      </c>
      <c r="AC31" s="289" t="s">
        <v>48</v>
      </c>
      <c r="AD31" s="289" t="s">
        <v>48</v>
      </c>
      <c r="AE31" s="289" t="s">
        <v>48</v>
      </c>
      <c r="AF31" s="270"/>
      <c r="AG31" s="283" t="s">
        <v>332</v>
      </c>
      <c r="AH31" s="291" t="s">
        <v>48</v>
      </c>
      <c r="AI31" s="291" t="s">
        <v>48</v>
      </c>
      <c r="AJ31" s="291" t="s">
        <v>48</v>
      </c>
      <c r="AK31" s="291" t="s">
        <v>48</v>
      </c>
      <c r="AL31" s="291" t="s">
        <v>48</v>
      </c>
      <c r="AM31" s="291" t="s">
        <v>48</v>
      </c>
      <c r="AN31" s="291" t="s">
        <v>48</v>
      </c>
      <c r="AO31" s="291" t="s">
        <v>48</v>
      </c>
      <c r="AP31" s="291" t="s">
        <v>48</v>
      </c>
      <c r="AQ31" s="291" t="s">
        <v>48</v>
      </c>
      <c r="AR31" s="291" t="s">
        <v>48</v>
      </c>
      <c r="AS31" s="291" t="s">
        <v>48</v>
      </c>
      <c r="AT31" s="291" t="s">
        <v>48</v>
      </c>
      <c r="AU31" s="291" t="s">
        <v>48</v>
      </c>
      <c r="AV31" s="291" t="s">
        <v>48</v>
      </c>
      <c r="AW31" s="291" t="s">
        <v>48</v>
      </c>
      <c r="AX31" s="293">
        <v>0</v>
      </c>
      <c r="AY31" s="294" t="s">
        <v>312</v>
      </c>
      <c r="AZ31" s="289" t="s">
        <v>48</v>
      </c>
      <c r="BA31" s="289" t="s">
        <v>48</v>
      </c>
      <c r="BB31" s="289" t="s">
        <v>48</v>
      </c>
      <c r="BC31" s="289" t="s">
        <v>48</v>
      </c>
      <c r="BD31" s="289" t="s">
        <v>48</v>
      </c>
      <c r="BE31" s="289" t="s">
        <v>48</v>
      </c>
      <c r="BF31" s="289" t="s">
        <v>48</v>
      </c>
      <c r="BG31" s="289" t="s">
        <v>48</v>
      </c>
      <c r="BH31" s="289" t="s">
        <v>48</v>
      </c>
      <c r="BI31" s="289" t="s">
        <v>48</v>
      </c>
      <c r="BJ31" s="289" t="s">
        <v>48</v>
      </c>
      <c r="BK31" s="289" t="s">
        <v>48</v>
      </c>
    </row>
    <row r="32" spans="1:63" x14ac:dyDescent="0.25">
      <c r="A32" s="295" t="s">
        <v>333</v>
      </c>
      <c r="B32" s="294">
        <v>0</v>
      </c>
      <c r="C32" s="294">
        <v>0</v>
      </c>
      <c r="D32" s="294">
        <f>+SUM(D11:D31)</f>
        <v>220</v>
      </c>
      <c r="E32" s="294" t="s">
        <v>334</v>
      </c>
      <c r="F32" s="294">
        <f>+SUM(F11:F31)</f>
        <v>297</v>
      </c>
      <c r="G32" s="294">
        <f>+SUM(G11:G31)</f>
        <v>596</v>
      </c>
      <c r="H32" s="294">
        <f>+SUM(H11:H31)</f>
        <v>371</v>
      </c>
      <c r="I32" s="294" t="s">
        <v>334</v>
      </c>
      <c r="J32" s="294">
        <f>+SUM(J11:J31)</f>
        <v>218</v>
      </c>
      <c r="K32" s="294">
        <f>+SUM(K11:K31)</f>
        <v>355</v>
      </c>
      <c r="L32" s="294">
        <f>+SUM(L11:L31)</f>
        <v>385</v>
      </c>
      <c r="M32" s="294" t="s">
        <v>334</v>
      </c>
      <c r="N32" s="294">
        <f>+SUM(N11:N31)</f>
        <v>583</v>
      </c>
      <c r="O32" s="294">
        <f>+SUM(O11:O31)</f>
        <v>696</v>
      </c>
      <c r="P32" s="294">
        <v>0</v>
      </c>
      <c r="Q32" s="294" t="s">
        <v>334</v>
      </c>
      <c r="R32" s="294">
        <f>+SUM(R11:R31)</f>
        <v>3721</v>
      </c>
      <c r="S32" s="294" t="s">
        <v>311</v>
      </c>
      <c r="T32" s="294">
        <v>0</v>
      </c>
      <c r="U32" s="294">
        <v>0</v>
      </c>
      <c r="V32" s="294">
        <v>0</v>
      </c>
      <c r="W32" s="294">
        <v>0</v>
      </c>
      <c r="X32" s="294">
        <v>0</v>
      </c>
      <c r="Y32" s="294">
        <v>0</v>
      </c>
      <c r="Z32" s="294">
        <v>0</v>
      </c>
      <c r="AA32" s="294">
        <v>0</v>
      </c>
      <c r="AB32" s="294">
        <v>0</v>
      </c>
      <c r="AC32" s="294">
        <v>0</v>
      </c>
      <c r="AD32" s="294">
        <v>0</v>
      </c>
      <c r="AE32" s="294">
        <v>0</v>
      </c>
      <c r="AF32" s="270"/>
      <c r="AG32" s="295" t="s">
        <v>333</v>
      </c>
      <c r="AH32" s="294">
        <v>0</v>
      </c>
      <c r="AI32" s="294">
        <v>0</v>
      </c>
      <c r="AJ32" s="294">
        <v>0</v>
      </c>
      <c r="AK32" s="294" t="s">
        <v>334</v>
      </c>
      <c r="AL32" s="294">
        <v>0</v>
      </c>
      <c r="AM32" s="294">
        <v>0</v>
      </c>
      <c r="AN32" s="294">
        <v>0</v>
      </c>
      <c r="AO32" s="294" t="s">
        <v>334</v>
      </c>
      <c r="AP32" s="294">
        <v>0</v>
      </c>
      <c r="AQ32" s="294">
        <v>0</v>
      </c>
      <c r="AR32" s="294">
        <v>0</v>
      </c>
      <c r="AS32" s="294" t="s">
        <v>334</v>
      </c>
      <c r="AT32" s="294">
        <v>0</v>
      </c>
      <c r="AU32" s="294">
        <v>0</v>
      </c>
      <c r="AV32" s="294">
        <v>0</v>
      </c>
      <c r="AW32" s="294" t="s">
        <v>334</v>
      </c>
      <c r="AX32" s="296">
        <v>0</v>
      </c>
      <c r="AY32" s="294" t="s">
        <v>312</v>
      </c>
      <c r="AZ32" s="294">
        <v>0</v>
      </c>
      <c r="BA32" s="294">
        <v>0</v>
      </c>
      <c r="BB32" s="294">
        <v>0</v>
      </c>
      <c r="BC32" s="294">
        <v>0</v>
      </c>
      <c r="BD32" s="294">
        <v>0</v>
      </c>
      <c r="BE32" s="294">
        <v>0</v>
      </c>
      <c r="BF32" s="294">
        <v>0</v>
      </c>
      <c r="BG32" s="294">
        <v>0</v>
      </c>
      <c r="BH32" s="294">
        <v>0</v>
      </c>
      <c r="BI32" s="294">
        <v>0</v>
      </c>
      <c r="BJ32" s="294">
        <v>0</v>
      </c>
      <c r="BK32" s="294">
        <v>0</v>
      </c>
    </row>
    <row r="33" spans="1:63" x14ac:dyDescent="0.25">
      <c r="A33" s="270"/>
      <c r="B33" s="270"/>
      <c r="C33" s="270"/>
      <c r="D33" s="270"/>
      <c r="E33" s="270"/>
      <c r="F33" s="270"/>
      <c r="G33" s="270"/>
      <c r="H33" s="270"/>
      <c r="I33" s="270"/>
      <c r="J33" s="270"/>
      <c r="K33" s="270"/>
      <c r="L33" s="270"/>
      <c r="M33" s="270"/>
      <c r="N33" s="270"/>
      <c r="O33" s="270"/>
      <c r="P33" s="270"/>
      <c r="Q33" s="270"/>
      <c r="R33" s="270">
        <v>0</v>
      </c>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row>
    <row r="34" spans="1:63" ht="33.75" customHeight="1" x14ac:dyDescent="0.2">
      <c r="A34" s="297" t="s">
        <v>289</v>
      </c>
      <c r="B34" s="952" t="s">
        <v>48</v>
      </c>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52"/>
      <c r="AU34" s="952"/>
      <c r="AV34" s="952"/>
      <c r="AW34" s="952"/>
      <c r="AX34" s="952"/>
      <c r="AY34" s="952"/>
      <c r="AZ34" s="952"/>
      <c r="BA34" s="952"/>
      <c r="BB34" s="952"/>
      <c r="BC34" s="952"/>
      <c r="BD34" s="952"/>
      <c r="BE34" s="952"/>
      <c r="BF34" s="952"/>
      <c r="BG34" s="952"/>
      <c r="BH34" s="952"/>
      <c r="BI34" s="952"/>
      <c r="BJ34" s="952"/>
      <c r="BK34" s="953"/>
    </row>
    <row r="35" spans="1:63" ht="33.75" customHeight="1" x14ac:dyDescent="0.2">
      <c r="A35" s="276" t="s">
        <v>290</v>
      </c>
      <c r="B35" s="954" t="s">
        <v>335</v>
      </c>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4"/>
      <c r="AY35" s="954"/>
      <c r="AZ35" s="954"/>
      <c r="BA35" s="954"/>
      <c r="BB35" s="954"/>
      <c r="BC35" s="954"/>
      <c r="BD35" s="954"/>
      <c r="BE35" s="954"/>
      <c r="BF35" s="954"/>
      <c r="BG35" s="954"/>
      <c r="BH35" s="954"/>
      <c r="BI35" s="954"/>
      <c r="BJ35" s="954"/>
      <c r="BK35" s="951"/>
    </row>
    <row r="36" spans="1:63" x14ac:dyDescent="0.25">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row>
    <row r="37" spans="1:63" ht="30" customHeight="1" x14ac:dyDescent="0.25">
      <c r="A37" s="948" t="s">
        <v>292</v>
      </c>
      <c r="B37" s="277" t="s">
        <v>30</v>
      </c>
      <c r="C37" s="279" t="s">
        <v>31</v>
      </c>
      <c r="D37" s="950" t="s">
        <v>32</v>
      </c>
      <c r="E37" s="951"/>
      <c r="F37" s="277" t="s">
        <v>33</v>
      </c>
      <c r="G37" s="279" t="s">
        <v>34</v>
      </c>
      <c r="H37" s="950" t="s">
        <v>35</v>
      </c>
      <c r="I37" s="951"/>
      <c r="J37" s="277" t="s">
        <v>36</v>
      </c>
      <c r="K37" s="279" t="s">
        <v>37</v>
      </c>
      <c r="L37" s="950" t="s">
        <v>38</v>
      </c>
      <c r="M37" s="951"/>
      <c r="N37" s="277" t="s">
        <v>39</v>
      </c>
      <c r="O37" s="279" t="s">
        <v>8</v>
      </c>
      <c r="P37" s="950" t="s">
        <v>40</v>
      </c>
      <c r="Q37" s="951"/>
      <c r="R37" s="954" t="s">
        <v>293</v>
      </c>
      <c r="S37" s="951"/>
      <c r="T37" s="954" t="s">
        <v>294</v>
      </c>
      <c r="U37" s="954"/>
      <c r="V37" s="954"/>
      <c r="W37" s="954"/>
      <c r="X37" s="954"/>
      <c r="Y37" s="951"/>
      <c r="Z37" s="954" t="s">
        <v>295</v>
      </c>
      <c r="AA37" s="954"/>
      <c r="AB37" s="954"/>
      <c r="AC37" s="954"/>
      <c r="AD37" s="954"/>
      <c r="AE37" s="951"/>
      <c r="AF37" s="270"/>
      <c r="AG37" s="948" t="s">
        <v>292</v>
      </c>
      <c r="AH37" s="277" t="s">
        <v>30</v>
      </c>
      <c r="AI37" s="279" t="s">
        <v>31</v>
      </c>
      <c r="AJ37" s="950" t="s">
        <v>32</v>
      </c>
      <c r="AK37" s="951"/>
      <c r="AL37" s="277" t="s">
        <v>33</v>
      </c>
      <c r="AM37" s="279" t="s">
        <v>34</v>
      </c>
      <c r="AN37" s="950" t="s">
        <v>35</v>
      </c>
      <c r="AO37" s="951"/>
      <c r="AP37" s="277" t="s">
        <v>36</v>
      </c>
      <c r="AQ37" s="279" t="s">
        <v>37</v>
      </c>
      <c r="AR37" s="950" t="s">
        <v>38</v>
      </c>
      <c r="AS37" s="951"/>
      <c r="AT37" s="277" t="s">
        <v>39</v>
      </c>
      <c r="AU37" s="279" t="s">
        <v>8</v>
      </c>
      <c r="AV37" s="950" t="s">
        <v>40</v>
      </c>
      <c r="AW37" s="951"/>
      <c r="AX37" s="954" t="s">
        <v>293</v>
      </c>
      <c r="AY37" s="951"/>
      <c r="AZ37" s="954" t="s">
        <v>294</v>
      </c>
      <c r="BA37" s="954"/>
      <c r="BB37" s="954"/>
      <c r="BC37" s="954"/>
      <c r="BD37" s="954"/>
      <c r="BE37" s="951"/>
      <c r="BF37" s="954" t="s">
        <v>295</v>
      </c>
      <c r="BG37" s="954"/>
      <c r="BH37" s="954"/>
      <c r="BI37" s="954"/>
      <c r="BJ37" s="954"/>
      <c r="BK37" s="951"/>
    </row>
    <row r="38" spans="1:63" ht="36" customHeight="1" x14ac:dyDescent="0.25">
      <c r="A38" s="949"/>
      <c r="B38" s="280" t="s">
        <v>296</v>
      </c>
      <c r="C38" s="280" t="s">
        <v>296</v>
      </c>
      <c r="D38" s="280" t="s">
        <v>296</v>
      </c>
      <c r="E38" s="280" t="s">
        <v>297</v>
      </c>
      <c r="F38" s="280" t="s">
        <v>296</v>
      </c>
      <c r="G38" s="280" t="s">
        <v>296</v>
      </c>
      <c r="H38" s="280" t="s">
        <v>296</v>
      </c>
      <c r="I38" s="280" t="s">
        <v>297</v>
      </c>
      <c r="J38" s="280" t="s">
        <v>296</v>
      </c>
      <c r="K38" s="280" t="s">
        <v>296</v>
      </c>
      <c r="L38" s="280" t="s">
        <v>296</v>
      </c>
      <c r="M38" s="280" t="s">
        <v>297</v>
      </c>
      <c r="N38" s="280" t="s">
        <v>296</v>
      </c>
      <c r="O38" s="280" t="s">
        <v>296</v>
      </c>
      <c r="P38" s="280" t="s">
        <v>296</v>
      </c>
      <c r="Q38" s="280" t="s">
        <v>297</v>
      </c>
      <c r="R38" s="280" t="s">
        <v>296</v>
      </c>
      <c r="S38" s="280" t="s">
        <v>297</v>
      </c>
      <c r="T38" s="281" t="s">
        <v>298</v>
      </c>
      <c r="U38" s="281" t="s">
        <v>299</v>
      </c>
      <c r="V38" s="281" t="s">
        <v>300</v>
      </c>
      <c r="W38" s="281" t="s">
        <v>301</v>
      </c>
      <c r="X38" s="282" t="s">
        <v>302</v>
      </c>
      <c r="Y38" s="281" t="s">
        <v>303</v>
      </c>
      <c r="Z38" s="280" t="s">
        <v>304</v>
      </c>
      <c r="AA38" s="280" t="s">
        <v>305</v>
      </c>
      <c r="AB38" s="280" t="s">
        <v>306</v>
      </c>
      <c r="AC38" s="280" t="s">
        <v>307</v>
      </c>
      <c r="AD38" s="280" t="s">
        <v>308</v>
      </c>
      <c r="AE38" s="280" t="s">
        <v>309</v>
      </c>
      <c r="AF38" s="270"/>
      <c r="AG38" s="949"/>
      <c r="AH38" s="280" t="s">
        <v>296</v>
      </c>
      <c r="AI38" s="280" t="s">
        <v>296</v>
      </c>
      <c r="AJ38" s="280" t="s">
        <v>296</v>
      </c>
      <c r="AK38" s="280" t="s">
        <v>297</v>
      </c>
      <c r="AL38" s="280" t="s">
        <v>296</v>
      </c>
      <c r="AM38" s="280" t="s">
        <v>296</v>
      </c>
      <c r="AN38" s="280" t="s">
        <v>296</v>
      </c>
      <c r="AO38" s="280" t="s">
        <v>297</v>
      </c>
      <c r="AP38" s="280" t="s">
        <v>296</v>
      </c>
      <c r="AQ38" s="280" t="s">
        <v>296</v>
      </c>
      <c r="AR38" s="280" t="s">
        <v>296</v>
      </c>
      <c r="AS38" s="280" t="s">
        <v>297</v>
      </c>
      <c r="AT38" s="280" t="s">
        <v>296</v>
      </c>
      <c r="AU38" s="280" t="s">
        <v>296</v>
      </c>
      <c r="AV38" s="280" t="s">
        <v>296</v>
      </c>
      <c r="AW38" s="280" t="s">
        <v>297</v>
      </c>
      <c r="AX38" s="280" t="s">
        <v>296</v>
      </c>
      <c r="AY38" s="280" t="s">
        <v>297</v>
      </c>
      <c r="AZ38" s="281" t="s">
        <v>298</v>
      </c>
      <c r="BA38" s="281" t="s">
        <v>299</v>
      </c>
      <c r="BB38" s="281" t="s">
        <v>300</v>
      </c>
      <c r="BC38" s="281" t="s">
        <v>301</v>
      </c>
      <c r="BD38" s="282" t="s">
        <v>302</v>
      </c>
      <c r="BE38" s="281" t="s">
        <v>303</v>
      </c>
      <c r="BF38" s="281" t="s">
        <v>304</v>
      </c>
      <c r="BG38" s="281" t="s">
        <v>305</v>
      </c>
      <c r="BH38" s="281" t="s">
        <v>306</v>
      </c>
      <c r="BI38" s="281" t="s">
        <v>307</v>
      </c>
      <c r="BJ38" s="281" t="s">
        <v>308</v>
      </c>
      <c r="BK38" s="281" t="s">
        <v>309</v>
      </c>
    </row>
    <row r="39" spans="1:63" x14ac:dyDescent="0.25">
      <c r="A39" s="283" t="s">
        <v>310</v>
      </c>
      <c r="B39" s="284" t="s">
        <v>48</v>
      </c>
      <c r="C39" s="284" t="s">
        <v>48</v>
      </c>
      <c r="D39" s="284">
        <v>15</v>
      </c>
      <c r="E39" s="284" t="s">
        <v>48</v>
      </c>
      <c r="F39" s="284">
        <v>34</v>
      </c>
      <c r="G39" s="284">
        <v>12</v>
      </c>
      <c r="H39" s="284">
        <v>16</v>
      </c>
      <c r="I39" s="284" t="s">
        <v>48</v>
      </c>
      <c r="J39" s="285">
        <v>43</v>
      </c>
      <c r="K39" s="285">
        <v>28</v>
      </c>
      <c r="L39" s="325">
        <v>12</v>
      </c>
      <c r="M39" s="284" t="s">
        <v>48</v>
      </c>
      <c r="N39" s="325">
        <v>37</v>
      </c>
      <c r="O39" s="432">
        <v>88</v>
      </c>
      <c r="P39" s="284" t="s">
        <v>48</v>
      </c>
      <c r="Q39" s="284" t="s">
        <v>48</v>
      </c>
      <c r="R39" s="286">
        <f>+SUM(B39:Q39)</f>
        <v>285</v>
      </c>
      <c r="S39" s="287" t="s">
        <v>311</v>
      </c>
      <c r="T39" s="288" t="s">
        <v>48</v>
      </c>
      <c r="U39" s="288" t="s">
        <v>48</v>
      </c>
      <c r="V39" s="288" t="s">
        <v>48</v>
      </c>
      <c r="W39" s="288" t="s">
        <v>48</v>
      </c>
      <c r="X39" s="289" t="s">
        <v>48</v>
      </c>
      <c r="Y39" s="288" t="s">
        <v>48</v>
      </c>
      <c r="Z39" s="288" t="s">
        <v>48</v>
      </c>
      <c r="AA39" s="288" t="s">
        <v>48</v>
      </c>
      <c r="AB39" s="288" t="s">
        <v>48</v>
      </c>
      <c r="AC39" s="288" t="s">
        <v>48</v>
      </c>
      <c r="AD39" s="288" t="s">
        <v>48</v>
      </c>
      <c r="AE39" s="290" t="s">
        <v>48</v>
      </c>
      <c r="AF39" s="270"/>
      <c r="AG39" s="283" t="s">
        <v>310</v>
      </c>
      <c r="AH39" s="284" t="s">
        <v>48</v>
      </c>
      <c r="AI39" s="284" t="s">
        <v>48</v>
      </c>
      <c r="AJ39" s="284" t="s">
        <v>48</v>
      </c>
      <c r="AK39" s="284" t="s">
        <v>48</v>
      </c>
      <c r="AL39" s="284" t="s">
        <v>48</v>
      </c>
      <c r="AM39" s="284" t="s">
        <v>48</v>
      </c>
      <c r="AN39" s="284" t="s">
        <v>48</v>
      </c>
      <c r="AO39" s="284" t="s">
        <v>48</v>
      </c>
      <c r="AP39" s="284" t="s">
        <v>48</v>
      </c>
      <c r="AQ39" s="284" t="s">
        <v>48</v>
      </c>
      <c r="AR39" s="284" t="s">
        <v>48</v>
      </c>
      <c r="AS39" s="284" t="s">
        <v>48</v>
      </c>
      <c r="AT39" s="284" t="s">
        <v>48</v>
      </c>
      <c r="AU39" s="284" t="s">
        <v>48</v>
      </c>
      <c r="AV39" s="284" t="s">
        <v>48</v>
      </c>
      <c r="AW39" s="284" t="s">
        <v>48</v>
      </c>
      <c r="AX39" s="286">
        <v>0</v>
      </c>
      <c r="AY39" s="287" t="s">
        <v>312</v>
      </c>
      <c r="AZ39" s="288" t="s">
        <v>48</v>
      </c>
      <c r="BA39" s="288" t="s">
        <v>48</v>
      </c>
      <c r="BB39" s="288" t="s">
        <v>48</v>
      </c>
      <c r="BC39" s="288" t="s">
        <v>48</v>
      </c>
      <c r="BD39" s="289" t="s">
        <v>48</v>
      </c>
      <c r="BE39" s="288" t="s">
        <v>48</v>
      </c>
      <c r="BF39" s="288" t="s">
        <v>48</v>
      </c>
      <c r="BG39" s="288" t="s">
        <v>48</v>
      </c>
      <c r="BH39" s="288" t="s">
        <v>48</v>
      </c>
      <c r="BI39" s="288" t="s">
        <v>48</v>
      </c>
      <c r="BJ39" s="288" t="s">
        <v>48</v>
      </c>
      <c r="BK39" s="290" t="s">
        <v>48</v>
      </c>
    </row>
    <row r="40" spans="1:63" x14ac:dyDescent="0.25">
      <c r="A40" s="283" t="s">
        <v>313</v>
      </c>
      <c r="B40" s="291" t="s">
        <v>48</v>
      </c>
      <c r="C40" s="291">
        <v>9</v>
      </c>
      <c r="D40" s="291">
        <v>62</v>
      </c>
      <c r="E40" s="291" t="s">
        <v>48</v>
      </c>
      <c r="F40" s="291">
        <v>55</v>
      </c>
      <c r="G40" s="291">
        <v>52</v>
      </c>
      <c r="H40" s="291">
        <v>35</v>
      </c>
      <c r="I40" s="291" t="s">
        <v>48</v>
      </c>
      <c r="J40" s="292">
        <v>17</v>
      </c>
      <c r="K40" s="292">
        <v>35</v>
      </c>
      <c r="L40" s="326">
        <v>74</v>
      </c>
      <c r="M40" s="291" t="s">
        <v>48</v>
      </c>
      <c r="N40" s="419">
        <v>27</v>
      </c>
      <c r="O40" s="431">
        <v>17</v>
      </c>
      <c r="P40" s="291" t="s">
        <v>48</v>
      </c>
      <c r="Q40" s="291" t="s">
        <v>48</v>
      </c>
      <c r="R40" s="286">
        <f t="shared" ref="R40:R59" si="1">+SUM(B40:Q40)</f>
        <v>383</v>
      </c>
      <c r="S40" s="294" t="s">
        <v>311</v>
      </c>
      <c r="T40" s="289" t="s">
        <v>48</v>
      </c>
      <c r="U40" s="289" t="s">
        <v>48</v>
      </c>
      <c r="V40" s="289" t="s">
        <v>48</v>
      </c>
      <c r="W40" s="289" t="s">
        <v>48</v>
      </c>
      <c r="X40" s="289" t="s">
        <v>48</v>
      </c>
      <c r="Y40" s="289" t="s">
        <v>48</v>
      </c>
      <c r="Z40" s="289" t="s">
        <v>48</v>
      </c>
      <c r="AA40" s="289" t="s">
        <v>48</v>
      </c>
      <c r="AB40" s="289" t="s">
        <v>48</v>
      </c>
      <c r="AC40" s="289" t="s">
        <v>48</v>
      </c>
      <c r="AD40" s="289" t="s">
        <v>48</v>
      </c>
      <c r="AE40" s="289" t="s">
        <v>48</v>
      </c>
      <c r="AF40" s="270"/>
      <c r="AG40" s="283" t="s">
        <v>313</v>
      </c>
      <c r="AH40" s="291" t="s">
        <v>48</v>
      </c>
      <c r="AI40" s="291" t="s">
        <v>48</v>
      </c>
      <c r="AJ40" s="291" t="s">
        <v>48</v>
      </c>
      <c r="AK40" s="291" t="s">
        <v>48</v>
      </c>
      <c r="AL40" s="291" t="s">
        <v>48</v>
      </c>
      <c r="AM40" s="291" t="s">
        <v>48</v>
      </c>
      <c r="AN40" s="291" t="s">
        <v>48</v>
      </c>
      <c r="AO40" s="291" t="s">
        <v>48</v>
      </c>
      <c r="AP40" s="291" t="s">
        <v>48</v>
      </c>
      <c r="AQ40" s="291" t="s">
        <v>48</v>
      </c>
      <c r="AR40" s="291" t="s">
        <v>48</v>
      </c>
      <c r="AS40" s="291" t="s">
        <v>48</v>
      </c>
      <c r="AT40" s="291" t="s">
        <v>48</v>
      </c>
      <c r="AU40" s="291" t="s">
        <v>48</v>
      </c>
      <c r="AV40" s="291" t="s">
        <v>48</v>
      </c>
      <c r="AW40" s="291" t="s">
        <v>48</v>
      </c>
      <c r="AX40" s="293">
        <v>0</v>
      </c>
      <c r="AY40" s="294" t="s">
        <v>312</v>
      </c>
      <c r="AZ40" s="289" t="s">
        <v>48</v>
      </c>
      <c r="BA40" s="289" t="s">
        <v>48</v>
      </c>
      <c r="BB40" s="289" t="s">
        <v>48</v>
      </c>
      <c r="BC40" s="289" t="s">
        <v>48</v>
      </c>
      <c r="BD40" s="289" t="s">
        <v>48</v>
      </c>
      <c r="BE40" s="289" t="s">
        <v>48</v>
      </c>
      <c r="BF40" s="289" t="s">
        <v>48</v>
      </c>
      <c r="BG40" s="289" t="s">
        <v>48</v>
      </c>
      <c r="BH40" s="289" t="s">
        <v>48</v>
      </c>
      <c r="BI40" s="289" t="s">
        <v>48</v>
      </c>
      <c r="BJ40" s="289" t="s">
        <v>48</v>
      </c>
      <c r="BK40" s="289" t="s">
        <v>48</v>
      </c>
    </row>
    <row r="41" spans="1:63" x14ac:dyDescent="0.25">
      <c r="A41" s="283" t="s">
        <v>314</v>
      </c>
      <c r="B41" s="291" t="s">
        <v>48</v>
      </c>
      <c r="C41" s="291" t="s">
        <v>48</v>
      </c>
      <c r="D41" s="291">
        <v>41</v>
      </c>
      <c r="E41" s="291" t="s">
        <v>48</v>
      </c>
      <c r="F41" s="291">
        <v>45</v>
      </c>
      <c r="G41" s="291">
        <v>50</v>
      </c>
      <c r="H41" s="291">
        <v>39</v>
      </c>
      <c r="I41" s="291" t="s">
        <v>48</v>
      </c>
      <c r="J41" s="292">
        <v>0</v>
      </c>
      <c r="K41" s="292">
        <v>10</v>
      </c>
      <c r="L41" s="326">
        <v>66</v>
      </c>
      <c r="M41" s="291" t="s">
        <v>48</v>
      </c>
      <c r="N41" s="326">
        <v>19</v>
      </c>
      <c r="O41" s="431">
        <v>130</v>
      </c>
      <c r="P41" s="291" t="s">
        <v>48</v>
      </c>
      <c r="Q41" s="291" t="s">
        <v>48</v>
      </c>
      <c r="R41" s="286">
        <f t="shared" si="1"/>
        <v>400</v>
      </c>
      <c r="S41" s="294" t="s">
        <v>311</v>
      </c>
      <c r="T41" s="289" t="s">
        <v>48</v>
      </c>
      <c r="U41" s="289" t="s">
        <v>48</v>
      </c>
      <c r="V41" s="289" t="s">
        <v>48</v>
      </c>
      <c r="W41" s="289" t="s">
        <v>48</v>
      </c>
      <c r="X41" s="289" t="s">
        <v>48</v>
      </c>
      <c r="Y41" s="289" t="s">
        <v>48</v>
      </c>
      <c r="Z41" s="289" t="s">
        <v>48</v>
      </c>
      <c r="AA41" s="289" t="s">
        <v>48</v>
      </c>
      <c r="AB41" s="289" t="s">
        <v>48</v>
      </c>
      <c r="AC41" s="289" t="s">
        <v>48</v>
      </c>
      <c r="AD41" s="289" t="s">
        <v>48</v>
      </c>
      <c r="AE41" s="289" t="s">
        <v>48</v>
      </c>
      <c r="AF41" s="270"/>
      <c r="AG41" s="283" t="s">
        <v>314</v>
      </c>
      <c r="AH41" s="291" t="s">
        <v>48</v>
      </c>
      <c r="AI41" s="291" t="s">
        <v>48</v>
      </c>
      <c r="AJ41" s="291" t="s">
        <v>48</v>
      </c>
      <c r="AK41" s="291" t="s">
        <v>48</v>
      </c>
      <c r="AL41" s="291" t="s">
        <v>48</v>
      </c>
      <c r="AM41" s="291" t="s">
        <v>48</v>
      </c>
      <c r="AN41" s="291" t="s">
        <v>48</v>
      </c>
      <c r="AO41" s="291" t="s">
        <v>48</v>
      </c>
      <c r="AP41" s="291" t="s">
        <v>48</v>
      </c>
      <c r="AQ41" s="291" t="s">
        <v>48</v>
      </c>
      <c r="AR41" s="291" t="s">
        <v>48</v>
      </c>
      <c r="AS41" s="291" t="s">
        <v>48</v>
      </c>
      <c r="AT41" s="291" t="s">
        <v>48</v>
      </c>
      <c r="AU41" s="291" t="s">
        <v>48</v>
      </c>
      <c r="AV41" s="291" t="s">
        <v>48</v>
      </c>
      <c r="AW41" s="291" t="s">
        <v>48</v>
      </c>
      <c r="AX41" s="293">
        <v>0</v>
      </c>
      <c r="AY41" s="294" t="s">
        <v>312</v>
      </c>
      <c r="AZ41" s="289" t="s">
        <v>48</v>
      </c>
      <c r="BA41" s="289" t="s">
        <v>48</v>
      </c>
      <c r="BB41" s="289" t="s">
        <v>48</v>
      </c>
      <c r="BC41" s="289" t="s">
        <v>48</v>
      </c>
      <c r="BD41" s="289" t="s">
        <v>48</v>
      </c>
      <c r="BE41" s="289" t="s">
        <v>48</v>
      </c>
      <c r="BF41" s="289" t="s">
        <v>48</v>
      </c>
      <c r="BG41" s="289" t="s">
        <v>48</v>
      </c>
      <c r="BH41" s="289" t="s">
        <v>48</v>
      </c>
      <c r="BI41" s="289" t="s">
        <v>48</v>
      </c>
      <c r="BJ41" s="289" t="s">
        <v>48</v>
      </c>
      <c r="BK41" s="289" t="s">
        <v>48</v>
      </c>
    </row>
    <row r="42" spans="1:63" x14ac:dyDescent="0.25">
      <c r="A42" s="283" t="s">
        <v>315</v>
      </c>
      <c r="B42" s="291" t="s">
        <v>48</v>
      </c>
      <c r="C42" s="291" t="s">
        <v>48</v>
      </c>
      <c r="D42" s="291">
        <v>8</v>
      </c>
      <c r="E42" s="291" t="s">
        <v>48</v>
      </c>
      <c r="F42" s="291">
        <v>43</v>
      </c>
      <c r="G42" s="291">
        <v>10</v>
      </c>
      <c r="H42" s="291">
        <v>9</v>
      </c>
      <c r="I42" s="291" t="s">
        <v>48</v>
      </c>
      <c r="J42" s="292">
        <v>57</v>
      </c>
      <c r="K42" s="292">
        <v>23</v>
      </c>
      <c r="L42" s="326">
        <v>56</v>
      </c>
      <c r="M42" s="291" t="s">
        <v>48</v>
      </c>
      <c r="N42" s="326">
        <v>44</v>
      </c>
      <c r="O42" s="431">
        <v>14</v>
      </c>
      <c r="P42" s="291" t="s">
        <v>48</v>
      </c>
      <c r="Q42" s="291" t="s">
        <v>48</v>
      </c>
      <c r="R42" s="286">
        <f t="shared" si="1"/>
        <v>264</v>
      </c>
      <c r="S42" s="294" t="s">
        <v>311</v>
      </c>
      <c r="T42" s="289" t="s">
        <v>48</v>
      </c>
      <c r="U42" s="289" t="s">
        <v>48</v>
      </c>
      <c r="V42" s="289" t="s">
        <v>48</v>
      </c>
      <c r="W42" s="289" t="s">
        <v>48</v>
      </c>
      <c r="X42" s="289" t="s">
        <v>48</v>
      </c>
      <c r="Y42" s="289" t="s">
        <v>48</v>
      </c>
      <c r="Z42" s="289" t="s">
        <v>48</v>
      </c>
      <c r="AA42" s="289" t="s">
        <v>48</v>
      </c>
      <c r="AB42" s="289" t="s">
        <v>48</v>
      </c>
      <c r="AC42" s="289" t="s">
        <v>48</v>
      </c>
      <c r="AD42" s="289" t="s">
        <v>48</v>
      </c>
      <c r="AE42" s="289" t="s">
        <v>48</v>
      </c>
      <c r="AF42" s="270"/>
      <c r="AG42" s="283" t="s">
        <v>315</v>
      </c>
      <c r="AH42" s="291" t="s">
        <v>48</v>
      </c>
      <c r="AI42" s="291" t="s">
        <v>48</v>
      </c>
      <c r="AJ42" s="291" t="s">
        <v>48</v>
      </c>
      <c r="AK42" s="291" t="s">
        <v>48</v>
      </c>
      <c r="AL42" s="291" t="s">
        <v>48</v>
      </c>
      <c r="AM42" s="291" t="s">
        <v>48</v>
      </c>
      <c r="AN42" s="291" t="s">
        <v>48</v>
      </c>
      <c r="AO42" s="291" t="s">
        <v>48</v>
      </c>
      <c r="AP42" s="291" t="s">
        <v>48</v>
      </c>
      <c r="AQ42" s="291" t="s">
        <v>48</v>
      </c>
      <c r="AR42" s="291" t="s">
        <v>48</v>
      </c>
      <c r="AS42" s="291" t="s">
        <v>48</v>
      </c>
      <c r="AT42" s="291" t="s">
        <v>48</v>
      </c>
      <c r="AU42" s="291" t="s">
        <v>48</v>
      </c>
      <c r="AV42" s="291" t="s">
        <v>48</v>
      </c>
      <c r="AW42" s="291" t="s">
        <v>48</v>
      </c>
      <c r="AX42" s="293">
        <v>0</v>
      </c>
      <c r="AY42" s="294" t="s">
        <v>312</v>
      </c>
      <c r="AZ42" s="289" t="s">
        <v>48</v>
      </c>
      <c r="BA42" s="289" t="s">
        <v>48</v>
      </c>
      <c r="BB42" s="289" t="s">
        <v>48</v>
      </c>
      <c r="BC42" s="289" t="s">
        <v>48</v>
      </c>
      <c r="BD42" s="289" t="s">
        <v>48</v>
      </c>
      <c r="BE42" s="289" t="s">
        <v>48</v>
      </c>
      <c r="BF42" s="289" t="s">
        <v>48</v>
      </c>
      <c r="BG42" s="289" t="s">
        <v>48</v>
      </c>
      <c r="BH42" s="289" t="s">
        <v>48</v>
      </c>
      <c r="BI42" s="289" t="s">
        <v>48</v>
      </c>
      <c r="BJ42" s="289" t="s">
        <v>48</v>
      </c>
      <c r="BK42" s="289" t="s">
        <v>48</v>
      </c>
    </row>
    <row r="43" spans="1:63" x14ac:dyDescent="0.25">
      <c r="A43" s="283" t="s">
        <v>316</v>
      </c>
      <c r="B43" s="291" t="s">
        <v>48</v>
      </c>
      <c r="C43" s="291" t="s">
        <v>48</v>
      </c>
      <c r="D43" s="291">
        <v>35</v>
      </c>
      <c r="E43" s="291" t="s">
        <v>48</v>
      </c>
      <c r="F43" s="291">
        <v>31</v>
      </c>
      <c r="G43" s="291">
        <v>110</v>
      </c>
      <c r="H43" s="291">
        <v>13</v>
      </c>
      <c r="I43" s="291" t="s">
        <v>48</v>
      </c>
      <c r="J43" s="292">
        <v>47</v>
      </c>
      <c r="K43" s="292">
        <v>5</v>
      </c>
      <c r="L43" s="326">
        <v>12</v>
      </c>
      <c r="M43" s="291" t="s">
        <v>48</v>
      </c>
      <c r="N43" s="419">
        <v>28</v>
      </c>
      <c r="O43" s="431">
        <v>38</v>
      </c>
      <c r="P43" s="291" t="s">
        <v>48</v>
      </c>
      <c r="Q43" s="291" t="s">
        <v>48</v>
      </c>
      <c r="R43" s="286">
        <f t="shared" si="1"/>
        <v>319</v>
      </c>
      <c r="S43" s="294" t="s">
        <v>311</v>
      </c>
      <c r="T43" s="289" t="s">
        <v>48</v>
      </c>
      <c r="U43" s="289" t="s">
        <v>48</v>
      </c>
      <c r="V43" s="289" t="s">
        <v>48</v>
      </c>
      <c r="W43" s="289" t="s">
        <v>48</v>
      </c>
      <c r="X43" s="289" t="s">
        <v>48</v>
      </c>
      <c r="Y43" s="289" t="s">
        <v>48</v>
      </c>
      <c r="Z43" s="289" t="s">
        <v>48</v>
      </c>
      <c r="AA43" s="289" t="s">
        <v>48</v>
      </c>
      <c r="AB43" s="289" t="s">
        <v>48</v>
      </c>
      <c r="AC43" s="289" t="s">
        <v>48</v>
      </c>
      <c r="AD43" s="289" t="s">
        <v>48</v>
      </c>
      <c r="AE43" s="289" t="s">
        <v>48</v>
      </c>
      <c r="AF43" s="270"/>
      <c r="AG43" s="283" t="s">
        <v>316</v>
      </c>
      <c r="AH43" s="291" t="s">
        <v>48</v>
      </c>
      <c r="AI43" s="291" t="s">
        <v>48</v>
      </c>
      <c r="AJ43" s="291" t="s">
        <v>48</v>
      </c>
      <c r="AK43" s="291" t="s">
        <v>48</v>
      </c>
      <c r="AL43" s="291" t="s">
        <v>48</v>
      </c>
      <c r="AM43" s="291" t="s">
        <v>48</v>
      </c>
      <c r="AN43" s="291" t="s">
        <v>48</v>
      </c>
      <c r="AO43" s="291" t="s">
        <v>48</v>
      </c>
      <c r="AP43" s="291" t="s">
        <v>48</v>
      </c>
      <c r="AQ43" s="291" t="s">
        <v>48</v>
      </c>
      <c r="AR43" s="291" t="s">
        <v>48</v>
      </c>
      <c r="AS43" s="291" t="s">
        <v>48</v>
      </c>
      <c r="AT43" s="291" t="s">
        <v>48</v>
      </c>
      <c r="AU43" s="291" t="s">
        <v>48</v>
      </c>
      <c r="AV43" s="291" t="s">
        <v>48</v>
      </c>
      <c r="AW43" s="291" t="s">
        <v>48</v>
      </c>
      <c r="AX43" s="293">
        <v>0</v>
      </c>
      <c r="AY43" s="294" t="s">
        <v>312</v>
      </c>
      <c r="AZ43" s="289" t="s">
        <v>48</v>
      </c>
      <c r="BA43" s="289" t="s">
        <v>48</v>
      </c>
      <c r="BB43" s="289" t="s">
        <v>48</v>
      </c>
      <c r="BC43" s="289" t="s">
        <v>48</v>
      </c>
      <c r="BD43" s="289" t="s">
        <v>48</v>
      </c>
      <c r="BE43" s="289" t="s">
        <v>48</v>
      </c>
      <c r="BF43" s="289" t="s">
        <v>48</v>
      </c>
      <c r="BG43" s="289" t="s">
        <v>48</v>
      </c>
      <c r="BH43" s="289" t="s">
        <v>48</v>
      </c>
      <c r="BI43" s="289" t="s">
        <v>48</v>
      </c>
      <c r="BJ43" s="289" t="s">
        <v>48</v>
      </c>
      <c r="BK43" s="289" t="s">
        <v>48</v>
      </c>
    </row>
    <row r="44" spans="1:63" x14ac:dyDescent="0.25">
      <c r="A44" s="283" t="s">
        <v>317</v>
      </c>
      <c r="B44" s="291" t="s">
        <v>48</v>
      </c>
      <c r="C44" s="291">
        <v>9</v>
      </c>
      <c r="D44" s="291">
        <v>12</v>
      </c>
      <c r="E44" s="291" t="s">
        <v>48</v>
      </c>
      <c r="F44" s="291">
        <v>128</v>
      </c>
      <c r="G44" s="291">
        <v>163</v>
      </c>
      <c r="H44" s="291">
        <v>0</v>
      </c>
      <c r="I44" s="291" t="s">
        <v>48</v>
      </c>
      <c r="J44" s="292">
        <v>28</v>
      </c>
      <c r="K44" s="292">
        <v>0</v>
      </c>
      <c r="L44" s="326">
        <v>22</v>
      </c>
      <c r="M44" s="291" t="s">
        <v>48</v>
      </c>
      <c r="N44" s="326">
        <v>90</v>
      </c>
      <c r="O44" s="431">
        <v>61</v>
      </c>
      <c r="P44" s="291" t="s">
        <v>48</v>
      </c>
      <c r="Q44" s="291" t="s">
        <v>48</v>
      </c>
      <c r="R44" s="286">
        <f t="shared" si="1"/>
        <v>513</v>
      </c>
      <c r="S44" s="294" t="s">
        <v>311</v>
      </c>
      <c r="T44" s="289" t="s">
        <v>48</v>
      </c>
      <c r="U44" s="289" t="s">
        <v>48</v>
      </c>
      <c r="V44" s="289" t="s">
        <v>48</v>
      </c>
      <c r="W44" s="289" t="s">
        <v>48</v>
      </c>
      <c r="X44" s="289" t="s">
        <v>48</v>
      </c>
      <c r="Y44" s="289" t="s">
        <v>48</v>
      </c>
      <c r="Z44" s="289" t="s">
        <v>48</v>
      </c>
      <c r="AA44" s="289" t="s">
        <v>48</v>
      </c>
      <c r="AB44" s="289" t="s">
        <v>48</v>
      </c>
      <c r="AC44" s="289" t="s">
        <v>48</v>
      </c>
      <c r="AD44" s="289" t="s">
        <v>48</v>
      </c>
      <c r="AE44" s="289" t="s">
        <v>48</v>
      </c>
      <c r="AF44" s="270"/>
      <c r="AG44" s="283" t="s">
        <v>317</v>
      </c>
      <c r="AH44" s="291" t="s">
        <v>48</v>
      </c>
      <c r="AI44" s="291" t="s">
        <v>48</v>
      </c>
      <c r="AJ44" s="291" t="s">
        <v>48</v>
      </c>
      <c r="AK44" s="291" t="s">
        <v>48</v>
      </c>
      <c r="AL44" s="291" t="s">
        <v>48</v>
      </c>
      <c r="AM44" s="291" t="s">
        <v>48</v>
      </c>
      <c r="AN44" s="291" t="s">
        <v>48</v>
      </c>
      <c r="AO44" s="291" t="s">
        <v>48</v>
      </c>
      <c r="AP44" s="291" t="s">
        <v>48</v>
      </c>
      <c r="AQ44" s="291" t="s">
        <v>48</v>
      </c>
      <c r="AR44" s="291" t="s">
        <v>48</v>
      </c>
      <c r="AS44" s="291" t="s">
        <v>48</v>
      </c>
      <c r="AT44" s="291" t="s">
        <v>48</v>
      </c>
      <c r="AU44" s="291" t="s">
        <v>48</v>
      </c>
      <c r="AV44" s="291" t="s">
        <v>48</v>
      </c>
      <c r="AW44" s="291" t="s">
        <v>48</v>
      </c>
      <c r="AX44" s="293">
        <v>0</v>
      </c>
      <c r="AY44" s="294" t="s">
        <v>312</v>
      </c>
      <c r="AZ44" s="289" t="s">
        <v>48</v>
      </c>
      <c r="BA44" s="289" t="s">
        <v>48</v>
      </c>
      <c r="BB44" s="289" t="s">
        <v>48</v>
      </c>
      <c r="BC44" s="289" t="s">
        <v>48</v>
      </c>
      <c r="BD44" s="289" t="s">
        <v>48</v>
      </c>
      <c r="BE44" s="289" t="s">
        <v>48</v>
      </c>
      <c r="BF44" s="289" t="s">
        <v>48</v>
      </c>
      <c r="BG44" s="289" t="s">
        <v>48</v>
      </c>
      <c r="BH44" s="289" t="s">
        <v>48</v>
      </c>
      <c r="BI44" s="289" t="s">
        <v>48</v>
      </c>
      <c r="BJ44" s="289" t="s">
        <v>48</v>
      </c>
      <c r="BK44" s="289" t="s">
        <v>48</v>
      </c>
    </row>
    <row r="45" spans="1:63" x14ac:dyDescent="0.25">
      <c r="A45" s="283" t="s">
        <v>318</v>
      </c>
      <c r="B45" s="291" t="s">
        <v>48</v>
      </c>
      <c r="C45" s="291">
        <v>13</v>
      </c>
      <c r="D45" s="291">
        <v>10</v>
      </c>
      <c r="E45" s="291" t="s">
        <v>48</v>
      </c>
      <c r="F45" s="291">
        <v>5</v>
      </c>
      <c r="G45" s="291">
        <v>1</v>
      </c>
      <c r="H45" s="291">
        <v>42</v>
      </c>
      <c r="I45" s="291" t="s">
        <v>48</v>
      </c>
      <c r="J45" s="292">
        <v>13</v>
      </c>
      <c r="K45" s="292">
        <v>31</v>
      </c>
      <c r="L45" s="326">
        <v>26</v>
      </c>
      <c r="M45" s="291" t="s">
        <v>48</v>
      </c>
      <c r="N45" s="326">
        <v>109</v>
      </c>
      <c r="O45" s="431">
        <v>76</v>
      </c>
      <c r="P45" s="291" t="s">
        <v>48</v>
      </c>
      <c r="Q45" s="291" t="s">
        <v>48</v>
      </c>
      <c r="R45" s="286">
        <f t="shared" si="1"/>
        <v>326</v>
      </c>
      <c r="S45" s="294" t="s">
        <v>311</v>
      </c>
      <c r="T45" s="289" t="s">
        <v>48</v>
      </c>
      <c r="U45" s="289" t="s">
        <v>48</v>
      </c>
      <c r="V45" s="289" t="s">
        <v>48</v>
      </c>
      <c r="W45" s="289" t="s">
        <v>48</v>
      </c>
      <c r="X45" s="289" t="s">
        <v>48</v>
      </c>
      <c r="Y45" s="289" t="s">
        <v>48</v>
      </c>
      <c r="Z45" s="289" t="s">
        <v>48</v>
      </c>
      <c r="AA45" s="289" t="s">
        <v>48</v>
      </c>
      <c r="AB45" s="289" t="s">
        <v>48</v>
      </c>
      <c r="AC45" s="289" t="s">
        <v>48</v>
      </c>
      <c r="AD45" s="289" t="s">
        <v>48</v>
      </c>
      <c r="AE45" s="289" t="s">
        <v>48</v>
      </c>
      <c r="AF45" s="270"/>
      <c r="AG45" s="283" t="s">
        <v>318</v>
      </c>
      <c r="AH45" s="291" t="s">
        <v>48</v>
      </c>
      <c r="AI45" s="291" t="s">
        <v>48</v>
      </c>
      <c r="AJ45" s="291" t="s">
        <v>48</v>
      </c>
      <c r="AK45" s="291" t="s">
        <v>48</v>
      </c>
      <c r="AL45" s="291" t="s">
        <v>48</v>
      </c>
      <c r="AM45" s="291" t="s">
        <v>48</v>
      </c>
      <c r="AN45" s="291" t="s">
        <v>48</v>
      </c>
      <c r="AO45" s="291" t="s">
        <v>48</v>
      </c>
      <c r="AP45" s="291" t="s">
        <v>48</v>
      </c>
      <c r="AQ45" s="291" t="s">
        <v>48</v>
      </c>
      <c r="AR45" s="291" t="s">
        <v>48</v>
      </c>
      <c r="AS45" s="291" t="s">
        <v>48</v>
      </c>
      <c r="AT45" s="291" t="s">
        <v>48</v>
      </c>
      <c r="AU45" s="291" t="s">
        <v>48</v>
      </c>
      <c r="AV45" s="291" t="s">
        <v>48</v>
      </c>
      <c r="AW45" s="291" t="s">
        <v>48</v>
      </c>
      <c r="AX45" s="293">
        <v>0</v>
      </c>
      <c r="AY45" s="294" t="s">
        <v>312</v>
      </c>
      <c r="AZ45" s="289" t="s">
        <v>48</v>
      </c>
      <c r="BA45" s="289" t="s">
        <v>48</v>
      </c>
      <c r="BB45" s="289" t="s">
        <v>48</v>
      </c>
      <c r="BC45" s="289" t="s">
        <v>48</v>
      </c>
      <c r="BD45" s="289" t="s">
        <v>48</v>
      </c>
      <c r="BE45" s="289" t="s">
        <v>48</v>
      </c>
      <c r="BF45" s="289" t="s">
        <v>48</v>
      </c>
      <c r="BG45" s="289" t="s">
        <v>48</v>
      </c>
      <c r="BH45" s="289" t="s">
        <v>48</v>
      </c>
      <c r="BI45" s="289" t="s">
        <v>48</v>
      </c>
      <c r="BJ45" s="289" t="s">
        <v>48</v>
      </c>
      <c r="BK45" s="289" t="s">
        <v>48</v>
      </c>
    </row>
    <row r="46" spans="1:63" x14ac:dyDescent="0.25">
      <c r="A46" s="283" t="s">
        <v>319</v>
      </c>
      <c r="B46" s="291" t="s">
        <v>48</v>
      </c>
      <c r="C46" s="291" t="s">
        <v>48</v>
      </c>
      <c r="D46" s="291">
        <v>18</v>
      </c>
      <c r="E46" s="291" t="s">
        <v>48</v>
      </c>
      <c r="F46" s="291">
        <v>50</v>
      </c>
      <c r="G46" s="291">
        <v>73</v>
      </c>
      <c r="H46" s="291">
        <v>22</v>
      </c>
      <c r="I46" s="291" t="s">
        <v>48</v>
      </c>
      <c r="J46" s="292">
        <v>47</v>
      </c>
      <c r="K46" s="292">
        <v>58</v>
      </c>
      <c r="L46" s="326">
        <v>83</v>
      </c>
      <c r="M46" s="291" t="s">
        <v>48</v>
      </c>
      <c r="N46" s="326">
        <v>50</v>
      </c>
      <c r="O46" s="431">
        <v>62</v>
      </c>
      <c r="P46" s="291" t="s">
        <v>48</v>
      </c>
      <c r="Q46" s="291" t="s">
        <v>48</v>
      </c>
      <c r="R46" s="286">
        <f t="shared" si="1"/>
        <v>463</v>
      </c>
      <c r="S46" s="294" t="s">
        <v>311</v>
      </c>
      <c r="T46" s="289" t="s">
        <v>48</v>
      </c>
      <c r="U46" s="289" t="s">
        <v>48</v>
      </c>
      <c r="V46" s="289" t="s">
        <v>48</v>
      </c>
      <c r="W46" s="289" t="s">
        <v>48</v>
      </c>
      <c r="X46" s="289" t="s">
        <v>48</v>
      </c>
      <c r="Y46" s="289" t="s">
        <v>48</v>
      </c>
      <c r="Z46" s="289" t="s">
        <v>48</v>
      </c>
      <c r="AA46" s="289" t="s">
        <v>48</v>
      </c>
      <c r="AB46" s="289" t="s">
        <v>48</v>
      </c>
      <c r="AC46" s="289" t="s">
        <v>48</v>
      </c>
      <c r="AD46" s="289" t="s">
        <v>48</v>
      </c>
      <c r="AE46" s="289" t="s">
        <v>48</v>
      </c>
      <c r="AF46" s="270"/>
      <c r="AG46" s="283" t="s">
        <v>319</v>
      </c>
      <c r="AH46" s="291" t="s">
        <v>48</v>
      </c>
      <c r="AI46" s="291" t="s">
        <v>48</v>
      </c>
      <c r="AJ46" s="291" t="s">
        <v>48</v>
      </c>
      <c r="AK46" s="291" t="s">
        <v>48</v>
      </c>
      <c r="AL46" s="291" t="s">
        <v>48</v>
      </c>
      <c r="AM46" s="291" t="s">
        <v>48</v>
      </c>
      <c r="AN46" s="291" t="s">
        <v>48</v>
      </c>
      <c r="AO46" s="291" t="s">
        <v>48</v>
      </c>
      <c r="AP46" s="291" t="s">
        <v>48</v>
      </c>
      <c r="AQ46" s="291" t="s">
        <v>48</v>
      </c>
      <c r="AR46" s="291" t="s">
        <v>48</v>
      </c>
      <c r="AS46" s="291" t="s">
        <v>48</v>
      </c>
      <c r="AT46" s="291" t="s">
        <v>48</v>
      </c>
      <c r="AU46" s="291" t="s">
        <v>48</v>
      </c>
      <c r="AV46" s="291" t="s">
        <v>48</v>
      </c>
      <c r="AW46" s="291" t="s">
        <v>48</v>
      </c>
      <c r="AX46" s="293">
        <v>0</v>
      </c>
      <c r="AY46" s="294" t="s">
        <v>312</v>
      </c>
      <c r="AZ46" s="289" t="s">
        <v>48</v>
      </c>
      <c r="BA46" s="289" t="s">
        <v>48</v>
      </c>
      <c r="BB46" s="289" t="s">
        <v>48</v>
      </c>
      <c r="BC46" s="289" t="s">
        <v>48</v>
      </c>
      <c r="BD46" s="289" t="s">
        <v>48</v>
      </c>
      <c r="BE46" s="289" t="s">
        <v>48</v>
      </c>
      <c r="BF46" s="289" t="s">
        <v>48</v>
      </c>
      <c r="BG46" s="289" t="s">
        <v>48</v>
      </c>
      <c r="BH46" s="289" t="s">
        <v>48</v>
      </c>
      <c r="BI46" s="289" t="s">
        <v>48</v>
      </c>
      <c r="BJ46" s="289" t="s">
        <v>48</v>
      </c>
      <c r="BK46" s="289" t="s">
        <v>48</v>
      </c>
    </row>
    <row r="47" spans="1:63" x14ac:dyDescent="0.25">
      <c r="A47" s="283" t="s">
        <v>320</v>
      </c>
      <c r="B47" s="291" t="s">
        <v>48</v>
      </c>
      <c r="C47" s="291" t="s">
        <v>48</v>
      </c>
      <c r="D47" s="291">
        <v>22</v>
      </c>
      <c r="E47" s="291" t="s">
        <v>48</v>
      </c>
      <c r="F47" s="291">
        <v>13</v>
      </c>
      <c r="G47" s="291">
        <v>75</v>
      </c>
      <c r="H47" s="291">
        <v>43</v>
      </c>
      <c r="I47" s="291" t="s">
        <v>48</v>
      </c>
      <c r="J47" s="292">
        <v>78</v>
      </c>
      <c r="K47" s="292">
        <v>90</v>
      </c>
      <c r="L47" s="326">
        <v>88</v>
      </c>
      <c r="M47" s="291" t="s">
        <v>48</v>
      </c>
      <c r="N47" s="419">
        <v>96</v>
      </c>
      <c r="O47" s="431">
        <v>81</v>
      </c>
      <c r="P47" s="291" t="s">
        <v>48</v>
      </c>
      <c r="Q47" s="291" t="s">
        <v>48</v>
      </c>
      <c r="R47" s="286">
        <f t="shared" si="1"/>
        <v>586</v>
      </c>
      <c r="S47" s="294" t="s">
        <v>311</v>
      </c>
      <c r="T47" s="289" t="s">
        <v>48</v>
      </c>
      <c r="U47" s="289" t="s">
        <v>48</v>
      </c>
      <c r="V47" s="289" t="s">
        <v>48</v>
      </c>
      <c r="W47" s="289" t="s">
        <v>48</v>
      </c>
      <c r="X47" s="289" t="s">
        <v>48</v>
      </c>
      <c r="Y47" s="289" t="s">
        <v>48</v>
      </c>
      <c r="Z47" s="289" t="s">
        <v>48</v>
      </c>
      <c r="AA47" s="289" t="s">
        <v>48</v>
      </c>
      <c r="AB47" s="289" t="s">
        <v>48</v>
      </c>
      <c r="AC47" s="289" t="s">
        <v>48</v>
      </c>
      <c r="AD47" s="289" t="s">
        <v>48</v>
      </c>
      <c r="AE47" s="289" t="s">
        <v>48</v>
      </c>
      <c r="AF47" s="270"/>
      <c r="AG47" s="283" t="s">
        <v>320</v>
      </c>
      <c r="AH47" s="291" t="s">
        <v>48</v>
      </c>
      <c r="AI47" s="291" t="s">
        <v>48</v>
      </c>
      <c r="AJ47" s="291" t="s">
        <v>48</v>
      </c>
      <c r="AK47" s="291" t="s">
        <v>48</v>
      </c>
      <c r="AL47" s="291" t="s">
        <v>48</v>
      </c>
      <c r="AM47" s="291" t="s">
        <v>48</v>
      </c>
      <c r="AN47" s="291" t="s">
        <v>48</v>
      </c>
      <c r="AO47" s="291" t="s">
        <v>48</v>
      </c>
      <c r="AP47" s="291" t="s">
        <v>48</v>
      </c>
      <c r="AQ47" s="291" t="s">
        <v>48</v>
      </c>
      <c r="AR47" s="291" t="s">
        <v>48</v>
      </c>
      <c r="AS47" s="291" t="s">
        <v>48</v>
      </c>
      <c r="AT47" s="291" t="s">
        <v>48</v>
      </c>
      <c r="AU47" s="291" t="s">
        <v>48</v>
      </c>
      <c r="AV47" s="291" t="s">
        <v>48</v>
      </c>
      <c r="AW47" s="291" t="s">
        <v>48</v>
      </c>
      <c r="AX47" s="293">
        <v>0</v>
      </c>
      <c r="AY47" s="294" t="s">
        <v>312</v>
      </c>
      <c r="AZ47" s="289" t="s">
        <v>48</v>
      </c>
      <c r="BA47" s="289" t="s">
        <v>48</v>
      </c>
      <c r="BB47" s="289" t="s">
        <v>48</v>
      </c>
      <c r="BC47" s="289" t="s">
        <v>48</v>
      </c>
      <c r="BD47" s="289" t="s">
        <v>48</v>
      </c>
      <c r="BE47" s="289" t="s">
        <v>48</v>
      </c>
      <c r="BF47" s="289" t="s">
        <v>48</v>
      </c>
      <c r="BG47" s="289" t="s">
        <v>48</v>
      </c>
      <c r="BH47" s="289" t="s">
        <v>48</v>
      </c>
      <c r="BI47" s="291" t="s">
        <v>48</v>
      </c>
      <c r="BJ47" s="291" t="s">
        <v>48</v>
      </c>
      <c r="BK47" s="291" t="s">
        <v>48</v>
      </c>
    </row>
    <row r="48" spans="1:63" x14ac:dyDescent="0.25">
      <c r="A48" s="283" t="s">
        <v>321</v>
      </c>
      <c r="B48" s="291" t="s">
        <v>48</v>
      </c>
      <c r="C48" s="291">
        <v>64</v>
      </c>
      <c r="D48" s="291">
        <v>34</v>
      </c>
      <c r="E48" s="291" t="s">
        <v>48</v>
      </c>
      <c r="F48" s="291">
        <v>65</v>
      </c>
      <c r="G48" s="291">
        <v>17</v>
      </c>
      <c r="H48" s="291">
        <v>26</v>
      </c>
      <c r="I48" s="291" t="s">
        <v>48</v>
      </c>
      <c r="J48" s="292">
        <v>6</v>
      </c>
      <c r="K48" s="292">
        <v>33</v>
      </c>
      <c r="L48" s="326">
        <v>5</v>
      </c>
      <c r="M48" s="291" t="s">
        <v>48</v>
      </c>
      <c r="N48" s="326">
        <v>4</v>
      </c>
      <c r="O48" s="431">
        <v>10</v>
      </c>
      <c r="P48" s="291" t="s">
        <v>48</v>
      </c>
      <c r="Q48" s="291" t="s">
        <v>48</v>
      </c>
      <c r="R48" s="286">
        <f t="shared" si="1"/>
        <v>264</v>
      </c>
      <c r="S48" s="294" t="s">
        <v>311</v>
      </c>
      <c r="T48" s="289" t="s">
        <v>48</v>
      </c>
      <c r="U48" s="289" t="s">
        <v>48</v>
      </c>
      <c r="V48" s="289" t="s">
        <v>48</v>
      </c>
      <c r="W48" s="289" t="s">
        <v>48</v>
      </c>
      <c r="X48" s="289" t="s">
        <v>48</v>
      </c>
      <c r="Y48" s="289" t="s">
        <v>48</v>
      </c>
      <c r="Z48" s="289" t="s">
        <v>48</v>
      </c>
      <c r="AA48" s="289" t="s">
        <v>48</v>
      </c>
      <c r="AB48" s="289" t="s">
        <v>48</v>
      </c>
      <c r="AC48" s="289" t="s">
        <v>48</v>
      </c>
      <c r="AD48" s="289" t="s">
        <v>48</v>
      </c>
      <c r="AE48" s="289" t="s">
        <v>48</v>
      </c>
      <c r="AF48" s="270"/>
      <c r="AG48" s="283" t="s">
        <v>321</v>
      </c>
      <c r="AH48" s="291" t="s">
        <v>48</v>
      </c>
      <c r="AI48" s="291" t="s">
        <v>48</v>
      </c>
      <c r="AJ48" s="291" t="s">
        <v>48</v>
      </c>
      <c r="AK48" s="291" t="s">
        <v>48</v>
      </c>
      <c r="AL48" s="291" t="s">
        <v>48</v>
      </c>
      <c r="AM48" s="291" t="s">
        <v>48</v>
      </c>
      <c r="AN48" s="291" t="s">
        <v>48</v>
      </c>
      <c r="AO48" s="291" t="s">
        <v>48</v>
      </c>
      <c r="AP48" s="291" t="s">
        <v>48</v>
      </c>
      <c r="AQ48" s="291" t="s">
        <v>48</v>
      </c>
      <c r="AR48" s="291" t="s">
        <v>48</v>
      </c>
      <c r="AS48" s="291" t="s">
        <v>48</v>
      </c>
      <c r="AT48" s="291" t="s">
        <v>48</v>
      </c>
      <c r="AU48" s="291" t="s">
        <v>48</v>
      </c>
      <c r="AV48" s="291" t="s">
        <v>48</v>
      </c>
      <c r="AW48" s="291" t="s">
        <v>48</v>
      </c>
      <c r="AX48" s="293">
        <v>0</v>
      </c>
      <c r="AY48" s="294" t="s">
        <v>312</v>
      </c>
      <c r="AZ48" s="289" t="s">
        <v>48</v>
      </c>
      <c r="BA48" s="289" t="s">
        <v>48</v>
      </c>
      <c r="BB48" s="289" t="s">
        <v>48</v>
      </c>
      <c r="BC48" s="289" t="s">
        <v>48</v>
      </c>
      <c r="BD48" s="289" t="s">
        <v>48</v>
      </c>
      <c r="BE48" s="289" t="s">
        <v>48</v>
      </c>
      <c r="BF48" s="289" t="s">
        <v>48</v>
      </c>
      <c r="BG48" s="289" t="s">
        <v>48</v>
      </c>
      <c r="BH48" s="289" t="s">
        <v>48</v>
      </c>
      <c r="BI48" s="291" t="s">
        <v>48</v>
      </c>
      <c r="BJ48" s="291" t="s">
        <v>48</v>
      </c>
      <c r="BK48" s="291" t="s">
        <v>48</v>
      </c>
    </row>
    <row r="49" spans="1:63" x14ac:dyDescent="0.25">
      <c r="A49" s="283" t="s">
        <v>322</v>
      </c>
      <c r="B49" s="291" t="s">
        <v>48</v>
      </c>
      <c r="C49" s="291">
        <v>10</v>
      </c>
      <c r="D49" s="291">
        <v>120</v>
      </c>
      <c r="E49" s="291" t="s">
        <v>48</v>
      </c>
      <c r="F49" s="291">
        <v>130</v>
      </c>
      <c r="G49" s="291">
        <v>65</v>
      </c>
      <c r="H49" s="291">
        <v>30</v>
      </c>
      <c r="I49" s="291" t="s">
        <v>48</v>
      </c>
      <c r="J49" s="292">
        <v>30</v>
      </c>
      <c r="K49" s="292">
        <v>26</v>
      </c>
      <c r="L49" s="326">
        <v>25</v>
      </c>
      <c r="M49" s="291" t="s">
        <v>48</v>
      </c>
      <c r="N49" s="326">
        <v>32</v>
      </c>
      <c r="O49" s="431">
        <v>84</v>
      </c>
      <c r="P49" s="291" t="s">
        <v>48</v>
      </c>
      <c r="Q49" s="291" t="s">
        <v>48</v>
      </c>
      <c r="R49" s="286">
        <f t="shared" si="1"/>
        <v>552</v>
      </c>
      <c r="S49" s="294" t="s">
        <v>311</v>
      </c>
      <c r="T49" s="289" t="s">
        <v>48</v>
      </c>
      <c r="U49" s="289" t="s">
        <v>48</v>
      </c>
      <c r="V49" s="289" t="s">
        <v>48</v>
      </c>
      <c r="W49" s="289" t="s">
        <v>48</v>
      </c>
      <c r="X49" s="289" t="s">
        <v>48</v>
      </c>
      <c r="Y49" s="289" t="s">
        <v>48</v>
      </c>
      <c r="Z49" s="289" t="s">
        <v>48</v>
      </c>
      <c r="AA49" s="289" t="s">
        <v>48</v>
      </c>
      <c r="AB49" s="289" t="s">
        <v>48</v>
      </c>
      <c r="AC49" s="289" t="s">
        <v>48</v>
      </c>
      <c r="AD49" s="289" t="s">
        <v>48</v>
      </c>
      <c r="AE49" s="289" t="s">
        <v>48</v>
      </c>
      <c r="AF49" s="270"/>
      <c r="AG49" s="283" t="s">
        <v>322</v>
      </c>
      <c r="AH49" s="291" t="s">
        <v>48</v>
      </c>
      <c r="AI49" s="291" t="s">
        <v>48</v>
      </c>
      <c r="AJ49" s="291" t="s">
        <v>48</v>
      </c>
      <c r="AK49" s="291" t="s">
        <v>48</v>
      </c>
      <c r="AL49" s="291" t="s">
        <v>48</v>
      </c>
      <c r="AM49" s="291" t="s">
        <v>48</v>
      </c>
      <c r="AN49" s="291" t="s">
        <v>48</v>
      </c>
      <c r="AO49" s="291" t="s">
        <v>48</v>
      </c>
      <c r="AP49" s="291" t="s">
        <v>48</v>
      </c>
      <c r="AQ49" s="291" t="s">
        <v>48</v>
      </c>
      <c r="AR49" s="291" t="s">
        <v>48</v>
      </c>
      <c r="AS49" s="291" t="s">
        <v>48</v>
      </c>
      <c r="AT49" s="291" t="s">
        <v>48</v>
      </c>
      <c r="AU49" s="291" t="s">
        <v>48</v>
      </c>
      <c r="AV49" s="291" t="s">
        <v>48</v>
      </c>
      <c r="AW49" s="291" t="s">
        <v>48</v>
      </c>
      <c r="AX49" s="293">
        <v>0</v>
      </c>
      <c r="AY49" s="294" t="s">
        <v>312</v>
      </c>
      <c r="AZ49" s="289" t="s">
        <v>48</v>
      </c>
      <c r="BA49" s="289" t="s">
        <v>48</v>
      </c>
      <c r="BB49" s="289" t="s">
        <v>48</v>
      </c>
      <c r="BC49" s="289" t="s">
        <v>48</v>
      </c>
      <c r="BD49" s="289" t="s">
        <v>48</v>
      </c>
      <c r="BE49" s="289" t="s">
        <v>48</v>
      </c>
      <c r="BF49" s="289" t="s">
        <v>48</v>
      </c>
      <c r="BG49" s="289" t="s">
        <v>48</v>
      </c>
      <c r="BH49" s="289" t="s">
        <v>48</v>
      </c>
      <c r="BI49" s="291" t="s">
        <v>48</v>
      </c>
      <c r="BJ49" s="291" t="s">
        <v>48</v>
      </c>
      <c r="BK49" s="291" t="s">
        <v>48</v>
      </c>
    </row>
    <row r="50" spans="1:63" x14ac:dyDescent="0.25">
      <c r="A50" s="283" t="s">
        <v>323</v>
      </c>
      <c r="B50" s="291" t="s">
        <v>48</v>
      </c>
      <c r="C50" s="291">
        <v>9</v>
      </c>
      <c r="D50" s="291">
        <v>48</v>
      </c>
      <c r="E50" s="291" t="s">
        <v>48</v>
      </c>
      <c r="F50" s="291">
        <v>108</v>
      </c>
      <c r="G50" s="291">
        <v>20</v>
      </c>
      <c r="H50" s="291">
        <v>19</v>
      </c>
      <c r="I50" s="291" t="s">
        <v>48</v>
      </c>
      <c r="J50" s="292">
        <v>9</v>
      </c>
      <c r="K50" s="292">
        <v>35</v>
      </c>
      <c r="L50" s="326">
        <v>89</v>
      </c>
      <c r="M50" s="291" t="s">
        <v>48</v>
      </c>
      <c r="N50" s="419">
        <v>59</v>
      </c>
      <c r="O50" s="431">
        <v>35</v>
      </c>
      <c r="P50" s="291" t="s">
        <v>48</v>
      </c>
      <c r="Q50" s="291" t="s">
        <v>48</v>
      </c>
      <c r="R50" s="286">
        <f t="shared" si="1"/>
        <v>431</v>
      </c>
      <c r="S50" s="294" t="s">
        <v>311</v>
      </c>
      <c r="T50" s="289" t="s">
        <v>48</v>
      </c>
      <c r="U50" s="289" t="s">
        <v>48</v>
      </c>
      <c r="V50" s="289" t="s">
        <v>48</v>
      </c>
      <c r="W50" s="289" t="s">
        <v>48</v>
      </c>
      <c r="X50" s="289" t="s">
        <v>48</v>
      </c>
      <c r="Y50" s="289" t="s">
        <v>48</v>
      </c>
      <c r="Z50" s="289" t="s">
        <v>48</v>
      </c>
      <c r="AA50" s="289" t="s">
        <v>48</v>
      </c>
      <c r="AB50" s="289" t="s">
        <v>48</v>
      </c>
      <c r="AC50" s="289" t="s">
        <v>48</v>
      </c>
      <c r="AD50" s="289" t="s">
        <v>48</v>
      </c>
      <c r="AE50" s="289" t="s">
        <v>48</v>
      </c>
      <c r="AF50" s="270"/>
      <c r="AG50" s="283" t="s">
        <v>323</v>
      </c>
      <c r="AH50" s="291" t="s">
        <v>48</v>
      </c>
      <c r="AI50" s="291" t="s">
        <v>48</v>
      </c>
      <c r="AJ50" s="291" t="s">
        <v>48</v>
      </c>
      <c r="AK50" s="291" t="s">
        <v>48</v>
      </c>
      <c r="AL50" s="291" t="s">
        <v>48</v>
      </c>
      <c r="AM50" s="291" t="s">
        <v>48</v>
      </c>
      <c r="AN50" s="291" t="s">
        <v>48</v>
      </c>
      <c r="AO50" s="291" t="s">
        <v>48</v>
      </c>
      <c r="AP50" s="291" t="s">
        <v>48</v>
      </c>
      <c r="AQ50" s="291" t="s">
        <v>48</v>
      </c>
      <c r="AR50" s="291" t="s">
        <v>48</v>
      </c>
      <c r="AS50" s="291" t="s">
        <v>48</v>
      </c>
      <c r="AT50" s="291" t="s">
        <v>48</v>
      </c>
      <c r="AU50" s="291" t="s">
        <v>48</v>
      </c>
      <c r="AV50" s="291" t="s">
        <v>48</v>
      </c>
      <c r="AW50" s="291" t="s">
        <v>48</v>
      </c>
      <c r="AX50" s="293">
        <v>0</v>
      </c>
      <c r="AY50" s="294" t="s">
        <v>312</v>
      </c>
      <c r="AZ50" s="289" t="s">
        <v>48</v>
      </c>
      <c r="BA50" s="289" t="s">
        <v>48</v>
      </c>
      <c r="BB50" s="289" t="s">
        <v>48</v>
      </c>
      <c r="BC50" s="289" t="s">
        <v>48</v>
      </c>
      <c r="BD50" s="289" t="s">
        <v>48</v>
      </c>
      <c r="BE50" s="289" t="s">
        <v>48</v>
      </c>
      <c r="BF50" s="289" t="s">
        <v>48</v>
      </c>
      <c r="BG50" s="289" t="s">
        <v>48</v>
      </c>
      <c r="BH50" s="289" t="s">
        <v>48</v>
      </c>
      <c r="BI50" s="289" t="s">
        <v>48</v>
      </c>
      <c r="BJ50" s="289" t="s">
        <v>48</v>
      </c>
      <c r="BK50" s="289" t="s">
        <v>48</v>
      </c>
    </row>
    <row r="51" spans="1:63" x14ac:dyDescent="0.25">
      <c r="A51" s="283" t="s">
        <v>324</v>
      </c>
      <c r="B51" s="291" t="s">
        <v>48</v>
      </c>
      <c r="C51" s="291" t="s">
        <v>48</v>
      </c>
      <c r="D51" s="291">
        <v>0</v>
      </c>
      <c r="E51" s="291" t="s">
        <v>48</v>
      </c>
      <c r="F51" s="291">
        <v>0</v>
      </c>
      <c r="G51" s="291">
        <v>0</v>
      </c>
      <c r="H51" s="291">
        <v>0</v>
      </c>
      <c r="I51" s="291" t="s">
        <v>48</v>
      </c>
      <c r="J51" s="292">
        <v>41</v>
      </c>
      <c r="K51" s="292">
        <v>65</v>
      </c>
      <c r="L51" s="326">
        <v>38</v>
      </c>
      <c r="M51" s="291" t="s">
        <v>48</v>
      </c>
      <c r="N51" s="326">
        <v>12</v>
      </c>
      <c r="O51" s="431">
        <v>16</v>
      </c>
      <c r="P51" s="291" t="s">
        <v>48</v>
      </c>
      <c r="Q51" s="291" t="s">
        <v>48</v>
      </c>
      <c r="R51" s="286">
        <f t="shared" si="1"/>
        <v>172</v>
      </c>
      <c r="S51" s="294" t="s">
        <v>311</v>
      </c>
      <c r="T51" s="289" t="s">
        <v>48</v>
      </c>
      <c r="U51" s="289" t="s">
        <v>48</v>
      </c>
      <c r="V51" s="289" t="s">
        <v>48</v>
      </c>
      <c r="W51" s="289" t="s">
        <v>48</v>
      </c>
      <c r="X51" s="289" t="s">
        <v>48</v>
      </c>
      <c r="Y51" s="289" t="s">
        <v>48</v>
      </c>
      <c r="Z51" s="289" t="s">
        <v>48</v>
      </c>
      <c r="AA51" s="289" t="s">
        <v>48</v>
      </c>
      <c r="AB51" s="289" t="s">
        <v>48</v>
      </c>
      <c r="AC51" s="289" t="s">
        <v>48</v>
      </c>
      <c r="AD51" s="289" t="s">
        <v>48</v>
      </c>
      <c r="AE51" s="289" t="s">
        <v>48</v>
      </c>
      <c r="AF51" s="270"/>
      <c r="AG51" s="283" t="s">
        <v>324</v>
      </c>
      <c r="AH51" s="291" t="s">
        <v>48</v>
      </c>
      <c r="AI51" s="291" t="s">
        <v>48</v>
      </c>
      <c r="AJ51" s="291" t="s">
        <v>48</v>
      </c>
      <c r="AK51" s="291" t="s">
        <v>48</v>
      </c>
      <c r="AL51" s="291" t="s">
        <v>48</v>
      </c>
      <c r="AM51" s="291" t="s">
        <v>48</v>
      </c>
      <c r="AN51" s="291" t="s">
        <v>48</v>
      </c>
      <c r="AO51" s="291" t="s">
        <v>48</v>
      </c>
      <c r="AP51" s="291" t="s">
        <v>48</v>
      </c>
      <c r="AQ51" s="291" t="s">
        <v>48</v>
      </c>
      <c r="AR51" s="291" t="s">
        <v>48</v>
      </c>
      <c r="AS51" s="291" t="s">
        <v>48</v>
      </c>
      <c r="AT51" s="291" t="s">
        <v>48</v>
      </c>
      <c r="AU51" s="291" t="s">
        <v>48</v>
      </c>
      <c r="AV51" s="291" t="s">
        <v>48</v>
      </c>
      <c r="AW51" s="291" t="s">
        <v>48</v>
      </c>
      <c r="AX51" s="293">
        <v>0</v>
      </c>
      <c r="AY51" s="294" t="s">
        <v>312</v>
      </c>
      <c r="AZ51" s="289" t="s">
        <v>48</v>
      </c>
      <c r="BA51" s="289" t="s">
        <v>48</v>
      </c>
      <c r="BB51" s="289" t="s">
        <v>48</v>
      </c>
      <c r="BC51" s="289" t="s">
        <v>48</v>
      </c>
      <c r="BD51" s="289" t="s">
        <v>48</v>
      </c>
      <c r="BE51" s="289" t="s">
        <v>48</v>
      </c>
      <c r="BF51" s="289" t="s">
        <v>48</v>
      </c>
      <c r="BG51" s="289" t="s">
        <v>48</v>
      </c>
      <c r="BH51" s="289" t="s">
        <v>48</v>
      </c>
      <c r="BI51" s="289" t="s">
        <v>48</v>
      </c>
      <c r="BJ51" s="289" t="s">
        <v>48</v>
      </c>
      <c r="BK51" s="289" t="s">
        <v>48</v>
      </c>
    </row>
    <row r="52" spans="1:63" x14ac:dyDescent="0.25">
      <c r="A52" s="283" t="s">
        <v>325</v>
      </c>
      <c r="B52" s="291" t="s">
        <v>48</v>
      </c>
      <c r="C52" s="291" t="s">
        <v>48</v>
      </c>
      <c r="D52" s="291">
        <v>0</v>
      </c>
      <c r="E52" s="291" t="s">
        <v>48</v>
      </c>
      <c r="F52" s="291">
        <v>0</v>
      </c>
      <c r="G52" s="291">
        <v>9</v>
      </c>
      <c r="H52" s="291">
        <v>12</v>
      </c>
      <c r="I52" s="291" t="s">
        <v>48</v>
      </c>
      <c r="J52" s="292">
        <v>0</v>
      </c>
      <c r="K52" s="292">
        <v>0</v>
      </c>
      <c r="L52" s="326">
        <v>48</v>
      </c>
      <c r="M52" s="291" t="s">
        <v>48</v>
      </c>
      <c r="N52" s="326">
        <v>1</v>
      </c>
      <c r="O52" s="431">
        <v>44</v>
      </c>
      <c r="P52" s="291" t="s">
        <v>48</v>
      </c>
      <c r="Q52" s="291" t="s">
        <v>48</v>
      </c>
      <c r="R52" s="286">
        <f t="shared" si="1"/>
        <v>114</v>
      </c>
      <c r="S52" s="294" t="s">
        <v>311</v>
      </c>
      <c r="T52" s="289" t="s">
        <v>48</v>
      </c>
      <c r="U52" s="289" t="s">
        <v>48</v>
      </c>
      <c r="V52" s="289" t="s">
        <v>48</v>
      </c>
      <c r="W52" s="289" t="s">
        <v>48</v>
      </c>
      <c r="X52" s="289" t="s">
        <v>48</v>
      </c>
      <c r="Y52" s="289" t="s">
        <v>48</v>
      </c>
      <c r="Z52" s="289" t="s">
        <v>48</v>
      </c>
      <c r="AA52" s="289" t="s">
        <v>48</v>
      </c>
      <c r="AB52" s="289" t="s">
        <v>48</v>
      </c>
      <c r="AC52" s="289" t="s">
        <v>48</v>
      </c>
      <c r="AD52" s="289" t="s">
        <v>48</v>
      </c>
      <c r="AE52" s="289" t="s">
        <v>48</v>
      </c>
      <c r="AF52" s="270"/>
      <c r="AG52" s="283" t="s">
        <v>325</v>
      </c>
      <c r="AH52" s="291" t="s">
        <v>48</v>
      </c>
      <c r="AI52" s="291" t="s">
        <v>48</v>
      </c>
      <c r="AJ52" s="291" t="s">
        <v>48</v>
      </c>
      <c r="AK52" s="291" t="s">
        <v>48</v>
      </c>
      <c r="AL52" s="291" t="s">
        <v>48</v>
      </c>
      <c r="AM52" s="291" t="s">
        <v>48</v>
      </c>
      <c r="AN52" s="291" t="s">
        <v>48</v>
      </c>
      <c r="AO52" s="291" t="s">
        <v>48</v>
      </c>
      <c r="AP52" s="291" t="s">
        <v>48</v>
      </c>
      <c r="AQ52" s="291" t="s">
        <v>48</v>
      </c>
      <c r="AR52" s="291" t="s">
        <v>48</v>
      </c>
      <c r="AS52" s="291" t="s">
        <v>48</v>
      </c>
      <c r="AT52" s="291" t="s">
        <v>48</v>
      </c>
      <c r="AU52" s="291" t="s">
        <v>48</v>
      </c>
      <c r="AV52" s="291" t="s">
        <v>48</v>
      </c>
      <c r="AW52" s="291" t="s">
        <v>48</v>
      </c>
      <c r="AX52" s="293">
        <v>0</v>
      </c>
      <c r="AY52" s="294" t="s">
        <v>312</v>
      </c>
      <c r="AZ52" s="289" t="s">
        <v>48</v>
      </c>
      <c r="BA52" s="289" t="s">
        <v>48</v>
      </c>
      <c r="BB52" s="289" t="s">
        <v>48</v>
      </c>
      <c r="BC52" s="289" t="s">
        <v>48</v>
      </c>
      <c r="BD52" s="289" t="s">
        <v>48</v>
      </c>
      <c r="BE52" s="289" t="s">
        <v>48</v>
      </c>
      <c r="BF52" s="289" t="s">
        <v>48</v>
      </c>
      <c r="BG52" s="289" t="s">
        <v>48</v>
      </c>
      <c r="BH52" s="289" t="s">
        <v>48</v>
      </c>
      <c r="BI52" s="289" t="s">
        <v>48</v>
      </c>
      <c r="BJ52" s="289" t="s">
        <v>48</v>
      </c>
      <c r="BK52" s="289" t="s">
        <v>48</v>
      </c>
    </row>
    <row r="53" spans="1:63" x14ac:dyDescent="0.25">
      <c r="A53" s="283" t="s">
        <v>326</v>
      </c>
      <c r="B53" s="291" t="s">
        <v>48</v>
      </c>
      <c r="C53" s="291">
        <v>20</v>
      </c>
      <c r="D53" s="291">
        <v>31</v>
      </c>
      <c r="E53" s="291" t="s">
        <v>48</v>
      </c>
      <c r="F53" s="291">
        <v>4</v>
      </c>
      <c r="G53" s="291">
        <v>11</v>
      </c>
      <c r="H53" s="291">
        <v>57</v>
      </c>
      <c r="I53" s="291" t="s">
        <v>48</v>
      </c>
      <c r="J53" s="292">
        <v>18</v>
      </c>
      <c r="K53" s="292">
        <v>118</v>
      </c>
      <c r="L53" s="326">
        <v>0</v>
      </c>
      <c r="M53" s="291" t="s">
        <v>48</v>
      </c>
      <c r="N53" s="326">
        <v>10</v>
      </c>
      <c r="O53" s="431">
        <v>28</v>
      </c>
      <c r="P53" s="291" t="s">
        <v>48</v>
      </c>
      <c r="Q53" s="291" t="s">
        <v>48</v>
      </c>
      <c r="R53" s="286">
        <f t="shared" si="1"/>
        <v>297</v>
      </c>
      <c r="S53" s="294" t="s">
        <v>311</v>
      </c>
      <c r="T53" s="289" t="s">
        <v>48</v>
      </c>
      <c r="U53" s="289" t="s">
        <v>48</v>
      </c>
      <c r="V53" s="289" t="s">
        <v>48</v>
      </c>
      <c r="W53" s="289" t="s">
        <v>48</v>
      </c>
      <c r="X53" s="289" t="s">
        <v>48</v>
      </c>
      <c r="Y53" s="289" t="s">
        <v>48</v>
      </c>
      <c r="Z53" s="289" t="s">
        <v>48</v>
      </c>
      <c r="AA53" s="289" t="s">
        <v>48</v>
      </c>
      <c r="AB53" s="289" t="s">
        <v>48</v>
      </c>
      <c r="AC53" s="289" t="s">
        <v>48</v>
      </c>
      <c r="AD53" s="289" t="s">
        <v>48</v>
      </c>
      <c r="AE53" s="289" t="s">
        <v>48</v>
      </c>
      <c r="AF53" s="270"/>
      <c r="AG53" s="283" t="s">
        <v>326</v>
      </c>
      <c r="AH53" s="291" t="s">
        <v>48</v>
      </c>
      <c r="AI53" s="291" t="s">
        <v>48</v>
      </c>
      <c r="AJ53" s="291" t="s">
        <v>48</v>
      </c>
      <c r="AK53" s="291" t="s">
        <v>48</v>
      </c>
      <c r="AL53" s="291" t="s">
        <v>48</v>
      </c>
      <c r="AM53" s="291" t="s">
        <v>48</v>
      </c>
      <c r="AN53" s="291" t="s">
        <v>48</v>
      </c>
      <c r="AO53" s="291" t="s">
        <v>48</v>
      </c>
      <c r="AP53" s="291" t="s">
        <v>48</v>
      </c>
      <c r="AQ53" s="291" t="s">
        <v>48</v>
      </c>
      <c r="AR53" s="291" t="s">
        <v>48</v>
      </c>
      <c r="AS53" s="291" t="s">
        <v>48</v>
      </c>
      <c r="AT53" s="291" t="s">
        <v>48</v>
      </c>
      <c r="AU53" s="291" t="s">
        <v>48</v>
      </c>
      <c r="AV53" s="291" t="s">
        <v>48</v>
      </c>
      <c r="AW53" s="291" t="s">
        <v>48</v>
      </c>
      <c r="AX53" s="293">
        <v>0</v>
      </c>
      <c r="AY53" s="294" t="s">
        <v>312</v>
      </c>
      <c r="AZ53" s="289" t="s">
        <v>48</v>
      </c>
      <c r="BA53" s="289" t="s">
        <v>48</v>
      </c>
      <c r="BB53" s="289" t="s">
        <v>48</v>
      </c>
      <c r="BC53" s="289" t="s">
        <v>48</v>
      </c>
      <c r="BD53" s="289" t="s">
        <v>48</v>
      </c>
      <c r="BE53" s="289" t="s">
        <v>48</v>
      </c>
      <c r="BF53" s="289" t="s">
        <v>48</v>
      </c>
      <c r="BG53" s="289" t="s">
        <v>48</v>
      </c>
      <c r="BH53" s="289" t="s">
        <v>48</v>
      </c>
      <c r="BI53" s="289" t="s">
        <v>48</v>
      </c>
      <c r="BJ53" s="289" t="s">
        <v>48</v>
      </c>
      <c r="BK53" s="289" t="s">
        <v>48</v>
      </c>
    </row>
    <row r="54" spans="1:63" x14ac:dyDescent="0.25">
      <c r="A54" s="283" t="s">
        <v>327</v>
      </c>
      <c r="B54" s="291" t="s">
        <v>48</v>
      </c>
      <c r="C54" s="291" t="s">
        <v>48</v>
      </c>
      <c r="D54" s="291">
        <v>0</v>
      </c>
      <c r="E54" s="291" t="s">
        <v>48</v>
      </c>
      <c r="F54" s="291">
        <v>38</v>
      </c>
      <c r="G54" s="291">
        <v>0</v>
      </c>
      <c r="H54" s="291">
        <v>3</v>
      </c>
      <c r="I54" s="291" t="s">
        <v>48</v>
      </c>
      <c r="J54" s="292">
        <v>20</v>
      </c>
      <c r="K54" s="292">
        <v>21</v>
      </c>
      <c r="L54" s="326">
        <v>30</v>
      </c>
      <c r="M54" s="291" t="s">
        <v>48</v>
      </c>
      <c r="N54" s="326">
        <v>23</v>
      </c>
      <c r="O54" s="431">
        <v>45</v>
      </c>
      <c r="P54" s="291" t="s">
        <v>48</v>
      </c>
      <c r="Q54" s="291" t="s">
        <v>48</v>
      </c>
      <c r="R54" s="286">
        <f t="shared" si="1"/>
        <v>180</v>
      </c>
      <c r="S54" s="294" t="s">
        <v>311</v>
      </c>
      <c r="T54" s="289" t="s">
        <v>48</v>
      </c>
      <c r="U54" s="289" t="s">
        <v>48</v>
      </c>
      <c r="V54" s="289" t="s">
        <v>48</v>
      </c>
      <c r="W54" s="289" t="s">
        <v>48</v>
      </c>
      <c r="X54" s="289" t="s">
        <v>48</v>
      </c>
      <c r="Y54" s="289" t="s">
        <v>48</v>
      </c>
      <c r="Z54" s="289" t="s">
        <v>48</v>
      </c>
      <c r="AA54" s="289" t="s">
        <v>48</v>
      </c>
      <c r="AB54" s="289" t="s">
        <v>48</v>
      </c>
      <c r="AC54" s="289" t="s">
        <v>48</v>
      </c>
      <c r="AD54" s="289" t="s">
        <v>48</v>
      </c>
      <c r="AE54" s="289" t="s">
        <v>48</v>
      </c>
      <c r="AF54" s="270"/>
      <c r="AG54" s="283" t="s">
        <v>327</v>
      </c>
      <c r="AH54" s="291" t="s">
        <v>48</v>
      </c>
      <c r="AI54" s="291" t="s">
        <v>48</v>
      </c>
      <c r="AJ54" s="291" t="s">
        <v>48</v>
      </c>
      <c r="AK54" s="291" t="s">
        <v>48</v>
      </c>
      <c r="AL54" s="291" t="s">
        <v>48</v>
      </c>
      <c r="AM54" s="291" t="s">
        <v>48</v>
      </c>
      <c r="AN54" s="291" t="s">
        <v>48</v>
      </c>
      <c r="AO54" s="291" t="s">
        <v>48</v>
      </c>
      <c r="AP54" s="291" t="s">
        <v>48</v>
      </c>
      <c r="AQ54" s="291" t="s">
        <v>48</v>
      </c>
      <c r="AR54" s="291" t="s">
        <v>48</v>
      </c>
      <c r="AS54" s="291" t="s">
        <v>48</v>
      </c>
      <c r="AT54" s="291" t="s">
        <v>48</v>
      </c>
      <c r="AU54" s="291" t="s">
        <v>48</v>
      </c>
      <c r="AV54" s="291" t="s">
        <v>48</v>
      </c>
      <c r="AW54" s="291" t="s">
        <v>48</v>
      </c>
      <c r="AX54" s="293">
        <v>0</v>
      </c>
      <c r="AY54" s="294" t="s">
        <v>312</v>
      </c>
      <c r="AZ54" s="289" t="s">
        <v>48</v>
      </c>
      <c r="BA54" s="289" t="s">
        <v>48</v>
      </c>
      <c r="BB54" s="289" t="s">
        <v>48</v>
      </c>
      <c r="BC54" s="289" t="s">
        <v>48</v>
      </c>
      <c r="BD54" s="289" t="s">
        <v>48</v>
      </c>
      <c r="BE54" s="289" t="s">
        <v>48</v>
      </c>
      <c r="BF54" s="289" t="s">
        <v>48</v>
      </c>
      <c r="BG54" s="289" t="s">
        <v>48</v>
      </c>
      <c r="BH54" s="289" t="s">
        <v>48</v>
      </c>
      <c r="BI54" s="289" t="s">
        <v>48</v>
      </c>
      <c r="BJ54" s="289" t="s">
        <v>48</v>
      </c>
      <c r="BK54" s="289" t="s">
        <v>48</v>
      </c>
    </row>
    <row r="55" spans="1:63" x14ac:dyDescent="0.25">
      <c r="A55" s="283" t="s">
        <v>328</v>
      </c>
      <c r="B55" s="291" t="s">
        <v>48</v>
      </c>
      <c r="C55" s="291" t="s">
        <v>48</v>
      </c>
      <c r="D55" s="291">
        <v>67</v>
      </c>
      <c r="E55" s="291" t="s">
        <v>48</v>
      </c>
      <c r="F55" s="291">
        <v>18</v>
      </c>
      <c r="G55" s="291">
        <v>59</v>
      </c>
      <c r="H55" s="291">
        <v>46</v>
      </c>
      <c r="I55" s="291" t="s">
        <v>48</v>
      </c>
      <c r="J55" s="292">
        <v>15</v>
      </c>
      <c r="K55" s="292">
        <v>17</v>
      </c>
      <c r="L55" s="326">
        <v>57</v>
      </c>
      <c r="M55" s="291" t="s">
        <v>48</v>
      </c>
      <c r="N55" s="419">
        <v>27</v>
      </c>
      <c r="O55" s="431">
        <v>52</v>
      </c>
      <c r="P55" s="291" t="s">
        <v>48</v>
      </c>
      <c r="Q55" s="291" t="s">
        <v>48</v>
      </c>
      <c r="R55" s="286">
        <f t="shared" si="1"/>
        <v>358</v>
      </c>
      <c r="S55" s="294" t="s">
        <v>311</v>
      </c>
      <c r="T55" s="289" t="s">
        <v>48</v>
      </c>
      <c r="U55" s="289" t="s">
        <v>48</v>
      </c>
      <c r="V55" s="289" t="s">
        <v>48</v>
      </c>
      <c r="W55" s="289" t="s">
        <v>48</v>
      </c>
      <c r="X55" s="289" t="s">
        <v>48</v>
      </c>
      <c r="Y55" s="289" t="s">
        <v>48</v>
      </c>
      <c r="Z55" s="289" t="s">
        <v>48</v>
      </c>
      <c r="AA55" s="289" t="s">
        <v>48</v>
      </c>
      <c r="AB55" s="289" t="s">
        <v>48</v>
      </c>
      <c r="AC55" s="289" t="s">
        <v>48</v>
      </c>
      <c r="AD55" s="289" t="s">
        <v>48</v>
      </c>
      <c r="AE55" s="289" t="s">
        <v>48</v>
      </c>
      <c r="AF55" s="270"/>
      <c r="AG55" s="283" t="s">
        <v>328</v>
      </c>
      <c r="AH55" s="291" t="s">
        <v>48</v>
      </c>
      <c r="AI55" s="291" t="s">
        <v>48</v>
      </c>
      <c r="AJ55" s="291" t="s">
        <v>48</v>
      </c>
      <c r="AK55" s="291" t="s">
        <v>48</v>
      </c>
      <c r="AL55" s="291" t="s">
        <v>48</v>
      </c>
      <c r="AM55" s="291" t="s">
        <v>48</v>
      </c>
      <c r="AN55" s="291" t="s">
        <v>48</v>
      </c>
      <c r="AO55" s="291" t="s">
        <v>48</v>
      </c>
      <c r="AP55" s="291" t="s">
        <v>48</v>
      </c>
      <c r="AQ55" s="291" t="s">
        <v>48</v>
      </c>
      <c r="AR55" s="291" t="s">
        <v>48</v>
      </c>
      <c r="AS55" s="291" t="s">
        <v>48</v>
      </c>
      <c r="AT55" s="291" t="s">
        <v>48</v>
      </c>
      <c r="AU55" s="291" t="s">
        <v>48</v>
      </c>
      <c r="AV55" s="291" t="s">
        <v>48</v>
      </c>
      <c r="AW55" s="291" t="s">
        <v>48</v>
      </c>
      <c r="AX55" s="293">
        <v>0</v>
      </c>
      <c r="AY55" s="294" t="s">
        <v>312</v>
      </c>
      <c r="AZ55" s="289" t="s">
        <v>48</v>
      </c>
      <c r="BA55" s="289" t="s">
        <v>48</v>
      </c>
      <c r="BB55" s="289" t="s">
        <v>48</v>
      </c>
      <c r="BC55" s="289" t="s">
        <v>48</v>
      </c>
      <c r="BD55" s="289" t="s">
        <v>48</v>
      </c>
      <c r="BE55" s="289" t="s">
        <v>48</v>
      </c>
      <c r="BF55" s="289" t="s">
        <v>48</v>
      </c>
      <c r="BG55" s="289" t="s">
        <v>48</v>
      </c>
      <c r="BH55" s="289" t="s">
        <v>48</v>
      </c>
      <c r="BI55" s="289" t="s">
        <v>48</v>
      </c>
      <c r="BJ55" s="289" t="s">
        <v>48</v>
      </c>
      <c r="BK55" s="289" t="s">
        <v>48</v>
      </c>
    </row>
    <row r="56" spans="1:63" x14ac:dyDescent="0.25">
      <c r="A56" s="283" t="s">
        <v>329</v>
      </c>
      <c r="B56" s="291" t="s">
        <v>48</v>
      </c>
      <c r="C56" s="291" t="s">
        <v>48</v>
      </c>
      <c r="D56" s="291">
        <v>13</v>
      </c>
      <c r="E56" s="291" t="s">
        <v>48</v>
      </c>
      <c r="F56" s="291">
        <v>3</v>
      </c>
      <c r="G56" s="291">
        <v>18</v>
      </c>
      <c r="H56" s="291">
        <v>0</v>
      </c>
      <c r="I56" s="291" t="s">
        <v>48</v>
      </c>
      <c r="J56" s="292">
        <v>18</v>
      </c>
      <c r="K56" s="292">
        <v>14</v>
      </c>
      <c r="L56" s="326">
        <v>52</v>
      </c>
      <c r="M56" s="291" t="s">
        <v>48</v>
      </c>
      <c r="N56" s="326">
        <v>7</v>
      </c>
      <c r="O56" s="431">
        <v>16</v>
      </c>
      <c r="P56" s="291" t="s">
        <v>48</v>
      </c>
      <c r="Q56" s="291" t="s">
        <v>48</v>
      </c>
      <c r="R56" s="286">
        <f t="shared" si="1"/>
        <v>141</v>
      </c>
      <c r="S56" s="294" t="s">
        <v>311</v>
      </c>
      <c r="T56" s="289" t="s">
        <v>48</v>
      </c>
      <c r="U56" s="289" t="s">
        <v>48</v>
      </c>
      <c r="V56" s="289" t="s">
        <v>48</v>
      </c>
      <c r="W56" s="289" t="s">
        <v>48</v>
      </c>
      <c r="X56" s="289" t="s">
        <v>48</v>
      </c>
      <c r="Y56" s="289" t="s">
        <v>48</v>
      </c>
      <c r="Z56" s="289" t="s">
        <v>48</v>
      </c>
      <c r="AA56" s="289" t="s">
        <v>48</v>
      </c>
      <c r="AB56" s="289" t="s">
        <v>48</v>
      </c>
      <c r="AC56" s="289" t="s">
        <v>48</v>
      </c>
      <c r="AD56" s="289" t="s">
        <v>48</v>
      </c>
      <c r="AE56" s="289" t="s">
        <v>48</v>
      </c>
      <c r="AF56" s="270"/>
      <c r="AG56" s="283" t="s">
        <v>329</v>
      </c>
      <c r="AH56" s="291" t="s">
        <v>48</v>
      </c>
      <c r="AI56" s="291" t="s">
        <v>48</v>
      </c>
      <c r="AJ56" s="291" t="s">
        <v>48</v>
      </c>
      <c r="AK56" s="291" t="s">
        <v>48</v>
      </c>
      <c r="AL56" s="291" t="s">
        <v>48</v>
      </c>
      <c r="AM56" s="291" t="s">
        <v>48</v>
      </c>
      <c r="AN56" s="291" t="s">
        <v>48</v>
      </c>
      <c r="AO56" s="291" t="s">
        <v>48</v>
      </c>
      <c r="AP56" s="291" t="s">
        <v>48</v>
      </c>
      <c r="AQ56" s="291" t="s">
        <v>48</v>
      </c>
      <c r="AR56" s="291" t="s">
        <v>48</v>
      </c>
      <c r="AS56" s="291" t="s">
        <v>48</v>
      </c>
      <c r="AT56" s="291" t="s">
        <v>48</v>
      </c>
      <c r="AU56" s="291" t="s">
        <v>48</v>
      </c>
      <c r="AV56" s="291" t="s">
        <v>48</v>
      </c>
      <c r="AW56" s="291" t="s">
        <v>48</v>
      </c>
      <c r="AX56" s="293">
        <v>0</v>
      </c>
      <c r="AY56" s="294" t="s">
        <v>312</v>
      </c>
      <c r="AZ56" s="289" t="s">
        <v>48</v>
      </c>
      <c r="BA56" s="289" t="s">
        <v>48</v>
      </c>
      <c r="BB56" s="289" t="s">
        <v>48</v>
      </c>
      <c r="BC56" s="289" t="s">
        <v>48</v>
      </c>
      <c r="BD56" s="289" t="s">
        <v>48</v>
      </c>
      <c r="BE56" s="289" t="s">
        <v>48</v>
      </c>
      <c r="BF56" s="289" t="s">
        <v>48</v>
      </c>
      <c r="BG56" s="289" t="s">
        <v>48</v>
      </c>
      <c r="BH56" s="289" t="s">
        <v>48</v>
      </c>
      <c r="BI56" s="289" t="s">
        <v>48</v>
      </c>
      <c r="BJ56" s="289" t="s">
        <v>48</v>
      </c>
      <c r="BK56" s="289" t="s">
        <v>48</v>
      </c>
    </row>
    <row r="57" spans="1:63" x14ac:dyDescent="0.25">
      <c r="A57" s="283" t="s">
        <v>330</v>
      </c>
      <c r="B57" s="291" t="s">
        <v>48</v>
      </c>
      <c r="C57" s="291" t="s">
        <v>48</v>
      </c>
      <c r="D57" s="291">
        <v>6</v>
      </c>
      <c r="E57" s="291" t="s">
        <v>48</v>
      </c>
      <c r="F57" s="291">
        <v>7</v>
      </c>
      <c r="G57" s="291">
        <v>3</v>
      </c>
      <c r="H57" s="291">
        <v>37</v>
      </c>
      <c r="I57" s="291" t="s">
        <v>48</v>
      </c>
      <c r="J57" s="292">
        <v>18</v>
      </c>
      <c r="K57" s="292">
        <v>20</v>
      </c>
      <c r="L57" s="326">
        <v>16</v>
      </c>
      <c r="M57" s="291" t="s">
        <v>48</v>
      </c>
      <c r="N57" s="326">
        <v>24</v>
      </c>
      <c r="O57" s="431">
        <v>30</v>
      </c>
      <c r="P57" s="291" t="s">
        <v>48</v>
      </c>
      <c r="Q57" s="291" t="s">
        <v>48</v>
      </c>
      <c r="R57" s="286">
        <f t="shared" si="1"/>
        <v>161</v>
      </c>
      <c r="S57" s="294" t="s">
        <v>311</v>
      </c>
      <c r="T57" s="289" t="s">
        <v>48</v>
      </c>
      <c r="U57" s="289" t="s">
        <v>48</v>
      </c>
      <c r="V57" s="289" t="s">
        <v>48</v>
      </c>
      <c r="W57" s="289" t="s">
        <v>48</v>
      </c>
      <c r="X57" s="289" t="s">
        <v>48</v>
      </c>
      <c r="Y57" s="289" t="s">
        <v>48</v>
      </c>
      <c r="Z57" s="289" t="s">
        <v>48</v>
      </c>
      <c r="AA57" s="289" t="s">
        <v>48</v>
      </c>
      <c r="AB57" s="289" t="s">
        <v>48</v>
      </c>
      <c r="AC57" s="289" t="s">
        <v>48</v>
      </c>
      <c r="AD57" s="289" t="s">
        <v>48</v>
      </c>
      <c r="AE57" s="289" t="s">
        <v>48</v>
      </c>
      <c r="AF57" s="270"/>
      <c r="AG57" s="283" t="s">
        <v>330</v>
      </c>
      <c r="AH57" s="291" t="s">
        <v>48</v>
      </c>
      <c r="AI57" s="291" t="s">
        <v>48</v>
      </c>
      <c r="AJ57" s="291" t="s">
        <v>48</v>
      </c>
      <c r="AK57" s="291" t="s">
        <v>48</v>
      </c>
      <c r="AL57" s="291" t="s">
        <v>48</v>
      </c>
      <c r="AM57" s="291" t="s">
        <v>48</v>
      </c>
      <c r="AN57" s="291" t="s">
        <v>48</v>
      </c>
      <c r="AO57" s="291" t="s">
        <v>48</v>
      </c>
      <c r="AP57" s="291" t="s">
        <v>48</v>
      </c>
      <c r="AQ57" s="291" t="s">
        <v>48</v>
      </c>
      <c r="AR57" s="291" t="s">
        <v>48</v>
      </c>
      <c r="AS57" s="291" t="s">
        <v>48</v>
      </c>
      <c r="AT57" s="291" t="s">
        <v>48</v>
      </c>
      <c r="AU57" s="291" t="s">
        <v>48</v>
      </c>
      <c r="AV57" s="291" t="s">
        <v>48</v>
      </c>
      <c r="AW57" s="291" t="s">
        <v>48</v>
      </c>
      <c r="AX57" s="293">
        <v>0</v>
      </c>
      <c r="AY57" s="294" t="s">
        <v>312</v>
      </c>
      <c r="AZ57" s="289" t="s">
        <v>48</v>
      </c>
      <c r="BA57" s="289" t="s">
        <v>48</v>
      </c>
      <c r="BB57" s="289" t="s">
        <v>48</v>
      </c>
      <c r="BC57" s="289" t="s">
        <v>48</v>
      </c>
      <c r="BD57" s="289" t="s">
        <v>48</v>
      </c>
      <c r="BE57" s="289" t="s">
        <v>48</v>
      </c>
      <c r="BF57" s="289" t="s">
        <v>48</v>
      </c>
      <c r="BG57" s="289" t="s">
        <v>48</v>
      </c>
      <c r="BH57" s="289" t="s">
        <v>48</v>
      </c>
      <c r="BI57" s="289" t="s">
        <v>48</v>
      </c>
      <c r="BJ57" s="289" t="s">
        <v>48</v>
      </c>
      <c r="BK57" s="289" t="s">
        <v>48</v>
      </c>
    </row>
    <row r="58" spans="1:63" x14ac:dyDescent="0.25">
      <c r="A58" s="283" t="s">
        <v>331</v>
      </c>
      <c r="B58" s="291" t="s">
        <v>48</v>
      </c>
      <c r="C58" s="291" t="s">
        <v>48</v>
      </c>
      <c r="D58" s="291">
        <v>0</v>
      </c>
      <c r="E58" s="291" t="s">
        <v>48</v>
      </c>
      <c r="F58" s="291">
        <v>12</v>
      </c>
      <c r="G58" s="291">
        <v>12</v>
      </c>
      <c r="H58" s="291">
        <v>5</v>
      </c>
      <c r="I58" s="291" t="s">
        <v>48</v>
      </c>
      <c r="J58" s="292">
        <v>12</v>
      </c>
      <c r="K58" s="292">
        <v>86</v>
      </c>
      <c r="L58" s="326">
        <v>37</v>
      </c>
      <c r="M58" s="291" t="s">
        <v>48</v>
      </c>
      <c r="N58" s="326">
        <v>85</v>
      </c>
      <c r="O58" s="431">
        <v>123</v>
      </c>
      <c r="P58" s="291" t="s">
        <v>48</v>
      </c>
      <c r="Q58" s="291" t="s">
        <v>48</v>
      </c>
      <c r="R58" s="286">
        <f t="shared" si="1"/>
        <v>372</v>
      </c>
      <c r="S58" s="294" t="s">
        <v>311</v>
      </c>
      <c r="T58" s="289" t="s">
        <v>48</v>
      </c>
      <c r="U58" s="289" t="s">
        <v>48</v>
      </c>
      <c r="V58" s="289" t="s">
        <v>48</v>
      </c>
      <c r="W58" s="289" t="s">
        <v>48</v>
      </c>
      <c r="X58" s="289" t="s">
        <v>48</v>
      </c>
      <c r="Y58" s="289" t="s">
        <v>48</v>
      </c>
      <c r="Z58" s="289" t="s">
        <v>48</v>
      </c>
      <c r="AA58" s="289" t="s">
        <v>48</v>
      </c>
      <c r="AB58" s="289" t="s">
        <v>48</v>
      </c>
      <c r="AC58" s="289" t="s">
        <v>48</v>
      </c>
      <c r="AD58" s="289" t="s">
        <v>48</v>
      </c>
      <c r="AE58" s="289" t="s">
        <v>48</v>
      </c>
      <c r="AF58" s="270"/>
      <c r="AG58" s="283" t="s">
        <v>331</v>
      </c>
      <c r="AH58" s="291" t="s">
        <v>48</v>
      </c>
      <c r="AI58" s="291" t="s">
        <v>48</v>
      </c>
      <c r="AJ58" s="291" t="s">
        <v>48</v>
      </c>
      <c r="AK58" s="291" t="s">
        <v>48</v>
      </c>
      <c r="AL58" s="291" t="s">
        <v>48</v>
      </c>
      <c r="AM58" s="291" t="s">
        <v>48</v>
      </c>
      <c r="AN58" s="291" t="s">
        <v>48</v>
      </c>
      <c r="AO58" s="291" t="s">
        <v>48</v>
      </c>
      <c r="AP58" s="291" t="s">
        <v>48</v>
      </c>
      <c r="AQ58" s="291" t="s">
        <v>48</v>
      </c>
      <c r="AR58" s="291" t="s">
        <v>48</v>
      </c>
      <c r="AS58" s="291" t="s">
        <v>48</v>
      </c>
      <c r="AT58" s="291" t="s">
        <v>48</v>
      </c>
      <c r="AU58" s="291" t="s">
        <v>48</v>
      </c>
      <c r="AV58" s="291" t="s">
        <v>48</v>
      </c>
      <c r="AW58" s="291" t="s">
        <v>48</v>
      </c>
      <c r="AX58" s="293">
        <v>0</v>
      </c>
      <c r="AY58" s="294" t="s">
        <v>312</v>
      </c>
      <c r="AZ58" s="289" t="s">
        <v>48</v>
      </c>
      <c r="BA58" s="289" t="s">
        <v>48</v>
      </c>
      <c r="BB58" s="289" t="s">
        <v>48</v>
      </c>
      <c r="BC58" s="289" t="s">
        <v>48</v>
      </c>
      <c r="BD58" s="289" t="s">
        <v>48</v>
      </c>
      <c r="BE58" s="289" t="s">
        <v>48</v>
      </c>
      <c r="BF58" s="289" t="s">
        <v>48</v>
      </c>
      <c r="BG58" s="289" t="s">
        <v>48</v>
      </c>
      <c r="BH58" s="289" t="s">
        <v>48</v>
      </c>
      <c r="BI58" s="289" t="s">
        <v>48</v>
      </c>
      <c r="BJ58" s="289" t="s">
        <v>48</v>
      </c>
      <c r="BK58" s="289" t="s">
        <v>48</v>
      </c>
    </row>
    <row r="59" spans="1:63" x14ac:dyDescent="0.25">
      <c r="A59" s="283" t="s">
        <v>332</v>
      </c>
      <c r="B59" s="291" t="s">
        <v>48</v>
      </c>
      <c r="C59" s="291" t="s">
        <v>48</v>
      </c>
      <c r="D59" s="291">
        <v>0</v>
      </c>
      <c r="E59" s="291" t="s">
        <v>48</v>
      </c>
      <c r="F59" s="291">
        <v>0</v>
      </c>
      <c r="G59" s="291">
        <v>30</v>
      </c>
      <c r="H59" s="291">
        <v>0</v>
      </c>
      <c r="I59" s="291" t="s">
        <v>48</v>
      </c>
      <c r="J59" s="292">
        <v>0</v>
      </c>
      <c r="K59" s="292">
        <v>28</v>
      </c>
      <c r="L59" s="326">
        <v>43</v>
      </c>
      <c r="M59" s="291" t="s">
        <v>48</v>
      </c>
      <c r="N59" s="326">
        <v>27</v>
      </c>
      <c r="O59" s="431">
        <v>11</v>
      </c>
      <c r="P59" s="291" t="s">
        <v>48</v>
      </c>
      <c r="Q59" s="291" t="s">
        <v>48</v>
      </c>
      <c r="R59" s="286">
        <f t="shared" si="1"/>
        <v>139</v>
      </c>
      <c r="S59" s="294" t="s">
        <v>311</v>
      </c>
      <c r="T59" s="289" t="s">
        <v>48</v>
      </c>
      <c r="U59" s="289" t="s">
        <v>48</v>
      </c>
      <c r="V59" s="289" t="s">
        <v>48</v>
      </c>
      <c r="W59" s="289" t="s">
        <v>48</v>
      </c>
      <c r="X59" s="289" t="s">
        <v>48</v>
      </c>
      <c r="Y59" s="289" t="s">
        <v>48</v>
      </c>
      <c r="Z59" s="289" t="s">
        <v>48</v>
      </c>
      <c r="AA59" s="289" t="s">
        <v>48</v>
      </c>
      <c r="AB59" s="289" t="s">
        <v>48</v>
      </c>
      <c r="AC59" s="289" t="s">
        <v>48</v>
      </c>
      <c r="AD59" s="289" t="s">
        <v>48</v>
      </c>
      <c r="AE59" s="289" t="s">
        <v>48</v>
      </c>
      <c r="AF59" s="270"/>
      <c r="AG59" s="283" t="s">
        <v>332</v>
      </c>
      <c r="AH59" s="291" t="s">
        <v>48</v>
      </c>
      <c r="AI59" s="291" t="s">
        <v>48</v>
      </c>
      <c r="AJ59" s="291" t="s">
        <v>48</v>
      </c>
      <c r="AK59" s="291" t="s">
        <v>48</v>
      </c>
      <c r="AL59" s="291" t="s">
        <v>48</v>
      </c>
      <c r="AM59" s="291" t="s">
        <v>48</v>
      </c>
      <c r="AN59" s="291" t="s">
        <v>48</v>
      </c>
      <c r="AO59" s="291" t="s">
        <v>48</v>
      </c>
      <c r="AP59" s="291" t="s">
        <v>48</v>
      </c>
      <c r="AQ59" s="291" t="s">
        <v>48</v>
      </c>
      <c r="AR59" s="291" t="s">
        <v>48</v>
      </c>
      <c r="AS59" s="291" t="s">
        <v>48</v>
      </c>
      <c r="AT59" s="291" t="s">
        <v>48</v>
      </c>
      <c r="AU59" s="291" t="s">
        <v>48</v>
      </c>
      <c r="AV59" s="291" t="s">
        <v>48</v>
      </c>
      <c r="AW59" s="291" t="s">
        <v>48</v>
      </c>
      <c r="AX59" s="293">
        <v>0</v>
      </c>
      <c r="AY59" s="294" t="s">
        <v>312</v>
      </c>
      <c r="AZ59" s="289" t="s">
        <v>48</v>
      </c>
      <c r="BA59" s="289" t="s">
        <v>48</v>
      </c>
      <c r="BB59" s="289" t="s">
        <v>48</v>
      </c>
      <c r="BC59" s="289" t="s">
        <v>48</v>
      </c>
      <c r="BD59" s="289" t="s">
        <v>48</v>
      </c>
      <c r="BE59" s="289" t="s">
        <v>48</v>
      </c>
      <c r="BF59" s="289" t="s">
        <v>48</v>
      </c>
      <c r="BG59" s="289" t="s">
        <v>48</v>
      </c>
      <c r="BH59" s="289" t="s">
        <v>48</v>
      </c>
      <c r="BI59" s="289" t="s">
        <v>48</v>
      </c>
      <c r="BJ59" s="289" t="s">
        <v>48</v>
      </c>
      <c r="BK59" s="289" t="s">
        <v>48</v>
      </c>
    </row>
    <row r="60" spans="1:63" x14ac:dyDescent="0.25">
      <c r="A60" s="295" t="s">
        <v>333</v>
      </c>
      <c r="B60" s="294">
        <v>0</v>
      </c>
      <c r="C60" s="294">
        <f>+SUM(C39:C59)</f>
        <v>134</v>
      </c>
      <c r="D60" s="294">
        <f t="shared" ref="D60:Q60" si="2">+SUM(D39:D59)</f>
        <v>542</v>
      </c>
      <c r="E60" s="294">
        <f t="shared" si="2"/>
        <v>0</v>
      </c>
      <c r="F60" s="294">
        <f t="shared" si="2"/>
        <v>789</v>
      </c>
      <c r="G60" s="294">
        <f t="shared" si="2"/>
        <v>790</v>
      </c>
      <c r="H60" s="294">
        <f t="shared" si="2"/>
        <v>454</v>
      </c>
      <c r="I60" s="294">
        <f t="shared" si="2"/>
        <v>0</v>
      </c>
      <c r="J60" s="294">
        <f t="shared" si="2"/>
        <v>517</v>
      </c>
      <c r="K60" s="294">
        <f t="shared" si="2"/>
        <v>743</v>
      </c>
      <c r="L60" s="294">
        <f t="shared" si="2"/>
        <v>879</v>
      </c>
      <c r="M60" s="294">
        <f t="shared" si="2"/>
        <v>0</v>
      </c>
      <c r="N60" s="419">
        <f>+SUM(N39:N59)</f>
        <v>811</v>
      </c>
      <c r="O60" s="294">
        <f>+SUM(O39:O59)</f>
        <v>1061</v>
      </c>
      <c r="P60" s="294">
        <f t="shared" si="2"/>
        <v>0</v>
      </c>
      <c r="Q60" s="294">
        <f t="shared" si="2"/>
        <v>0</v>
      </c>
      <c r="R60" s="434">
        <f>+SUM(R39:R59)</f>
        <v>6720</v>
      </c>
      <c r="S60" s="294" t="s">
        <v>311</v>
      </c>
      <c r="T60" s="294">
        <v>0</v>
      </c>
      <c r="U60" s="294">
        <v>0</v>
      </c>
      <c r="V60" s="294">
        <v>0</v>
      </c>
      <c r="W60" s="294">
        <v>0</v>
      </c>
      <c r="X60" s="294">
        <v>0</v>
      </c>
      <c r="Y60" s="294">
        <v>0</v>
      </c>
      <c r="Z60" s="294">
        <v>0</v>
      </c>
      <c r="AA60" s="294">
        <v>0</v>
      </c>
      <c r="AB60" s="294">
        <v>0</v>
      </c>
      <c r="AC60" s="294">
        <v>0</v>
      </c>
      <c r="AD60" s="294">
        <v>0</v>
      </c>
      <c r="AE60" s="294">
        <v>0</v>
      </c>
      <c r="AF60" s="270"/>
      <c r="AG60" s="295" t="s">
        <v>333</v>
      </c>
      <c r="AH60" s="294">
        <v>0</v>
      </c>
      <c r="AI60" s="294">
        <v>0</v>
      </c>
      <c r="AJ60" s="294">
        <v>0</v>
      </c>
      <c r="AK60" s="294" t="s">
        <v>334</v>
      </c>
      <c r="AL60" s="294">
        <v>0</v>
      </c>
      <c r="AM60" s="294">
        <v>0</v>
      </c>
      <c r="AN60" s="294">
        <v>0</v>
      </c>
      <c r="AO60" s="294" t="s">
        <v>334</v>
      </c>
      <c r="AP60" s="294">
        <v>0</v>
      </c>
      <c r="AQ60" s="294">
        <v>0</v>
      </c>
      <c r="AR60" s="294">
        <v>0</v>
      </c>
      <c r="AS60" s="294" t="s">
        <v>334</v>
      </c>
      <c r="AT60" s="294">
        <v>0</v>
      </c>
      <c r="AU60" s="294">
        <v>0</v>
      </c>
      <c r="AV60" s="294">
        <v>0</v>
      </c>
      <c r="AW60" s="294" t="s">
        <v>334</v>
      </c>
      <c r="AX60" s="296">
        <v>0</v>
      </c>
      <c r="AY60" s="294" t="s">
        <v>312</v>
      </c>
      <c r="AZ60" s="294">
        <v>0</v>
      </c>
      <c r="BA60" s="294">
        <v>0</v>
      </c>
      <c r="BB60" s="294">
        <v>0</v>
      </c>
      <c r="BC60" s="294">
        <v>0</v>
      </c>
      <c r="BD60" s="294">
        <v>0</v>
      </c>
      <c r="BE60" s="294">
        <v>0</v>
      </c>
      <c r="BF60" s="294">
        <v>0</v>
      </c>
      <c r="BG60" s="294">
        <v>0</v>
      </c>
      <c r="BH60" s="294">
        <v>0</v>
      </c>
      <c r="BI60" s="294">
        <v>0</v>
      </c>
      <c r="BJ60" s="294">
        <v>0</v>
      </c>
      <c r="BK60" s="294">
        <v>0</v>
      </c>
    </row>
  </sheetData>
  <mergeCells count="46">
    <mergeCell ref="AV37:AW37"/>
    <mergeCell ref="Z37:AE37"/>
    <mergeCell ref="AG37:AG38"/>
    <mergeCell ref="AJ37:AK37"/>
    <mergeCell ref="AN37:AO37"/>
    <mergeCell ref="AR37:AS37"/>
    <mergeCell ref="A37:A38"/>
    <mergeCell ref="D37:E37"/>
    <mergeCell ref="H37:I37"/>
    <mergeCell ref="L37:M37"/>
    <mergeCell ref="P37:Q37"/>
    <mergeCell ref="BF37:BK37"/>
    <mergeCell ref="AR9:AS9"/>
    <mergeCell ref="AV9:AW9"/>
    <mergeCell ref="BF9:BK9"/>
    <mergeCell ref="AZ9:BE9"/>
    <mergeCell ref="B34:BK34"/>
    <mergeCell ref="B35:BK35"/>
    <mergeCell ref="AG9:AG10"/>
    <mergeCell ref="L9:M9"/>
    <mergeCell ref="P9:Q9"/>
    <mergeCell ref="AX37:AY37"/>
    <mergeCell ref="AZ37:BE37"/>
    <mergeCell ref="AX9:AY9"/>
    <mergeCell ref="T9:Y9"/>
    <mergeCell ref="R37:S37"/>
    <mergeCell ref="T37:Y37"/>
    <mergeCell ref="AG5:BK5"/>
    <mergeCell ref="A9:A10"/>
    <mergeCell ref="D9:E9"/>
    <mergeCell ref="H9:I9"/>
    <mergeCell ref="B6:BK6"/>
    <mergeCell ref="R9:S9"/>
    <mergeCell ref="A5:AE5"/>
    <mergeCell ref="AJ9:AK9"/>
    <mergeCell ref="AN9:AO9"/>
    <mergeCell ref="Z9:AE9"/>
    <mergeCell ref="B7:BK7"/>
    <mergeCell ref="BI4:BK4"/>
    <mergeCell ref="A4:BH4"/>
    <mergeCell ref="BI1:BK1"/>
    <mergeCell ref="BI2:BK2"/>
    <mergeCell ref="BI3:BK3"/>
    <mergeCell ref="A1:BH1"/>
    <mergeCell ref="A2:BH2"/>
    <mergeCell ref="A3:BH3"/>
  </mergeCells>
  <pageMargins left="0.7" right="0.7" top="0.75" bottom="0.75" header="0.3" footer="0.3"/>
  <pageSetup scale="1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5" zoomScale="90" zoomScaleNormal="90" workbookViewId="0">
      <selection sqref="A1:B1"/>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957" t="s">
        <v>187</v>
      </c>
      <c r="B1" s="958"/>
    </row>
    <row r="2" spans="1:2" ht="25.5" customHeight="1" x14ac:dyDescent="0.25">
      <c r="A2" s="959" t="s">
        <v>336</v>
      </c>
      <c r="B2" s="960"/>
    </row>
    <row r="3" spans="1:2" x14ac:dyDescent="0.25">
      <c r="A3" s="176" t="s">
        <v>337</v>
      </c>
      <c r="B3" s="134" t="s">
        <v>338</v>
      </c>
    </row>
    <row r="4" spans="1:2" x14ac:dyDescent="0.25">
      <c r="A4" s="177" t="s">
        <v>9</v>
      </c>
      <c r="B4" s="141" t="s">
        <v>339</v>
      </c>
    </row>
    <row r="5" spans="1:2" ht="105" x14ac:dyDescent="0.25">
      <c r="A5" s="177" t="s">
        <v>10</v>
      </c>
      <c r="B5" s="179" t="s">
        <v>340</v>
      </c>
    </row>
    <row r="6" spans="1:2" x14ac:dyDescent="0.25">
      <c r="A6" s="177" t="s">
        <v>15</v>
      </c>
      <c r="B6" s="961" t="s">
        <v>341</v>
      </c>
    </row>
    <row r="7" spans="1:2" x14ac:dyDescent="0.25">
      <c r="A7" s="177" t="s">
        <v>17</v>
      </c>
      <c r="B7" s="962"/>
    </row>
    <row r="8" spans="1:2" x14ac:dyDescent="0.25">
      <c r="A8" s="177" t="s">
        <v>19</v>
      </c>
      <c r="B8" s="962"/>
    </row>
    <row r="9" spans="1:2" x14ac:dyDescent="0.25">
      <c r="A9" s="177" t="s">
        <v>342</v>
      </c>
      <c r="B9" s="963"/>
    </row>
    <row r="10" spans="1:2" ht="30" x14ac:dyDescent="0.25">
      <c r="A10" s="177" t="s">
        <v>7</v>
      </c>
      <c r="B10" s="135" t="s">
        <v>343</v>
      </c>
    </row>
    <row r="11" spans="1:2" ht="45" x14ac:dyDescent="0.25">
      <c r="A11" s="177" t="s">
        <v>27</v>
      </c>
      <c r="B11" s="135" t="s">
        <v>344</v>
      </c>
    </row>
    <row r="12" spans="1:2" ht="60" x14ac:dyDescent="0.25">
      <c r="A12" s="177" t="s">
        <v>26</v>
      </c>
      <c r="B12" s="136" t="s">
        <v>345</v>
      </c>
    </row>
    <row r="13" spans="1:2" ht="30" x14ac:dyDescent="0.25">
      <c r="A13" s="177" t="s">
        <v>346</v>
      </c>
      <c r="B13" s="136" t="s">
        <v>347</v>
      </c>
    </row>
    <row r="14" spans="1:2" ht="45" x14ac:dyDescent="0.25">
      <c r="A14" s="177" t="s">
        <v>348</v>
      </c>
      <c r="B14" s="136" t="s">
        <v>349</v>
      </c>
    </row>
    <row r="15" spans="1:2" ht="72" customHeight="1" x14ac:dyDescent="0.25">
      <c r="A15" s="178" t="s">
        <v>350</v>
      </c>
      <c r="B15" s="137" t="s">
        <v>351</v>
      </c>
    </row>
    <row r="16" spans="1:2" ht="194.25" x14ac:dyDescent="0.25">
      <c r="A16" s="178" t="s">
        <v>352</v>
      </c>
      <c r="B16" s="138" t="s">
        <v>353</v>
      </c>
    </row>
    <row r="17" spans="1:2" ht="25.5" customHeight="1" x14ac:dyDescent="0.25">
      <c r="A17" s="959" t="s">
        <v>354</v>
      </c>
      <c r="B17" s="960"/>
    </row>
    <row r="18" spans="1:2" x14ac:dyDescent="0.25">
      <c r="A18" s="176" t="s">
        <v>337</v>
      </c>
      <c r="B18" s="134" t="s">
        <v>338</v>
      </c>
    </row>
    <row r="19" spans="1:2" x14ac:dyDescent="0.25">
      <c r="A19" s="177" t="s">
        <v>9</v>
      </c>
      <c r="B19" s="141" t="s">
        <v>339</v>
      </c>
    </row>
    <row r="20" spans="1:2" ht="105" x14ac:dyDescent="0.25">
      <c r="A20" s="177" t="s">
        <v>10</v>
      </c>
      <c r="B20" s="140" t="s">
        <v>355</v>
      </c>
    </row>
    <row r="21" spans="1:2" ht="30" x14ac:dyDescent="0.25">
      <c r="A21" s="177" t="s">
        <v>356</v>
      </c>
      <c r="B21" s="136" t="s">
        <v>357</v>
      </c>
    </row>
    <row r="22" spans="1:2" ht="45" x14ac:dyDescent="0.25">
      <c r="A22" s="177" t="s">
        <v>358</v>
      </c>
      <c r="B22" s="136" t="s">
        <v>359</v>
      </c>
    </row>
    <row r="23" spans="1:2" ht="75" x14ac:dyDescent="0.25">
      <c r="A23" s="177" t="s">
        <v>360</v>
      </c>
      <c r="B23" s="136" t="s">
        <v>361</v>
      </c>
    </row>
    <row r="24" spans="1:2" ht="30" x14ac:dyDescent="0.25">
      <c r="A24" s="177" t="s">
        <v>362</v>
      </c>
      <c r="B24" s="136" t="s">
        <v>363</v>
      </c>
    </row>
    <row r="25" spans="1:2" x14ac:dyDescent="0.25">
      <c r="A25" s="177" t="s">
        <v>364</v>
      </c>
      <c r="B25" s="136" t="s">
        <v>365</v>
      </c>
    </row>
    <row r="26" spans="1:2" ht="45.95" customHeight="1" x14ac:dyDescent="0.25">
      <c r="A26" s="177" t="s">
        <v>366</v>
      </c>
      <c r="B26" s="139" t="s">
        <v>367</v>
      </c>
    </row>
    <row r="27" spans="1:2" ht="75" x14ac:dyDescent="0.25">
      <c r="A27" s="177" t="s">
        <v>200</v>
      </c>
      <c r="B27" s="139" t="s">
        <v>368</v>
      </c>
    </row>
    <row r="28" spans="1:2" ht="45" x14ac:dyDescent="0.25">
      <c r="A28" s="177" t="s">
        <v>369</v>
      </c>
      <c r="B28" s="139" t="s">
        <v>370</v>
      </c>
    </row>
    <row r="29" spans="1:2" ht="45" x14ac:dyDescent="0.25">
      <c r="A29" s="177" t="s">
        <v>371</v>
      </c>
      <c r="B29" s="139" t="s">
        <v>372</v>
      </c>
    </row>
    <row r="30" spans="1:2" ht="45" x14ac:dyDescent="0.25">
      <c r="A30" s="177" t="s">
        <v>373</v>
      </c>
      <c r="B30" s="139" t="s">
        <v>374</v>
      </c>
    </row>
    <row r="31" spans="1:2" ht="144" customHeight="1" x14ac:dyDescent="0.25">
      <c r="A31" s="177" t="s">
        <v>375</v>
      </c>
      <c r="B31" s="139" t="s">
        <v>376</v>
      </c>
    </row>
    <row r="32" spans="1:2" ht="30" x14ac:dyDescent="0.25">
      <c r="A32" s="177" t="s">
        <v>377</v>
      </c>
      <c r="B32" s="139" t="s">
        <v>378</v>
      </c>
    </row>
    <row r="33" spans="1:2" ht="30" x14ac:dyDescent="0.25">
      <c r="A33" s="177" t="s">
        <v>379</v>
      </c>
      <c r="B33" s="139" t="s">
        <v>380</v>
      </c>
    </row>
    <row r="34" spans="1:2" ht="30" x14ac:dyDescent="0.25">
      <c r="A34" s="177" t="s">
        <v>381</v>
      </c>
      <c r="B34" s="139" t="s">
        <v>382</v>
      </c>
    </row>
    <row r="35" spans="1:2" ht="30" x14ac:dyDescent="0.25">
      <c r="A35" s="177" t="s">
        <v>383</v>
      </c>
      <c r="B35" s="139" t="s">
        <v>384</v>
      </c>
    </row>
    <row r="36" spans="1:2" ht="75" x14ac:dyDescent="0.25">
      <c r="A36" s="177" t="s">
        <v>385</v>
      </c>
      <c r="B36" s="139" t="s">
        <v>386</v>
      </c>
    </row>
    <row r="37" spans="1:2" x14ac:dyDescent="0.25">
      <c r="A37" s="177" t="s">
        <v>190</v>
      </c>
      <c r="B37" s="139" t="s">
        <v>387</v>
      </c>
    </row>
    <row r="38" spans="1:2" ht="30" x14ac:dyDescent="0.25">
      <c r="A38" s="177" t="s">
        <v>388</v>
      </c>
      <c r="B38" s="139" t="s">
        <v>389</v>
      </c>
    </row>
    <row r="39" spans="1:2" ht="45" x14ac:dyDescent="0.25">
      <c r="A39" s="177" t="s">
        <v>390</v>
      </c>
      <c r="B39" s="139" t="s">
        <v>391</v>
      </c>
    </row>
    <row r="40" spans="1:2" ht="28.5" x14ac:dyDescent="0.25">
      <c r="A40" s="178" t="s">
        <v>193</v>
      </c>
      <c r="B40" s="139" t="s">
        <v>392</v>
      </c>
    </row>
    <row r="41" spans="1:2" ht="25.5" customHeight="1" x14ac:dyDescent="0.25">
      <c r="A41" s="959" t="s">
        <v>393</v>
      </c>
      <c r="B41" s="960"/>
    </row>
    <row r="42" spans="1:2" x14ac:dyDescent="0.25">
      <c r="A42" s="957" t="s">
        <v>394</v>
      </c>
      <c r="B42" s="958"/>
    </row>
    <row r="43" spans="1:2" ht="72" customHeight="1" x14ac:dyDescent="0.25">
      <c r="A43" s="955" t="s">
        <v>395</v>
      </c>
      <c r="B43" s="956"/>
    </row>
    <row r="44" spans="1:2" ht="30" x14ac:dyDescent="0.25">
      <c r="A44" s="177" t="s">
        <v>371</v>
      </c>
      <c r="B44" s="139" t="s">
        <v>396</v>
      </c>
    </row>
    <row r="45" spans="1:2" ht="45" x14ac:dyDescent="0.25">
      <c r="A45" s="178" t="s">
        <v>397</v>
      </c>
      <c r="B45" s="139" t="s">
        <v>398</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1" customFormat="1" x14ac:dyDescent="0.25">
      <c r="A1" s="120" t="s">
        <v>399</v>
      </c>
      <c r="B1" s="120" t="s">
        <v>400</v>
      </c>
      <c r="C1" s="120" t="s">
        <v>401</v>
      </c>
      <c r="D1" s="120" t="s">
        <v>402</v>
      </c>
      <c r="E1" s="120" t="s">
        <v>373</v>
      </c>
      <c r="F1" s="120" t="s">
        <v>403</v>
      </c>
      <c r="G1" s="120" t="s">
        <v>404</v>
      </c>
      <c r="H1" s="120" t="s">
        <v>294</v>
      </c>
      <c r="I1" s="120" t="s">
        <v>364</v>
      </c>
    </row>
    <row r="2" spans="1:9" s="121" customFormat="1" x14ac:dyDescent="0.25">
      <c r="A2" s="122" t="s">
        <v>405</v>
      </c>
      <c r="B2" s="116" t="s">
        <v>406</v>
      </c>
      <c r="C2" s="122" t="s">
        <v>407</v>
      </c>
      <c r="D2" s="123" t="s">
        <v>408</v>
      </c>
      <c r="E2" s="117" t="s">
        <v>409</v>
      </c>
      <c r="F2" s="124" t="s">
        <v>410</v>
      </c>
      <c r="G2" s="125" t="s">
        <v>411</v>
      </c>
      <c r="H2" s="125" t="s">
        <v>412</v>
      </c>
      <c r="I2" s="124" t="s">
        <v>413</v>
      </c>
    </row>
    <row r="3" spans="1:9" x14ac:dyDescent="0.25">
      <c r="A3" s="122" t="s">
        <v>414</v>
      </c>
      <c r="B3" s="116" t="s">
        <v>415</v>
      </c>
      <c r="C3" s="122" t="s">
        <v>416</v>
      </c>
      <c r="D3" s="126" t="s">
        <v>417</v>
      </c>
      <c r="E3" s="117" t="s">
        <v>418</v>
      </c>
      <c r="F3" s="124" t="s">
        <v>419</v>
      </c>
      <c r="G3" s="125" t="s">
        <v>420</v>
      </c>
      <c r="H3" s="125" t="s">
        <v>303</v>
      </c>
      <c r="I3" s="124" t="s">
        <v>421</v>
      </c>
    </row>
    <row r="4" spans="1:9" x14ac:dyDescent="0.25">
      <c r="A4" s="122" t="s">
        <v>422</v>
      </c>
      <c r="B4" s="116" t="s">
        <v>423</v>
      </c>
      <c r="C4" s="122" t="s">
        <v>424</v>
      </c>
      <c r="D4" s="126" t="s">
        <v>425</v>
      </c>
      <c r="E4" s="117" t="s">
        <v>426</v>
      </c>
      <c r="F4" s="124" t="s">
        <v>427</v>
      </c>
      <c r="G4" s="125" t="s">
        <v>428</v>
      </c>
      <c r="H4" s="125" t="s">
        <v>298</v>
      </c>
      <c r="I4" s="124" t="s">
        <v>429</v>
      </c>
    </row>
    <row r="5" spans="1:9" x14ac:dyDescent="0.25">
      <c r="A5" s="122" t="s">
        <v>430</v>
      </c>
      <c r="B5" s="116" t="s">
        <v>431</v>
      </c>
      <c r="C5" s="122" t="s">
        <v>432</v>
      </c>
      <c r="D5" s="126" t="s">
        <v>433</v>
      </c>
      <c r="E5" s="117" t="s">
        <v>434</v>
      </c>
      <c r="F5" s="124" t="s">
        <v>435</v>
      </c>
      <c r="G5" s="125" t="s">
        <v>436</v>
      </c>
      <c r="H5" s="125" t="s">
        <v>299</v>
      </c>
      <c r="I5" s="124" t="s">
        <v>437</v>
      </c>
    </row>
    <row r="6" spans="1:9" ht="30" x14ac:dyDescent="0.25">
      <c r="A6" s="122" t="s">
        <v>438</v>
      </c>
      <c r="B6" s="116" t="s">
        <v>439</v>
      </c>
      <c r="C6" s="122" t="s">
        <v>440</v>
      </c>
      <c r="D6" s="126" t="s">
        <v>441</v>
      </c>
      <c r="E6" s="117" t="s">
        <v>442</v>
      </c>
      <c r="G6" s="125" t="s">
        <v>443</v>
      </c>
      <c r="H6" s="125" t="s">
        <v>300</v>
      </c>
      <c r="I6" s="124" t="s">
        <v>444</v>
      </c>
    </row>
    <row r="7" spans="1:9" ht="30" x14ac:dyDescent="0.25">
      <c r="B7" s="116" t="s">
        <v>445</v>
      </c>
      <c r="C7" s="122" t="s">
        <v>446</v>
      </c>
      <c r="D7" s="126" t="s">
        <v>447</v>
      </c>
      <c r="E7" s="124" t="s">
        <v>448</v>
      </c>
      <c r="G7" s="117" t="s">
        <v>309</v>
      </c>
      <c r="H7" s="125" t="s">
        <v>301</v>
      </c>
      <c r="I7" s="124" t="s">
        <v>449</v>
      </c>
    </row>
    <row r="8" spans="1:9" ht="30" x14ac:dyDescent="0.25">
      <c r="A8" s="127"/>
      <c r="B8" s="116" t="s">
        <v>450</v>
      </c>
      <c r="C8" s="122" t="s">
        <v>451</v>
      </c>
      <c r="D8" s="126" t="s">
        <v>452</v>
      </c>
      <c r="E8" s="124" t="s">
        <v>453</v>
      </c>
      <c r="I8" s="124" t="s">
        <v>454</v>
      </c>
    </row>
    <row r="9" spans="1:9" ht="32.1" customHeight="1" x14ac:dyDescent="0.25">
      <c r="A9" s="127"/>
      <c r="B9" s="116" t="s">
        <v>455</v>
      </c>
      <c r="C9" s="122" t="s">
        <v>456</v>
      </c>
      <c r="D9" s="126" t="s">
        <v>457</v>
      </c>
      <c r="E9" s="124" t="s">
        <v>458</v>
      </c>
      <c r="I9" s="124" t="s">
        <v>459</v>
      </c>
    </row>
    <row r="10" spans="1:9" x14ac:dyDescent="0.25">
      <c r="A10" s="127"/>
      <c r="B10" s="116" t="s">
        <v>460</v>
      </c>
      <c r="C10" s="122" t="s">
        <v>461</v>
      </c>
      <c r="D10" s="126" t="s">
        <v>462</v>
      </c>
      <c r="E10" s="124" t="s">
        <v>463</v>
      </c>
      <c r="I10" s="124" t="s">
        <v>464</v>
      </c>
    </row>
    <row r="11" spans="1:9" x14ac:dyDescent="0.25">
      <c r="A11" s="127"/>
      <c r="B11" s="116" t="s">
        <v>465</v>
      </c>
      <c r="C11" s="122" t="s">
        <v>466</v>
      </c>
      <c r="D11" s="126" t="s">
        <v>467</v>
      </c>
      <c r="E11" s="124" t="s">
        <v>468</v>
      </c>
      <c r="I11" s="124" t="s">
        <v>469</v>
      </c>
    </row>
    <row r="12" spans="1:9" ht="30" x14ac:dyDescent="0.25">
      <c r="A12" s="127"/>
      <c r="B12" s="116" t="s">
        <v>470</v>
      </c>
      <c r="C12" s="122" t="s">
        <v>471</v>
      </c>
      <c r="D12" s="126" t="s">
        <v>472</v>
      </c>
      <c r="E12" s="124" t="s">
        <v>473</v>
      </c>
      <c r="I12" s="124" t="s">
        <v>474</v>
      </c>
    </row>
    <row r="13" spans="1:9" x14ac:dyDescent="0.25">
      <c r="A13" s="127"/>
      <c r="B13" s="241" t="s">
        <v>475</v>
      </c>
      <c r="D13" s="126" t="s">
        <v>476</v>
      </c>
      <c r="E13" s="124" t="s">
        <v>477</v>
      </c>
      <c r="I13" s="124" t="s">
        <v>478</v>
      </c>
    </row>
    <row r="14" spans="1:9" x14ac:dyDescent="0.25">
      <c r="A14" s="127"/>
      <c r="B14" s="116" t="s">
        <v>479</v>
      </c>
      <c r="C14" s="127"/>
      <c r="D14" s="126" t="s">
        <v>480</v>
      </c>
      <c r="E14" s="124" t="s">
        <v>481</v>
      </c>
    </row>
    <row r="15" spans="1:9" x14ac:dyDescent="0.25">
      <c r="A15" s="127"/>
      <c r="B15" s="116" t="s">
        <v>482</v>
      </c>
      <c r="C15" s="127"/>
      <c r="D15" s="126" t="s">
        <v>483</v>
      </c>
      <c r="E15" s="124" t="s">
        <v>484</v>
      </c>
    </row>
    <row r="16" spans="1:9" x14ac:dyDescent="0.25">
      <c r="A16" s="127"/>
      <c r="B16" s="116" t="s">
        <v>485</v>
      </c>
      <c r="C16" s="127"/>
      <c r="D16" s="126" t="s">
        <v>486</v>
      </c>
      <c r="E16" s="128"/>
    </row>
    <row r="17" spans="1:5" x14ac:dyDescent="0.25">
      <c r="A17" s="127"/>
      <c r="B17" s="116" t="s">
        <v>487</v>
      </c>
      <c r="C17" s="127"/>
      <c r="D17" s="126" t="s">
        <v>488</v>
      </c>
      <c r="E17" s="128"/>
    </row>
    <row r="18" spans="1:5" x14ac:dyDescent="0.25">
      <c r="A18" s="127"/>
      <c r="B18" s="116" t="s">
        <v>489</v>
      </c>
      <c r="C18" s="127"/>
      <c r="D18" s="126" t="s">
        <v>490</v>
      </c>
      <c r="E18" s="128"/>
    </row>
    <row r="19" spans="1:5" x14ac:dyDescent="0.25">
      <c r="A19" s="127"/>
      <c r="B19" s="116" t="s">
        <v>491</v>
      </c>
      <c r="C19" s="127"/>
      <c r="D19" s="126" t="s">
        <v>492</v>
      </c>
      <c r="E19" s="128"/>
    </row>
    <row r="20" spans="1:5" x14ac:dyDescent="0.25">
      <c r="A20" s="127"/>
      <c r="B20" s="116" t="s">
        <v>493</v>
      </c>
      <c r="C20" s="127"/>
      <c r="D20" s="126" t="s">
        <v>494</v>
      </c>
      <c r="E20" s="128"/>
    </row>
    <row r="21" spans="1:5" x14ac:dyDescent="0.25">
      <c r="B21" s="116" t="s">
        <v>495</v>
      </c>
      <c r="D21" s="126" t="s">
        <v>496</v>
      </c>
      <c r="E21" s="128"/>
    </row>
    <row r="22" spans="1:5" x14ac:dyDescent="0.25">
      <c r="B22" s="116" t="s">
        <v>497</v>
      </c>
      <c r="D22" s="126" t="s">
        <v>498</v>
      </c>
      <c r="E22" s="128"/>
    </row>
    <row r="23" spans="1:5" x14ac:dyDescent="0.25">
      <c r="B23" s="116" t="s">
        <v>499</v>
      </c>
      <c r="D23" s="126" t="s">
        <v>500</v>
      </c>
      <c r="E23" s="128"/>
    </row>
    <row r="24" spans="1:5" x14ac:dyDescent="0.25">
      <c r="D24" s="129" t="s">
        <v>501</v>
      </c>
      <c r="E24" s="129" t="s">
        <v>502</v>
      </c>
    </row>
    <row r="25" spans="1:5" x14ac:dyDescent="0.25">
      <c r="D25" s="130" t="s">
        <v>503</v>
      </c>
      <c r="E25" s="124" t="s">
        <v>504</v>
      </c>
    </row>
    <row r="26" spans="1:5" x14ac:dyDescent="0.25">
      <c r="D26" s="130" t="s">
        <v>505</v>
      </c>
      <c r="E26" s="124" t="s">
        <v>506</v>
      </c>
    </row>
    <row r="27" spans="1:5" x14ac:dyDescent="0.25">
      <c r="D27" s="964" t="s">
        <v>507</v>
      </c>
      <c r="E27" s="124" t="s">
        <v>508</v>
      </c>
    </row>
    <row r="28" spans="1:5" x14ac:dyDescent="0.25">
      <c r="D28" s="965"/>
      <c r="E28" s="124" t="s">
        <v>509</v>
      </c>
    </row>
    <row r="29" spans="1:5" x14ac:dyDescent="0.25">
      <c r="D29" s="965"/>
      <c r="E29" s="124" t="s">
        <v>510</v>
      </c>
    </row>
    <row r="30" spans="1:5" x14ac:dyDescent="0.25">
      <c r="D30" s="966"/>
      <c r="E30" s="124" t="s">
        <v>511</v>
      </c>
    </row>
    <row r="31" spans="1:5" x14ac:dyDescent="0.25">
      <c r="D31" s="130" t="s">
        <v>512</v>
      </c>
      <c r="E31" s="124" t="s">
        <v>513</v>
      </c>
    </row>
    <row r="32" spans="1:5" x14ac:dyDescent="0.25">
      <c r="D32" s="130" t="s">
        <v>514</v>
      </c>
      <c r="E32" s="124" t="s">
        <v>515</v>
      </c>
    </row>
    <row r="33" spans="4:5" x14ac:dyDescent="0.25">
      <c r="D33" s="130" t="s">
        <v>516</v>
      </c>
      <c r="E33" s="124" t="s">
        <v>517</v>
      </c>
    </row>
    <row r="34" spans="4:5" x14ac:dyDescent="0.25">
      <c r="D34" s="130" t="s">
        <v>518</v>
      </c>
      <c r="E34" s="124" t="s">
        <v>519</v>
      </c>
    </row>
    <row r="35" spans="4:5" x14ac:dyDescent="0.25">
      <c r="D35" s="130" t="s">
        <v>520</v>
      </c>
      <c r="E35" s="124" t="s">
        <v>521</v>
      </c>
    </row>
    <row r="36" spans="4:5" x14ac:dyDescent="0.25">
      <c r="D36" s="130" t="s">
        <v>522</v>
      </c>
      <c r="E36" s="124" t="s">
        <v>523</v>
      </c>
    </row>
    <row r="37" spans="4:5" x14ac:dyDescent="0.25">
      <c r="D37" s="130" t="s">
        <v>524</v>
      </c>
      <c r="E37" s="124" t="s">
        <v>525</v>
      </c>
    </row>
    <row r="38" spans="4:5" x14ac:dyDescent="0.25">
      <c r="D38" s="130" t="s">
        <v>526</v>
      </c>
      <c r="E38" s="124" t="s">
        <v>527</v>
      </c>
    </row>
    <row r="39" spans="4:5" x14ac:dyDescent="0.25">
      <c r="D39" s="131" t="s">
        <v>528</v>
      </c>
      <c r="E39" s="124" t="s">
        <v>529</v>
      </c>
    </row>
    <row r="40" spans="4:5" x14ac:dyDescent="0.25">
      <c r="D40" s="131" t="s">
        <v>530</v>
      </c>
      <c r="E40" s="124" t="s">
        <v>531</v>
      </c>
    </row>
    <row r="41" spans="4:5" x14ac:dyDescent="0.25">
      <c r="D41" s="130" t="s">
        <v>532</v>
      </c>
      <c r="E41" s="124" t="s">
        <v>533</v>
      </c>
    </row>
    <row r="42" spans="4:5" x14ac:dyDescent="0.25">
      <c r="D42" s="130" t="s">
        <v>534</v>
      </c>
      <c r="E42" s="124" t="s">
        <v>535</v>
      </c>
    </row>
    <row r="43" spans="4:5" x14ac:dyDescent="0.25">
      <c r="D43" s="131" t="s">
        <v>536</v>
      </c>
      <c r="E43" s="124" t="s">
        <v>537</v>
      </c>
    </row>
    <row r="44" spans="4:5" x14ac:dyDescent="0.25">
      <c r="D44" s="132" t="s">
        <v>538</v>
      </c>
      <c r="E44" s="124" t="s">
        <v>539</v>
      </c>
    </row>
    <row r="45" spans="4:5" x14ac:dyDescent="0.25">
      <c r="D45" s="126" t="s">
        <v>540</v>
      </c>
      <c r="E45" s="124" t="s">
        <v>541</v>
      </c>
    </row>
    <row r="46" spans="4:5" x14ac:dyDescent="0.25">
      <c r="D46" s="126" t="s">
        <v>542</v>
      </c>
      <c r="E46" s="124" t="s">
        <v>543</v>
      </c>
    </row>
    <row r="47" spans="4:5" x14ac:dyDescent="0.25">
      <c r="D47" s="126" t="s">
        <v>544</v>
      </c>
      <c r="E47" s="124" t="s">
        <v>545</v>
      </c>
    </row>
    <row r="48" spans="4:5" x14ac:dyDescent="0.25">
      <c r="D48" s="126" t="s">
        <v>546</v>
      </c>
      <c r="E48" s="124" t="s">
        <v>547</v>
      </c>
    </row>
    <row r="49" spans="4:4" x14ac:dyDescent="0.25">
      <c r="D49" s="129" t="s">
        <v>548</v>
      </c>
    </row>
    <row r="50" spans="4:4" x14ac:dyDescent="0.25">
      <c r="D50" s="126" t="s">
        <v>549</v>
      </c>
    </row>
    <row r="51" spans="4:4" x14ac:dyDescent="0.25">
      <c r="D51" s="126" t="s">
        <v>550</v>
      </c>
    </row>
    <row r="52" spans="4:4" x14ac:dyDescent="0.25">
      <c r="D52" s="129" t="s">
        <v>551</v>
      </c>
    </row>
    <row r="53" spans="4:4" x14ac:dyDescent="0.25">
      <c r="D53" s="132" t="s">
        <v>552</v>
      </c>
    </row>
    <row r="54" spans="4:4" x14ac:dyDescent="0.25">
      <c r="D54" s="132" t="s">
        <v>553</v>
      </c>
    </row>
    <row r="55" spans="4:4" x14ac:dyDescent="0.25">
      <c r="D55" s="132" t="s">
        <v>554</v>
      </c>
    </row>
    <row r="56" spans="4:4" x14ac:dyDescent="0.25">
      <c r="D56" s="132" t="s">
        <v>555</v>
      </c>
    </row>
  </sheetData>
  <mergeCells count="1">
    <mergeCell ref="D27:D30"/>
  </mergeCells>
  <pageMargins left="0.7" right="0.7" top="0.75" bottom="0.75"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556</v>
      </c>
      <c r="C1" s="970" t="s">
        <v>557</v>
      </c>
      <c r="D1" s="970"/>
      <c r="E1" s="970"/>
      <c r="F1" s="970"/>
      <c r="G1" s="971" t="s">
        <v>558</v>
      </c>
      <c r="H1" s="972"/>
      <c r="I1" s="972"/>
      <c r="J1" s="973"/>
      <c r="K1" s="969" t="s">
        <v>559</v>
      </c>
      <c r="L1" s="969"/>
      <c r="M1" s="969"/>
      <c r="N1" s="969"/>
    </row>
    <row r="2" spans="1:14" x14ac:dyDescent="0.25">
      <c r="C2" s="4"/>
      <c r="D2" s="4"/>
      <c r="E2" s="4"/>
      <c r="F2" s="4" t="s">
        <v>560</v>
      </c>
      <c r="G2" s="30"/>
      <c r="H2" s="4"/>
      <c r="I2" s="4"/>
      <c r="J2" s="31" t="s">
        <v>560</v>
      </c>
      <c r="K2" s="4"/>
      <c r="L2" s="4"/>
      <c r="M2" s="4"/>
      <c r="N2" s="4" t="s">
        <v>560</v>
      </c>
    </row>
    <row r="3" spans="1:14" x14ac:dyDescent="0.25">
      <c r="A3" s="968" t="s">
        <v>561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6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68"/>
      <c r="B5" s="5">
        <v>3</v>
      </c>
      <c r="C5" s="6">
        <v>0.05</v>
      </c>
      <c r="D5" s="6">
        <v>0.05</v>
      </c>
      <c r="E5" s="6">
        <v>0.1</v>
      </c>
      <c r="F5" s="7">
        <f>(C5+D5+E5)</f>
        <v>0.2</v>
      </c>
      <c r="G5" s="32">
        <v>0.1</v>
      </c>
      <c r="H5" s="6">
        <v>0.1</v>
      </c>
      <c r="I5" s="6">
        <v>0.1</v>
      </c>
      <c r="J5" s="33">
        <f>(G5+H5+I5)</f>
        <v>0.30000000000000004</v>
      </c>
      <c r="K5" s="24"/>
      <c r="L5" s="5"/>
      <c r="M5" s="5"/>
      <c r="N5" s="5"/>
    </row>
    <row r="6" spans="1:14" x14ac:dyDescent="0.25">
      <c r="A6" s="968"/>
      <c r="B6" s="5">
        <v>4</v>
      </c>
      <c r="C6" s="6">
        <v>0.1</v>
      </c>
      <c r="D6" s="6">
        <v>0.1</v>
      </c>
      <c r="E6" s="6">
        <v>0.2</v>
      </c>
      <c r="F6" s="7">
        <f>(C6+D6+E6)</f>
        <v>0.4</v>
      </c>
      <c r="G6" s="32">
        <v>0</v>
      </c>
      <c r="H6" s="6">
        <v>0</v>
      </c>
      <c r="I6" s="6">
        <v>0.1</v>
      </c>
      <c r="J6" s="33">
        <f>(G6+H6+I6)</f>
        <v>0.1</v>
      </c>
      <c r="K6" s="24"/>
      <c r="L6" s="5"/>
      <c r="M6" s="5"/>
      <c r="N6" s="5"/>
    </row>
    <row r="7" spans="1:14" x14ac:dyDescent="0.25">
      <c r="A7" s="968"/>
      <c r="B7" s="5">
        <v>5</v>
      </c>
      <c r="C7" s="6">
        <v>0</v>
      </c>
      <c r="D7" s="6">
        <v>0</v>
      </c>
      <c r="E7" s="6">
        <v>0</v>
      </c>
      <c r="F7" s="7">
        <f>(C7+D7+E7)</f>
        <v>0</v>
      </c>
      <c r="G7" s="32">
        <v>0</v>
      </c>
      <c r="H7" s="6">
        <v>0</v>
      </c>
      <c r="I7" s="6">
        <v>0</v>
      </c>
      <c r="J7" s="33">
        <f>(G7+H7+I7)</f>
        <v>0</v>
      </c>
      <c r="K7" s="24"/>
      <c r="L7" s="5"/>
      <c r="M7" s="5"/>
      <c r="N7" s="5"/>
    </row>
    <row r="8" spans="1:14" x14ac:dyDescent="0.25">
      <c r="A8" s="968" t="s">
        <v>562</v>
      </c>
      <c r="B8" s="9">
        <v>6</v>
      </c>
      <c r="C8" s="10">
        <v>0.1</v>
      </c>
      <c r="D8" s="10">
        <v>0.1</v>
      </c>
      <c r="E8" s="10">
        <v>0.1</v>
      </c>
      <c r="F8" s="11">
        <f>C8+D8+E8</f>
        <v>0.30000000000000004</v>
      </c>
      <c r="G8" s="34"/>
      <c r="H8" s="9"/>
      <c r="I8" s="9"/>
      <c r="J8" s="35"/>
      <c r="K8" s="25"/>
      <c r="L8" s="9"/>
      <c r="M8" s="9"/>
      <c r="N8" s="9"/>
    </row>
    <row r="9" spans="1:14" x14ac:dyDescent="0.25">
      <c r="A9" s="968"/>
      <c r="B9" s="9">
        <v>7</v>
      </c>
      <c r="C9" s="9"/>
      <c r="D9" s="9"/>
      <c r="E9" s="9"/>
      <c r="F9" s="19"/>
      <c r="G9" s="36"/>
      <c r="H9" s="9"/>
      <c r="I9" s="9"/>
      <c r="J9" s="35"/>
      <c r="K9" s="25"/>
      <c r="L9" s="9"/>
      <c r="M9" s="9"/>
      <c r="N9" s="9"/>
    </row>
    <row r="10" spans="1:14" x14ac:dyDescent="0.25">
      <c r="A10" s="968"/>
      <c r="B10" s="9">
        <v>8</v>
      </c>
      <c r="C10" s="9"/>
      <c r="D10" s="9"/>
      <c r="E10" s="9"/>
      <c r="F10" s="19"/>
      <c r="G10" s="36"/>
      <c r="H10" s="9"/>
      <c r="I10" s="9"/>
      <c r="J10" s="35"/>
      <c r="K10" s="25"/>
      <c r="L10" s="9"/>
      <c r="M10" s="9"/>
      <c r="N10" s="9"/>
    </row>
    <row r="11" spans="1:14" x14ac:dyDescent="0.25">
      <c r="A11" s="968"/>
      <c r="B11" s="9">
        <v>9</v>
      </c>
      <c r="C11" s="9"/>
      <c r="D11" s="9"/>
      <c r="E11" s="9"/>
      <c r="F11" s="19"/>
      <c r="G11" s="36"/>
      <c r="H11" s="9"/>
      <c r="I11" s="9"/>
      <c r="J11" s="35"/>
      <c r="K11" s="25"/>
      <c r="L11" s="9"/>
      <c r="M11" s="9"/>
      <c r="N11" s="9"/>
    </row>
    <row r="12" spans="1:14" x14ac:dyDescent="0.25">
      <c r="A12" s="968" t="s">
        <v>563</v>
      </c>
      <c r="B12" s="14">
        <v>10</v>
      </c>
      <c r="C12" s="14"/>
      <c r="D12" s="14"/>
      <c r="E12" s="14"/>
      <c r="F12" s="20"/>
      <c r="G12" s="37"/>
      <c r="H12" s="14"/>
      <c r="I12" s="14"/>
      <c r="J12" s="38"/>
      <c r="K12" s="26"/>
      <c r="L12" s="14"/>
      <c r="M12" s="14"/>
      <c r="N12" s="14"/>
    </row>
    <row r="13" spans="1:14" x14ac:dyDescent="0.25">
      <c r="A13" s="968"/>
      <c r="B13" s="14">
        <v>11</v>
      </c>
      <c r="C13" s="14"/>
      <c r="D13" s="14"/>
      <c r="E13" s="14"/>
      <c r="F13" s="20"/>
      <c r="G13" s="37"/>
      <c r="H13" s="14"/>
      <c r="I13" s="14"/>
      <c r="J13" s="38"/>
      <c r="K13" s="26"/>
      <c r="L13" s="14"/>
      <c r="M13" s="14"/>
      <c r="N13" s="14"/>
    </row>
    <row r="14" spans="1:14" x14ac:dyDescent="0.25">
      <c r="A14" s="968"/>
      <c r="B14" s="14">
        <v>12</v>
      </c>
      <c r="C14" s="14"/>
      <c r="D14" s="14"/>
      <c r="E14" s="14"/>
      <c r="F14" s="20"/>
      <c r="G14" s="37"/>
      <c r="H14" s="14"/>
      <c r="I14" s="14"/>
      <c r="J14" s="38"/>
      <c r="K14" s="26"/>
      <c r="L14" s="14"/>
      <c r="M14" s="14"/>
      <c r="N14" s="14"/>
    </row>
    <row r="15" spans="1:14" x14ac:dyDescent="0.25">
      <c r="A15" s="968"/>
      <c r="B15" s="14">
        <v>13</v>
      </c>
      <c r="C15" s="14"/>
      <c r="D15" s="14"/>
      <c r="E15" s="14"/>
      <c r="F15" s="20"/>
      <c r="G15" s="37"/>
      <c r="H15" s="14"/>
      <c r="I15" s="14"/>
      <c r="J15" s="38"/>
      <c r="K15" s="26"/>
      <c r="L15" s="14"/>
      <c r="M15" s="14"/>
      <c r="N15" s="14"/>
    </row>
    <row r="16" spans="1:14" x14ac:dyDescent="0.25">
      <c r="A16" s="968" t="s">
        <v>564</v>
      </c>
      <c r="B16" s="15">
        <v>14</v>
      </c>
      <c r="C16" s="15"/>
      <c r="D16" s="15"/>
      <c r="E16" s="15"/>
      <c r="F16" s="21"/>
      <c r="G16" s="39"/>
      <c r="H16" s="15"/>
      <c r="I16" s="15"/>
      <c r="J16" s="40"/>
      <c r="K16" s="27"/>
      <c r="L16" s="15"/>
      <c r="M16" s="15"/>
      <c r="N16" s="15"/>
    </row>
    <row r="17" spans="1:14" x14ac:dyDescent="0.25">
      <c r="A17" s="968"/>
      <c r="B17" s="15">
        <v>15</v>
      </c>
      <c r="C17" s="15"/>
      <c r="D17" s="15"/>
      <c r="E17" s="15"/>
      <c r="F17" s="21"/>
      <c r="G17" s="39"/>
      <c r="H17" s="15"/>
      <c r="I17" s="15"/>
      <c r="J17" s="40"/>
      <c r="K17" s="27"/>
      <c r="L17" s="15"/>
      <c r="M17" s="15"/>
      <c r="N17" s="15"/>
    </row>
    <row r="18" spans="1:14" x14ac:dyDescent="0.25">
      <c r="A18" s="968"/>
      <c r="B18" s="15">
        <v>16</v>
      </c>
      <c r="C18" s="15"/>
      <c r="D18" s="15"/>
      <c r="E18" s="15"/>
      <c r="F18" s="21"/>
      <c r="G18" s="39"/>
      <c r="H18" s="15"/>
      <c r="I18" s="15"/>
      <c r="J18" s="40"/>
      <c r="K18" s="27"/>
      <c r="L18" s="15"/>
      <c r="M18" s="15"/>
      <c r="N18" s="15"/>
    </row>
    <row r="19" spans="1:14" x14ac:dyDescent="0.25">
      <c r="A19" s="968" t="s">
        <v>565</v>
      </c>
      <c r="B19" s="18">
        <v>17</v>
      </c>
      <c r="C19" s="18"/>
      <c r="D19" s="18"/>
      <c r="E19" s="18"/>
      <c r="F19" s="22"/>
      <c r="G19" s="41"/>
      <c r="H19" s="18"/>
      <c r="I19" s="18"/>
      <c r="J19" s="42"/>
      <c r="K19" s="28"/>
      <c r="L19" s="18"/>
      <c r="M19" s="18"/>
      <c r="N19" s="18"/>
    </row>
    <row r="20" spans="1:14" x14ac:dyDescent="0.25">
      <c r="A20" s="968"/>
      <c r="B20" s="18">
        <v>18</v>
      </c>
      <c r="C20" s="18"/>
      <c r="D20" s="18"/>
      <c r="E20" s="18"/>
      <c r="F20" s="22"/>
      <c r="G20" s="41"/>
      <c r="H20" s="18"/>
      <c r="I20" s="18"/>
      <c r="J20" s="42"/>
      <c r="K20" s="28"/>
      <c r="L20" s="18"/>
      <c r="M20" s="18"/>
      <c r="N20" s="18"/>
    </row>
    <row r="21" spans="1:14" x14ac:dyDescent="0.25">
      <c r="A21" s="968"/>
      <c r="B21" s="18">
        <v>19</v>
      </c>
      <c r="C21" s="18"/>
      <c r="D21" s="18"/>
      <c r="E21" s="18"/>
      <c r="F21" s="22"/>
      <c r="G21" s="41"/>
      <c r="H21" s="18"/>
      <c r="I21" s="18"/>
      <c r="J21" s="42"/>
      <c r="K21" s="28"/>
      <c r="L21" s="18"/>
      <c r="M21" s="18"/>
      <c r="N21" s="18"/>
    </row>
    <row r="22" spans="1:14" x14ac:dyDescent="0.25">
      <c r="A22" s="968"/>
      <c r="B22" s="18">
        <v>20</v>
      </c>
      <c r="C22" s="18"/>
      <c r="D22" s="18"/>
      <c r="E22" s="18"/>
      <c r="F22" s="22"/>
      <c r="G22" s="41"/>
      <c r="H22" s="18"/>
      <c r="I22" s="18"/>
      <c r="J22" s="42"/>
      <c r="K22" s="28"/>
      <c r="L22" s="18"/>
      <c r="M22" s="18"/>
      <c r="N22" s="18"/>
    </row>
    <row r="23" spans="1:14" x14ac:dyDescent="0.25">
      <c r="A23" s="968" t="s">
        <v>566</v>
      </c>
      <c r="B23" s="13">
        <v>21</v>
      </c>
      <c r="C23" s="13"/>
      <c r="D23" s="13"/>
      <c r="E23" s="13"/>
      <c r="F23" s="23"/>
      <c r="G23" s="43"/>
      <c r="H23" s="13"/>
      <c r="I23" s="13"/>
      <c r="J23" s="44"/>
      <c r="K23" s="29"/>
      <c r="L23" s="13"/>
      <c r="M23" s="13"/>
      <c r="N23" s="13"/>
    </row>
    <row r="24" spans="1:14" x14ac:dyDescent="0.25">
      <c r="A24" s="968"/>
      <c r="B24" s="13">
        <v>22</v>
      </c>
      <c r="C24" s="13"/>
      <c r="D24" s="13"/>
      <c r="E24" s="13"/>
      <c r="F24" s="23"/>
      <c r="G24" s="43"/>
      <c r="H24" s="13"/>
      <c r="I24" s="13"/>
      <c r="J24" s="44"/>
      <c r="K24" s="29"/>
      <c r="L24" s="13"/>
      <c r="M24" s="13"/>
      <c r="N24" s="13"/>
    </row>
    <row r="25" spans="1:14" x14ac:dyDescent="0.25">
      <c r="A25" s="968"/>
      <c r="B25" s="13">
        <v>23</v>
      </c>
      <c r="C25" s="13"/>
      <c r="D25" s="13"/>
      <c r="E25" s="13"/>
      <c r="F25" s="23"/>
      <c r="G25" s="43"/>
      <c r="H25" s="13"/>
      <c r="I25" s="13"/>
      <c r="J25" s="44"/>
      <c r="K25" s="29"/>
      <c r="L25" s="13"/>
      <c r="M25" s="13"/>
      <c r="N25" s="13"/>
    </row>
    <row r="26" spans="1:14" x14ac:dyDescent="0.25">
      <c r="A26" s="968"/>
      <c r="B26" s="13">
        <v>24</v>
      </c>
      <c r="C26" s="13"/>
      <c r="D26" s="13"/>
      <c r="E26" s="13"/>
      <c r="F26" s="23"/>
      <c r="G26" s="43"/>
      <c r="H26" s="13"/>
      <c r="I26" s="13"/>
      <c r="J26" s="44"/>
      <c r="K26" s="29"/>
      <c r="L26" s="13"/>
      <c r="M26" s="13"/>
      <c r="N26" s="13"/>
    </row>
    <row r="27" spans="1:14" x14ac:dyDescent="0.25">
      <c r="A27" s="968" t="s">
        <v>567</v>
      </c>
      <c r="B27" s="9">
        <v>25</v>
      </c>
      <c r="C27" s="9"/>
      <c r="D27" s="9"/>
      <c r="E27" s="9"/>
      <c r="F27" s="9"/>
      <c r="G27" s="9"/>
      <c r="H27" s="9"/>
      <c r="I27" s="9"/>
      <c r="J27" s="9"/>
      <c r="K27" s="9"/>
      <c r="L27" s="9"/>
      <c r="M27" s="9"/>
      <c r="N27" s="9"/>
    </row>
    <row r="28" spans="1:14" x14ac:dyDescent="0.25">
      <c r="A28" s="968"/>
      <c r="B28" s="9">
        <v>26</v>
      </c>
      <c r="C28" s="9"/>
      <c r="D28" s="9"/>
      <c r="E28" s="9"/>
      <c r="F28" s="9"/>
      <c r="G28" s="9"/>
      <c r="H28" s="9"/>
      <c r="I28" s="9"/>
      <c r="J28" s="9"/>
      <c r="K28" s="9"/>
      <c r="L28" s="9"/>
      <c r="M28" s="9"/>
      <c r="N28" s="9"/>
    </row>
    <row r="29" spans="1:14" x14ac:dyDescent="0.25">
      <c r="A29" s="968"/>
      <c r="B29" s="9">
        <v>27</v>
      </c>
      <c r="C29" s="9"/>
      <c r="D29" s="9"/>
      <c r="E29" s="9"/>
      <c r="F29" s="9"/>
      <c r="G29" s="9"/>
      <c r="H29" s="9"/>
      <c r="I29" s="9"/>
      <c r="J29" s="9"/>
      <c r="K29" s="9"/>
      <c r="L29" s="9"/>
      <c r="M29" s="9"/>
      <c r="N29" s="9"/>
    </row>
    <row r="30" spans="1:14" x14ac:dyDescent="0.25">
      <c r="A30" s="968"/>
      <c r="B30" s="9">
        <v>28</v>
      </c>
      <c r="C30" s="9"/>
      <c r="D30" s="9"/>
      <c r="E30" s="9"/>
      <c r="F30" s="9"/>
      <c r="G30" s="9"/>
      <c r="H30" s="9"/>
      <c r="I30" s="9"/>
      <c r="J30" s="9"/>
      <c r="K30" s="9"/>
      <c r="L30" s="9"/>
      <c r="M30" s="9"/>
      <c r="N30" s="9"/>
    </row>
    <row r="31" spans="1:14" x14ac:dyDescent="0.25">
      <c r="A31" s="968"/>
      <c r="B31" s="9">
        <v>29</v>
      </c>
      <c r="C31" s="9"/>
      <c r="D31" s="9"/>
      <c r="E31" s="9"/>
      <c r="F31" s="9"/>
      <c r="G31" s="9"/>
      <c r="H31" s="9"/>
      <c r="I31" s="9"/>
      <c r="J31" s="9"/>
      <c r="K31" s="9"/>
      <c r="L31" s="9"/>
      <c r="M31" s="9"/>
      <c r="N31" s="9"/>
    </row>
    <row r="32" spans="1:14" x14ac:dyDescent="0.25">
      <c r="A32" s="968" t="s">
        <v>568</v>
      </c>
      <c r="B32" s="16">
        <v>30</v>
      </c>
      <c r="C32" s="16"/>
      <c r="D32" s="16"/>
      <c r="E32" s="16"/>
      <c r="F32" s="16"/>
      <c r="G32" s="16"/>
      <c r="H32" s="16"/>
      <c r="I32" s="16"/>
      <c r="J32" s="16"/>
      <c r="K32" s="16"/>
      <c r="L32" s="16"/>
      <c r="M32" s="16"/>
      <c r="N32" s="16"/>
    </row>
    <row r="33" spans="1:14" x14ac:dyDescent="0.25">
      <c r="A33" s="968"/>
      <c r="B33" s="16">
        <v>31</v>
      </c>
      <c r="C33" s="16"/>
      <c r="D33" s="16"/>
      <c r="E33" s="16"/>
      <c r="F33" s="16"/>
      <c r="G33" s="16"/>
      <c r="H33" s="16"/>
      <c r="I33" s="16"/>
      <c r="J33" s="16"/>
      <c r="K33" s="16"/>
      <c r="L33" s="16"/>
      <c r="M33" s="16"/>
      <c r="N33" s="16"/>
    </row>
    <row r="34" spans="1:14" x14ac:dyDescent="0.25">
      <c r="A34" s="968"/>
      <c r="B34" s="16">
        <v>32</v>
      </c>
      <c r="C34" s="16"/>
      <c r="D34" s="16"/>
      <c r="E34" s="16"/>
      <c r="F34" s="16"/>
      <c r="G34" s="16"/>
      <c r="H34" s="16"/>
      <c r="I34" s="16"/>
      <c r="J34" s="16"/>
      <c r="K34" s="16"/>
      <c r="L34" s="16"/>
      <c r="M34" s="16"/>
      <c r="N34" s="16"/>
    </row>
    <row r="35" spans="1:14" x14ac:dyDescent="0.25">
      <c r="A35" s="968" t="s">
        <v>569</v>
      </c>
      <c r="B35" s="17">
        <v>33</v>
      </c>
      <c r="C35" s="14"/>
      <c r="D35" s="14"/>
      <c r="E35" s="14"/>
      <c r="F35" s="14"/>
      <c r="G35" s="14"/>
      <c r="H35" s="14"/>
      <c r="I35" s="14"/>
      <c r="J35" s="14"/>
      <c r="K35" s="14"/>
      <c r="L35" s="14"/>
      <c r="M35" s="14"/>
      <c r="N35" s="14"/>
    </row>
    <row r="36" spans="1:14" x14ac:dyDescent="0.25">
      <c r="A36" s="968"/>
      <c r="B36" s="14">
        <v>34</v>
      </c>
      <c r="C36" s="14"/>
      <c r="D36" s="14"/>
      <c r="E36" s="14"/>
      <c r="F36" s="14"/>
      <c r="G36" s="14"/>
      <c r="H36" s="14"/>
      <c r="I36" s="14"/>
      <c r="J36" s="14"/>
      <c r="K36" s="14"/>
      <c r="L36" s="14"/>
      <c r="M36" s="14"/>
      <c r="N36" s="14"/>
    </row>
    <row r="37" spans="1:14" x14ac:dyDescent="0.25">
      <c r="A37" s="968"/>
      <c r="B37" s="45">
        <v>35</v>
      </c>
      <c r="C37" s="14"/>
      <c r="D37" s="14"/>
      <c r="E37" s="14"/>
      <c r="F37" s="14"/>
      <c r="G37" s="14"/>
      <c r="H37" s="14"/>
      <c r="I37" s="14"/>
      <c r="J37" s="14"/>
      <c r="K37" s="14"/>
      <c r="L37" s="14"/>
      <c r="M37" s="14"/>
      <c r="N37" s="14"/>
    </row>
    <row r="38" spans="1:14" x14ac:dyDescent="0.25">
      <c r="A38" s="968" t="s">
        <v>570</v>
      </c>
      <c r="B38" s="8">
        <v>36</v>
      </c>
      <c r="C38" s="8"/>
      <c r="D38" s="8"/>
      <c r="E38" s="8"/>
      <c r="F38" s="8"/>
      <c r="G38" s="8"/>
      <c r="H38" s="8"/>
      <c r="I38" s="8"/>
      <c r="J38" s="8"/>
      <c r="K38" s="8"/>
      <c r="L38" s="8"/>
      <c r="M38" s="8"/>
      <c r="N38" s="8"/>
    </row>
    <row r="39" spans="1:14" x14ac:dyDescent="0.25">
      <c r="A39" s="968"/>
      <c r="B39" s="8">
        <v>37</v>
      </c>
      <c r="C39" s="8"/>
      <c r="D39" s="8"/>
      <c r="E39" s="8"/>
      <c r="F39" s="8"/>
      <c r="G39" s="8"/>
      <c r="H39" s="8"/>
      <c r="I39" s="8"/>
      <c r="J39" s="8"/>
      <c r="K39" s="8"/>
      <c r="L39" s="8"/>
      <c r="M39" s="8"/>
      <c r="N39" s="8"/>
    </row>
    <row r="40" spans="1:14" x14ac:dyDescent="0.25">
      <c r="A40" s="968"/>
      <c r="B40" s="8">
        <v>38</v>
      </c>
      <c r="C40" s="8"/>
      <c r="D40" s="8"/>
      <c r="E40" s="8"/>
      <c r="F40" s="8"/>
      <c r="G40" s="8"/>
      <c r="H40" s="8"/>
      <c r="I40" s="8"/>
      <c r="J40" s="8"/>
      <c r="K40" s="8"/>
      <c r="L40" s="8"/>
      <c r="M40" s="8"/>
      <c r="N40" s="8"/>
    </row>
    <row r="41" spans="1:14" x14ac:dyDescent="0.25">
      <c r="A41" s="974" t="s">
        <v>571</v>
      </c>
      <c r="B41" s="46">
        <v>39</v>
      </c>
      <c r="C41" s="47"/>
      <c r="D41" s="47"/>
      <c r="E41" s="47"/>
      <c r="F41" s="47"/>
      <c r="G41" s="47"/>
      <c r="H41" s="47"/>
      <c r="I41" s="47"/>
      <c r="J41" s="47"/>
      <c r="K41" s="47"/>
      <c r="L41" s="47"/>
      <c r="M41" s="47"/>
      <c r="N41" s="47"/>
    </row>
    <row r="42" spans="1:14" x14ac:dyDescent="0.25">
      <c r="A42" s="974"/>
      <c r="B42" s="47">
        <v>40</v>
      </c>
      <c r="C42" s="47"/>
      <c r="D42" s="47"/>
      <c r="E42" s="47"/>
      <c r="F42" s="47"/>
      <c r="G42" s="47"/>
      <c r="H42" s="47"/>
      <c r="I42" s="47"/>
      <c r="J42" s="47"/>
      <c r="K42" s="47"/>
      <c r="L42" s="47"/>
      <c r="M42" s="47"/>
      <c r="N42" s="47"/>
    </row>
    <row r="43" spans="1:14" x14ac:dyDescent="0.25">
      <c r="A43" s="974"/>
      <c r="B43" s="47">
        <v>41</v>
      </c>
      <c r="C43" s="47"/>
      <c r="D43" s="47"/>
      <c r="E43" s="47"/>
      <c r="F43" s="47"/>
      <c r="G43" s="47"/>
      <c r="H43" s="47"/>
      <c r="I43" s="47"/>
      <c r="J43" s="47"/>
      <c r="K43" s="47"/>
      <c r="L43" s="47"/>
      <c r="M43" s="47"/>
      <c r="N43" s="47"/>
    </row>
    <row r="44" spans="1:14" x14ac:dyDescent="0.25">
      <c r="A44" s="974"/>
      <c r="B44" s="48">
        <v>42</v>
      </c>
      <c r="C44" s="47"/>
      <c r="D44" s="47"/>
      <c r="E44" s="47"/>
      <c r="F44" s="47"/>
      <c r="G44" s="47"/>
      <c r="H44" s="47"/>
      <c r="I44" s="47"/>
      <c r="J44" s="47"/>
      <c r="K44" s="47"/>
      <c r="L44" s="47"/>
      <c r="M44" s="47"/>
      <c r="N44" s="47"/>
    </row>
    <row r="45" spans="1:14" x14ac:dyDescent="0.25">
      <c r="A45" s="967" t="s">
        <v>572</v>
      </c>
      <c r="B45" s="12">
        <v>43</v>
      </c>
      <c r="C45" s="12"/>
      <c r="D45" s="12"/>
      <c r="E45" s="12"/>
      <c r="F45" s="12"/>
      <c r="G45" s="12"/>
      <c r="H45" s="12"/>
      <c r="I45" s="12"/>
      <c r="J45" s="12"/>
      <c r="K45" s="12"/>
      <c r="L45" s="12"/>
      <c r="M45" s="12"/>
      <c r="N45" s="12"/>
    </row>
    <row r="46" spans="1:14" x14ac:dyDescent="0.25">
      <c r="A46" s="967"/>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A3D759-A891-49B9-8713-B8BEE3396382}">
  <ds:schemaRefs>
    <ds:schemaRef ds:uri="http://schemas.microsoft.com/sharepoint/v3/contenttype/forms"/>
  </ds:schemaRefs>
</ds:datastoreItem>
</file>

<file path=customXml/itemProps2.xml><?xml version="1.0" encoding="utf-8"?>
<ds:datastoreItem xmlns:ds="http://schemas.openxmlformats.org/officeDocument/2006/customXml" ds:itemID="{807968C9-3991-48EF-9253-E38F54A9C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Meta 1</vt:lpstr>
      <vt:lpstr>Meta 2</vt:lpstr>
      <vt:lpstr>Meta 3</vt:lpstr>
      <vt:lpstr>Meta 1..n</vt:lpstr>
      <vt:lpstr>Meta 4</vt:lpstr>
      <vt:lpstr>Meta 5</vt:lpstr>
      <vt:lpstr>Meta 6</vt:lpstr>
      <vt:lpstr>Meta 7</vt:lpstr>
      <vt:lpstr>Indicadores PA</vt:lpstr>
      <vt:lpstr>Territorialización PA</vt:lpstr>
      <vt:lpstr>Instructivo</vt:lpstr>
      <vt:lpstr>Generalidades</vt:lpstr>
      <vt:lpstr>Hoja13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dcterms:created xsi:type="dcterms:W3CDTF">2011-04-26T22:16:52Z</dcterms:created>
  <dcterms:modified xsi:type="dcterms:W3CDTF">2023-12-07T17:02:03Z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