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threadedComments/threadedComment2.xml" ContentType="application/vnd.ms-excel.threadedcomments+xml"/>
  <Override PartName="/xl/drawings/drawing8.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0"/>
  <workbookPr defaultThemeVersion="124226"/>
  <mc:AlternateContent xmlns:mc="http://schemas.openxmlformats.org/markup-compatibility/2006">
    <mc:Choice Requires="x15">
      <x15ac:absPath xmlns:x15ac="http://schemas.microsoft.com/office/spreadsheetml/2010/11/ac" url="https://d.docs.live.net/cb095f32e335af2b/TRABAJOS PUBLICOS/SDMUJER/Planeación/PLAN DE ACCIÓN/OCTUBRE/"/>
    </mc:Choice>
  </mc:AlternateContent>
  <xr:revisionPtr revIDLastSave="150" documentId="8_{8653AFD5-E098-B34B-8C03-3562D368F713}" xr6:coauthVersionLast="47" xr6:coauthVersionMax="47" xr10:uidLastSave="{54A23D5A-A18B-6B4E-9FF3-9AF53BA4DA6E}"/>
  <bookViews>
    <workbookView xWindow="0" yWindow="1040" windowWidth="28660" windowHeight="14620" tabRatio="810" activeTab="8" xr2:uid="{00000000-000D-0000-FFFF-FFFF00000000}"/>
  </bookViews>
  <sheets>
    <sheet name="Meta 1" sheetId="40" r:id="rId1"/>
    <sheet name="Meta 2" sheetId="41" r:id="rId2"/>
    <sheet name="Meta 3" sheetId="46" r:id="rId3"/>
    <sheet name="Meta 4" sheetId="42" r:id="rId4"/>
    <sheet name="Meta 5" sheetId="43" r:id="rId5"/>
    <sheet name="Meta 1..n" sheetId="1" state="hidden" r:id="rId6"/>
    <sheet name="Meta 6" sheetId="45" r:id="rId7"/>
    <sheet name="Meta 7" sheetId="44" r:id="rId8"/>
    <sheet name="Indicadores PA" sheetId="36" r:id="rId9"/>
    <sheet name="Territorialización PA" sheetId="37" r:id="rId10"/>
    <sheet name="Instructivo" sheetId="39" r:id="rId11"/>
    <sheet name="Generalidades" sheetId="38" r:id="rId12"/>
    <sheet name="Hoja13" sheetId="32" state="hidden" r:id="rId13"/>
    <sheet name="Hoja1" sheetId="20" state="hidden" r:id="rId14"/>
  </sheets>
  <definedNames>
    <definedName name="_xlnm._FilterDatabase" localSheetId="8" hidden="1">#N/A</definedName>
    <definedName name="_xlnm.Print_Area" localSheetId="8">'Indicadores PA'!$A$1:$AY$23</definedName>
    <definedName name="_xlnm.Print_Area" localSheetId="0">'Meta 1'!$A$1:$AD$41</definedName>
    <definedName name="_xlnm.Print_Area" localSheetId="1">'Meta 2'!$A$1:$AD$44</definedName>
    <definedName name="_xlnm.Print_Area" localSheetId="2">'Meta 3'!$A$1:$AD$43</definedName>
    <definedName name="_xlnm.Print_Area" localSheetId="3">'Meta 4'!$A$1:$AD$43</definedName>
    <definedName name="_xlnm.Print_Area" localSheetId="4">'Meta 5'!$A$1:$AD$39</definedName>
    <definedName name="_xlnm.Print_Area" localSheetId="6">'Meta 6'!$A$1:$AD$43</definedName>
    <definedName name="_xlnm.Print_Area" localSheetId="7">'Meta 7'!$A$1:$AD$41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F16" i="36" l="1"/>
  <c r="BE16" i="36"/>
  <c r="BD16" i="36"/>
  <c r="BC16" i="36"/>
  <c r="BB16" i="36"/>
  <c r="AQ16" i="36"/>
  <c r="R11" i="37"/>
  <c r="N11" i="37"/>
  <c r="AU19" i="36" l="1"/>
  <c r="AU17" i="36"/>
  <c r="AT19" i="36"/>
  <c r="AT27" i="36"/>
  <c r="AT25" i="36"/>
  <c r="AT26" i="36"/>
  <c r="AU26" i="36"/>
  <c r="AU25" i="36"/>
  <c r="N60" i="37"/>
  <c r="N30" i="37"/>
  <c r="AE38" i="42"/>
  <c r="AF38" i="42"/>
  <c r="M35" i="42" l="1"/>
  <c r="AC25" i="41"/>
  <c r="M35" i="46"/>
  <c r="M35" i="40"/>
  <c r="P35" i="40" s="1"/>
  <c r="P35" i="41"/>
  <c r="M41" i="42"/>
  <c r="AF21" i="40"/>
  <c r="AF20" i="40"/>
  <c r="AF19" i="40"/>
  <c r="AF18" i="40"/>
  <c r="R59" i="37"/>
  <c r="R58" i="37"/>
  <c r="R57" i="37"/>
  <c r="R55" i="37"/>
  <c r="R54" i="37"/>
  <c r="R53" i="37"/>
  <c r="R52" i="37"/>
  <c r="R51" i="37"/>
  <c r="R50" i="37"/>
  <c r="R49" i="37"/>
  <c r="R48" i="37"/>
  <c r="R47" i="37"/>
  <c r="R46" i="37"/>
  <c r="R45" i="37"/>
  <c r="R44" i="37"/>
  <c r="R43" i="37"/>
  <c r="R42" i="37"/>
  <c r="R41" i="37"/>
  <c r="R40" i="37"/>
  <c r="R39" i="37"/>
  <c r="R31" i="37"/>
  <c r="R30" i="37"/>
  <c r="R29" i="37"/>
  <c r="R28" i="37"/>
  <c r="R27" i="37"/>
  <c r="R26" i="37"/>
  <c r="R25" i="37"/>
  <c r="R24" i="37"/>
  <c r="R23" i="37"/>
  <c r="R22" i="37"/>
  <c r="R21" i="37"/>
  <c r="R20" i="37"/>
  <c r="R19" i="37"/>
  <c r="R18" i="37"/>
  <c r="R17" i="37"/>
  <c r="R16" i="37"/>
  <c r="R15" i="37"/>
  <c r="R14" i="37"/>
  <c r="R13" i="37"/>
  <c r="R12" i="37"/>
  <c r="Q60" i="37"/>
  <c r="P60" i="37"/>
  <c r="O60" i="37"/>
  <c r="M60" i="37"/>
  <c r="L60" i="37"/>
  <c r="K60" i="37"/>
  <c r="J60" i="37"/>
  <c r="I60" i="37"/>
  <c r="H60" i="37"/>
  <c r="G60" i="37"/>
  <c r="F60" i="37"/>
  <c r="E60" i="37"/>
  <c r="D60" i="37"/>
  <c r="C60" i="37"/>
  <c r="M41" i="45"/>
  <c r="M43" i="45"/>
  <c r="M39" i="45"/>
  <c r="AZ16" i="36"/>
  <c r="AT18" i="36"/>
  <c r="AT17" i="36"/>
  <c r="AT16" i="36"/>
  <c r="AU16" i="36" s="1"/>
  <c r="AT15" i="36"/>
  <c r="AT14" i="36"/>
  <c r="M35" i="44"/>
  <c r="L35" i="44"/>
  <c r="K35" i="44"/>
  <c r="J35" i="44"/>
  <c r="I35" i="44"/>
  <c r="H35" i="44"/>
  <c r="G35" i="44"/>
  <c r="F35" i="44"/>
  <c r="E35" i="44"/>
  <c r="D35" i="44"/>
  <c r="M41" i="44"/>
  <c r="M39" i="44"/>
  <c r="E39" i="43"/>
  <c r="M35" i="43"/>
  <c r="N32" i="37"/>
  <c r="L32" i="37"/>
  <c r="K32" i="37"/>
  <c r="J32" i="37"/>
  <c r="H32" i="37"/>
  <c r="G32" i="37"/>
  <c r="F32" i="37"/>
  <c r="D32" i="37"/>
  <c r="P39" i="42"/>
  <c r="M43" i="42"/>
  <c r="M39" i="42"/>
  <c r="M41" i="46"/>
  <c r="M43" i="46"/>
  <c r="L43" i="46"/>
  <c r="K43" i="46"/>
  <c r="J43" i="46"/>
  <c r="I43" i="46"/>
  <c r="H43" i="46"/>
  <c r="G43" i="46"/>
  <c r="F43" i="46"/>
  <c r="E43" i="46"/>
  <c r="D43" i="46"/>
  <c r="M39" i="46"/>
  <c r="AG15" i="36"/>
  <c r="M34" i="44"/>
  <c r="L34" i="44"/>
  <c r="K34" i="44"/>
  <c r="J34" i="44"/>
  <c r="I34" i="44"/>
  <c r="H34" i="44"/>
  <c r="G34" i="44"/>
  <c r="F34" i="44"/>
  <c r="E34" i="44"/>
  <c r="D34" i="44"/>
  <c r="P35" i="44"/>
  <c r="P34" i="44"/>
  <c r="AD25" i="44"/>
  <c r="AD23" i="44"/>
  <c r="AD25" i="45"/>
  <c r="AD23" i="45"/>
  <c r="AD25" i="43"/>
  <c r="AD23" i="43"/>
  <c r="AD25" i="42"/>
  <c r="AD23" i="42"/>
  <c r="AD25" i="46"/>
  <c r="AD23" i="46"/>
  <c r="P25" i="46"/>
  <c r="AD25" i="41"/>
  <c r="AD23" i="41"/>
  <c r="AD25" i="40"/>
  <c r="AD23" i="40"/>
  <c r="P41" i="40"/>
  <c r="O24" i="40"/>
  <c r="D24" i="40"/>
  <c r="P40" i="40"/>
  <c r="S15" i="36"/>
  <c r="R15" i="36"/>
  <c r="Z24" i="44"/>
  <c r="Z24" i="45"/>
  <c r="Z24" i="43"/>
  <c r="Z24" i="42"/>
  <c r="Z24" i="46"/>
  <c r="Z24" i="41"/>
  <c r="Z24" i="40"/>
  <c r="V24" i="44"/>
  <c r="V22" i="44"/>
  <c r="V24" i="45"/>
  <c r="V22" i="45"/>
  <c r="V24" i="43"/>
  <c r="V22" i="43"/>
  <c r="V24" i="42"/>
  <c r="V22" i="42"/>
  <c r="H24" i="42"/>
  <c r="V24" i="46"/>
  <c r="V22" i="46"/>
  <c r="H24" i="46"/>
  <c r="V24" i="41"/>
  <c r="V22" i="41"/>
  <c r="AC22" i="41"/>
  <c r="V24" i="40"/>
  <c r="V22" i="40"/>
  <c r="AU18" i="36"/>
  <c r="AD15" i="36"/>
  <c r="AA15" i="36"/>
  <c r="X15" i="36"/>
  <c r="B59" i="44"/>
  <c r="A59" i="44"/>
  <c r="B57" i="44"/>
  <c r="A57" i="44"/>
  <c r="B61" i="45"/>
  <c r="A61" i="45"/>
  <c r="B59" i="45"/>
  <c r="A59" i="45"/>
  <c r="B57" i="45"/>
  <c r="A57" i="45"/>
  <c r="L57" i="43"/>
  <c r="L68" i="43"/>
  <c r="L69" i="43"/>
  <c r="B57" i="43"/>
  <c r="A57" i="43"/>
  <c r="B61" i="42"/>
  <c r="A61" i="42"/>
  <c r="B59" i="42"/>
  <c r="A59" i="42"/>
  <c r="B57" i="42"/>
  <c r="A57" i="42"/>
  <c r="B61" i="46"/>
  <c r="A61" i="46"/>
  <c r="B59" i="46"/>
  <c r="A59" i="46"/>
  <c r="B57" i="46"/>
  <c r="A57" i="46"/>
  <c r="B59" i="40"/>
  <c r="A59" i="40"/>
  <c r="O58" i="40"/>
  <c r="N58" i="40"/>
  <c r="L58" i="40"/>
  <c r="K58" i="40"/>
  <c r="J58" i="40"/>
  <c r="I58" i="40"/>
  <c r="H58" i="40"/>
  <c r="G58" i="40"/>
  <c r="F58" i="40"/>
  <c r="E58" i="40"/>
  <c r="D58" i="40"/>
  <c r="O57" i="40"/>
  <c r="N57" i="40"/>
  <c r="M57" i="40"/>
  <c r="L57" i="40"/>
  <c r="K57" i="40"/>
  <c r="J57" i="40"/>
  <c r="I57" i="40"/>
  <c r="G57" i="40"/>
  <c r="F57" i="40"/>
  <c r="E57" i="40"/>
  <c r="D57" i="40"/>
  <c r="B57" i="40"/>
  <c r="A57" i="40"/>
  <c r="P42" i="46"/>
  <c r="C24" i="44"/>
  <c r="O24" i="44"/>
  <c r="C24" i="45"/>
  <c r="C24" i="42"/>
  <c r="C24" i="46"/>
  <c r="AB24" i="44"/>
  <c r="AA24" i="44"/>
  <c r="Y24" i="44"/>
  <c r="X24" i="44"/>
  <c r="W24" i="44"/>
  <c r="AC24" i="44"/>
  <c r="U24" i="44"/>
  <c r="T24" i="44"/>
  <c r="S24" i="44"/>
  <c r="R24" i="44"/>
  <c r="Q22" i="44"/>
  <c r="T22" i="44"/>
  <c r="AA24" i="45"/>
  <c r="Y24" i="45"/>
  <c r="W24" i="45"/>
  <c r="U24" i="45"/>
  <c r="T22" i="45"/>
  <c r="AC22" i="45"/>
  <c r="AB24" i="45"/>
  <c r="X24" i="45"/>
  <c r="T24" i="45"/>
  <c r="AC24" i="45"/>
  <c r="AA24" i="43"/>
  <c r="Y24" i="43"/>
  <c r="W24" i="43"/>
  <c r="U24" i="43"/>
  <c r="AB24" i="42"/>
  <c r="AA24" i="42"/>
  <c r="Y24" i="42"/>
  <c r="X24" i="42"/>
  <c r="W24" i="42"/>
  <c r="U24" i="42"/>
  <c r="T24" i="42"/>
  <c r="S22" i="42"/>
  <c r="AC22" i="42"/>
  <c r="T22" i="42"/>
  <c r="AB24" i="46"/>
  <c r="AA24" i="46"/>
  <c r="Y24" i="46"/>
  <c r="X24" i="46"/>
  <c r="W24" i="46"/>
  <c r="U24" i="46"/>
  <c r="T24" i="46"/>
  <c r="S22" i="46"/>
  <c r="T22" i="46"/>
  <c r="AC22" i="46"/>
  <c r="AA24" i="41"/>
  <c r="Y24" i="41"/>
  <c r="W24" i="41"/>
  <c r="U24" i="41"/>
  <c r="AC24" i="41"/>
  <c r="AA24" i="40"/>
  <c r="Y24" i="40"/>
  <c r="W24" i="40"/>
  <c r="AC22" i="40"/>
  <c r="U24" i="40"/>
  <c r="D24" i="44"/>
  <c r="D24" i="45"/>
  <c r="O24" i="45"/>
  <c r="D24" i="43"/>
  <c r="O24" i="43"/>
  <c r="D24" i="42"/>
  <c r="O24" i="42"/>
  <c r="D24" i="46"/>
  <c r="D24" i="41"/>
  <c r="F24" i="42"/>
  <c r="F24" i="46"/>
  <c r="E24" i="42"/>
  <c r="E24" i="46"/>
  <c r="G24" i="42"/>
  <c r="G24" i="46"/>
  <c r="P42" i="41"/>
  <c r="P43" i="46"/>
  <c r="P41" i="46"/>
  <c r="P40" i="46"/>
  <c r="P39" i="46"/>
  <c r="P38" i="46"/>
  <c r="G58" i="46"/>
  <c r="P30" i="46"/>
  <c r="O25" i="46"/>
  <c r="AC25" i="46"/>
  <c r="AC23" i="46"/>
  <c r="O23" i="46"/>
  <c r="P23" i="46"/>
  <c r="O22" i="46"/>
  <c r="P43" i="45"/>
  <c r="P42" i="45"/>
  <c r="P41" i="45"/>
  <c r="P40" i="45"/>
  <c r="P39" i="45"/>
  <c r="P38" i="45"/>
  <c r="L58" i="45"/>
  <c r="P30" i="45"/>
  <c r="AC25" i="45"/>
  <c r="O25" i="45"/>
  <c r="P25" i="45"/>
  <c r="AC23" i="45"/>
  <c r="O23" i="45"/>
  <c r="P23" i="45"/>
  <c r="O22" i="45"/>
  <c r="P41" i="44"/>
  <c r="P40" i="44"/>
  <c r="P39" i="44"/>
  <c r="P38" i="44"/>
  <c r="J57" i="44"/>
  <c r="P30" i="44"/>
  <c r="AC25" i="44"/>
  <c r="O25" i="44"/>
  <c r="P25" i="44"/>
  <c r="AC23" i="44"/>
  <c r="O23" i="44"/>
  <c r="P23" i="44"/>
  <c r="O22" i="44"/>
  <c r="P39" i="43"/>
  <c r="P38" i="43"/>
  <c r="M57" i="43"/>
  <c r="O58" i="43"/>
  <c r="O65" i="43"/>
  <c r="O66" i="43"/>
  <c r="P30" i="43"/>
  <c r="AC25" i="43"/>
  <c r="O25" i="43"/>
  <c r="P25" i="43"/>
  <c r="AC23" i="43"/>
  <c r="O23" i="43"/>
  <c r="P23" i="43"/>
  <c r="AC22" i="43"/>
  <c r="O22" i="43"/>
  <c r="P43" i="42"/>
  <c r="P42" i="42"/>
  <c r="P41" i="42"/>
  <c r="P40" i="42"/>
  <c r="O60" i="42"/>
  <c r="P38" i="42"/>
  <c r="O57" i="42"/>
  <c r="P30" i="42"/>
  <c r="AC25" i="42"/>
  <c r="O25" i="42"/>
  <c r="P25" i="42"/>
  <c r="AC23" i="42"/>
  <c r="O23" i="42"/>
  <c r="P23" i="42"/>
  <c r="O22" i="42"/>
  <c r="P43" i="41"/>
  <c r="P41" i="41"/>
  <c r="P40" i="41"/>
  <c r="P39" i="41"/>
  <c r="P38" i="41"/>
  <c r="P30" i="41"/>
  <c r="O25" i="41"/>
  <c r="P25" i="41"/>
  <c r="O24" i="41"/>
  <c r="AC23" i="41"/>
  <c r="O23" i="41"/>
  <c r="P23" i="41"/>
  <c r="O22" i="41"/>
  <c r="AU14" i="36"/>
  <c r="AU15" i="36"/>
  <c r="AU13" i="36"/>
  <c r="O23" i="40"/>
  <c r="P23" i="40"/>
  <c r="AC25" i="40"/>
  <c r="AC24" i="40"/>
  <c r="AC23" i="40"/>
  <c r="O25" i="40"/>
  <c r="P25" i="40"/>
  <c r="O22" i="40"/>
  <c r="H60" i="40"/>
  <c r="P39" i="40"/>
  <c r="P38" i="40"/>
  <c r="M58" i="40"/>
  <c r="P30" i="40"/>
  <c r="P28" i="1"/>
  <c r="P24" i="1"/>
  <c r="P29" i="1"/>
  <c r="P32" i="1"/>
  <c r="P34" i="1"/>
  <c r="P35" i="1"/>
  <c r="P36" i="1"/>
  <c r="P37" i="1"/>
  <c r="P38" i="1"/>
  <c r="P39" i="1"/>
  <c r="N4" i="20"/>
  <c r="N3" i="20"/>
  <c r="F8" i="20"/>
  <c r="F7" i="20"/>
  <c r="J7" i="20"/>
  <c r="J6" i="20"/>
  <c r="J5" i="20"/>
  <c r="J4" i="20"/>
  <c r="J3" i="20"/>
  <c r="F6" i="20"/>
  <c r="F5" i="20"/>
  <c r="F4" i="20"/>
  <c r="F3" i="20"/>
  <c r="P33" i="1"/>
  <c r="D58" i="43"/>
  <c r="AC24" i="43"/>
  <c r="D57" i="43"/>
  <c r="D68" i="43"/>
  <c r="D69" i="43"/>
  <c r="H58" i="43"/>
  <c r="H65" i="43"/>
  <c r="H66" i="43"/>
  <c r="H57" i="43"/>
  <c r="H68" i="43"/>
  <c r="H69" i="43"/>
  <c r="L58" i="43"/>
  <c r="L65" i="43"/>
  <c r="L66" i="43"/>
  <c r="E57" i="43"/>
  <c r="E68" i="43"/>
  <c r="E69" i="43"/>
  <c r="I57" i="43"/>
  <c r="I68" i="43"/>
  <c r="I69" i="43"/>
  <c r="M68" i="43"/>
  <c r="M69" i="43"/>
  <c r="E58" i="43"/>
  <c r="E65" i="43"/>
  <c r="E66" i="43"/>
  <c r="I58" i="43"/>
  <c r="I65" i="43"/>
  <c r="I66" i="43"/>
  <c r="M58" i="43"/>
  <c r="M65" i="43"/>
  <c r="M66" i="43"/>
  <c r="F57" i="43"/>
  <c r="F68" i="43"/>
  <c r="F69" i="43"/>
  <c r="J57" i="43"/>
  <c r="J68" i="43"/>
  <c r="J69" i="43"/>
  <c r="N57" i="43"/>
  <c r="N68" i="43"/>
  <c r="N69" i="43"/>
  <c r="F58" i="43"/>
  <c r="F65" i="43"/>
  <c r="F66" i="43"/>
  <c r="J58" i="43"/>
  <c r="J65" i="43"/>
  <c r="J66" i="43"/>
  <c r="N58" i="43"/>
  <c r="N65" i="43"/>
  <c r="N66" i="43"/>
  <c r="G57" i="43"/>
  <c r="G68" i="43"/>
  <c r="G69" i="43"/>
  <c r="K57" i="43"/>
  <c r="K68" i="43"/>
  <c r="K69" i="43"/>
  <c r="O57" i="43"/>
  <c r="O68" i="43"/>
  <c r="O69" i="43"/>
  <c r="G58" i="43"/>
  <c r="G65" i="43"/>
  <c r="G66" i="43"/>
  <c r="K58" i="43"/>
  <c r="K65" i="43"/>
  <c r="K66" i="43"/>
  <c r="J57" i="46"/>
  <c r="L57" i="46"/>
  <c r="J58" i="46"/>
  <c r="L58" i="46"/>
  <c r="E57" i="46"/>
  <c r="O57" i="46"/>
  <c r="M58" i="46"/>
  <c r="O58" i="46"/>
  <c r="F57" i="46"/>
  <c r="H57" i="46"/>
  <c r="F58" i="46"/>
  <c r="H58" i="46"/>
  <c r="K57" i="46"/>
  <c r="M57" i="46"/>
  <c r="I58" i="46"/>
  <c r="K58" i="46"/>
  <c r="D57" i="46"/>
  <c r="N57" i="46"/>
  <c r="D58" i="46"/>
  <c r="N58" i="46"/>
  <c r="G57" i="46"/>
  <c r="I57" i="46"/>
  <c r="E58" i="46"/>
  <c r="P58" i="46" s="1"/>
  <c r="Q58" i="46"/>
  <c r="R58" i="46"/>
  <c r="P57" i="40"/>
  <c r="H65" i="40"/>
  <c r="H66" i="40"/>
  <c r="H35" i="40"/>
  <c r="K60" i="44"/>
  <c r="L59" i="44"/>
  <c r="F59" i="44"/>
  <c r="I60" i="44"/>
  <c r="H59" i="44"/>
  <c r="H60" i="44"/>
  <c r="E59" i="44"/>
  <c r="G60" i="44"/>
  <c r="I59" i="44"/>
  <c r="D59" i="44"/>
  <c r="F60" i="44"/>
  <c r="M59" i="44"/>
  <c r="D60" i="40"/>
  <c r="E57" i="42"/>
  <c r="N57" i="42"/>
  <c r="L58" i="42"/>
  <c r="F59" i="42"/>
  <c r="G60" i="42"/>
  <c r="K59" i="44"/>
  <c r="L60" i="44"/>
  <c r="P57" i="46"/>
  <c r="P58" i="40"/>
  <c r="F59" i="40"/>
  <c r="F68" i="40" s="1"/>
  <c r="F69" i="40" s="1"/>
  <c r="F34" i="40" s="1"/>
  <c r="E60" i="40"/>
  <c r="E65" i="40"/>
  <c r="E66" i="40"/>
  <c r="E35" i="40"/>
  <c r="F57" i="42"/>
  <c r="H59" i="42"/>
  <c r="I60" i="42"/>
  <c r="M60" i="44"/>
  <c r="O58" i="42"/>
  <c r="M58" i="42"/>
  <c r="K58" i="42"/>
  <c r="I58" i="42"/>
  <c r="G58" i="42"/>
  <c r="E58" i="42"/>
  <c r="H57" i="42"/>
  <c r="H58" i="42"/>
  <c r="L57" i="42"/>
  <c r="G57" i="42"/>
  <c r="AC22" i="44"/>
  <c r="H59" i="40"/>
  <c r="G60" i="40"/>
  <c r="I59" i="42"/>
  <c r="N60" i="42"/>
  <c r="N59" i="44"/>
  <c r="N60" i="44"/>
  <c r="I60" i="46"/>
  <c r="N59" i="46"/>
  <c r="F59" i="46"/>
  <c r="M60" i="46"/>
  <c r="D60" i="46"/>
  <c r="H59" i="46"/>
  <c r="L60" i="46"/>
  <c r="G59" i="46"/>
  <c r="K60" i="46"/>
  <c r="O59" i="46"/>
  <c r="E59" i="46"/>
  <c r="J59" i="40"/>
  <c r="J68" i="40"/>
  <c r="J69" i="40"/>
  <c r="J34" i="40"/>
  <c r="I59" i="46"/>
  <c r="H60" i="46"/>
  <c r="D58" i="42"/>
  <c r="N58" i="42"/>
  <c r="J59" i="42"/>
  <c r="G59" i="44"/>
  <c r="O60" i="44"/>
  <c r="D65" i="43"/>
  <c r="D66" i="43"/>
  <c r="P58" i="43"/>
  <c r="J60" i="42"/>
  <c r="O59" i="42"/>
  <c r="G59" i="42"/>
  <c r="H60" i="42"/>
  <c r="M59" i="42"/>
  <c r="E59" i="42"/>
  <c r="M60" i="42"/>
  <c r="D59" i="42"/>
  <c r="L60" i="42"/>
  <c r="N59" i="42"/>
  <c r="K60" i="42"/>
  <c r="L59" i="42"/>
  <c r="P57" i="43"/>
  <c r="N60" i="40"/>
  <c r="N65" i="40"/>
  <c r="N66" i="40"/>
  <c r="F60" i="40"/>
  <c r="M59" i="40"/>
  <c r="M68" i="40"/>
  <c r="M69" i="40"/>
  <c r="M34" i="40"/>
  <c r="G59" i="40"/>
  <c r="G68" i="40"/>
  <c r="G69" i="40"/>
  <c r="G34" i="40"/>
  <c r="L60" i="40"/>
  <c r="L65" i="40"/>
  <c r="L66" i="40"/>
  <c r="L35" i="40"/>
  <c r="D59" i="40"/>
  <c r="K60" i="40"/>
  <c r="K65" i="40"/>
  <c r="K66" i="40"/>
  <c r="K35" i="40"/>
  <c r="O59" i="40"/>
  <c r="J60" i="40"/>
  <c r="N59" i="40"/>
  <c r="N68" i="40"/>
  <c r="N69" i="40"/>
  <c r="N34" i="40"/>
  <c r="I59" i="40"/>
  <c r="I68" i="40"/>
  <c r="I69" i="40"/>
  <c r="I34" i="40"/>
  <c r="O60" i="45"/>
  <c r="G60" i="45"/>
  <c r="H59" i="45"/>
  <c r="M60" i="45"/>
  <c r="E60" i="45"/>
  <c r="L59" i="45"/>
  <c r="F59" i="45"/>
  <c r="N60" i="45"/>
  <c r="L60" i="45"/>
  <c r="O59" i="45"/>
  <c r="I59" i="45"/>
  <c r="K60" i="45"/>
  <c r="N59" i="45"/>
  <c r="G59" i="45"/>
  <c r="AC24" i="46"/>
  <c r="F65" i="40"/>
  <c r="F66" i="40"/>
  <c r="F35" i="40"/>
  <c r="K59" i="40"/>
  <c r="K68" i="40"/>
  <c r="K69" i="40"/>
  <c r="K34" i="40"/>
  <c r="I60" i="40"/>
  <c r="I65" i="40"/>
  <c r="I66" i="40"/>
  <c r="I35" i="40"/>
  <c r="J59" i="46"/>
  <c r="J60" i="46"/>
  <c r="I57" i="42"/>
  <c r="F58" i="42"/>
  <c r="K59" i="42"/>
  <c r="D59" i="45"/>
  <c r="O59" i="44"/>
  <c r="AC24" i="42"/>
  <c r="G65" i="40"/>
  <c r="G66" i="40"/>
  <c r="G35" i="40"/>
  <c r="L59" i="40"/>
  <c r="L68" i="40"/>
  <c r="L69" i="40"/>
  <c r="L34" i="40"/>
  <c r="M60" i="40"/>
  <c r="M65" i="40" s="1"/>
  <c r="M66" i="40" s="1"/>
  <c r="K59" i="46"/>
  <c r="N60" i="46"/>
  <c r="D57" i="42"/>
  <c r="J57" i="42"/>
  <c r="J58" i="42"/>
  <c r="D60" i="42"/>
  <c r="E59" i="45"/>
  <c r="D60" i="45"/>
  <c r="J59" i="44"/>
  <c r="J68" i="44"/>
  <c r="J69" i="44"/>
  <c r="D60" i="44"/>
  <c r="K57" i="44"/>
  <c r="K68" i="44"/>
  <c r="K69" i="44"/>
  <c r="E57" i="44"/>
  <c r="O57" i="44"/>
  <c r="I57" i="44"/>
  <c r="N58" i="44"/>
  <c r="N65" i="44"/>
  <c r="N66" i="44"/>
  <c r="H58" i="44"/>
  <c r="H65" i="44"/>
  <c r="H66" i="44"/>
  <c r="M58" i="44"/>
  <c r="M65" i="44"/>
  <c r="M66" i="44"/>
  <c r="N57" i="44"/>
  <c r="N68" i="44"/>
  <c r="N69" i="44"/>
  <c r="H57" i="44"/>
  <c r="H68" i="44"/>
  <c r="H69" i="44"/>
  <c r="L58" i="44"/>
  <c r="G58" i="44"/>
  <c r="M57" i="44"/>
  <c r="M68" i="44"/>
  <c r="M69" i="44"/>
  <c r="G57" i="44"/>
  <c r="L62" i="45"/>
  <c r="L65" i="45" s="1"/>
  <c r="L66" i="45" s="1"/>
  <c r="D62" i="45"/>
  <c r="K61" i="45"/>
  <c r="J62" i="45"/>
  <c r="O61" i="45"/>
  <c r="E61" i="45"/>
  <c r="K62" i="45"/>
  <c r="G61" i="45"/>
  <c r="I62" i="45"/>
  <c r="N61" i="45"/>
  <c r="H62" i="45"/>
  <c r="M61" i="45"/>
  <c r="F61" i="45"/>
  <c r="E59" i="40"/>
  <c r="O60" i="40"/>
  <c r="O65" i="40"/>
  <c r="O66" i="40"/>
  <c r="L59" i="46"/>
  <c r="O60" i="46"/>
  <c r="K57" i="42"/>
  <c r="E60" i="42"/>
  <c r="F60" i="45"/>
  <c r="D61" i="45"/>
  <c r="E62" i="45"/>
  <c r="L57" i="44"/>
  <c r="I58" i="44"/>
  <c r="I65" i="44"/>
  <c r="I66" i="44"/>
  <c r="E60" i="44"/>
  <c r="P69" i="43"/>
  <c r="E68" i="40"/>
  <c r="E69" i="40"/>
  <c r="E34" i="40"/>
  <c r="O68" i="40"/>
  <c r="O69" i="40"/>
  <c r="O34" i="40"/>
  <c r="M59" i="46"/>
  <c r="M57" i="42"/>
  <c r="F60" i="42"/>
  <c r="H60" i="45"/>
  <c r="H61" i="45"/>
  <c r="F62" i="45"/>
  <c r="J58" i="44"/>
  <c r="J60" i="44"/>
  <c r="I62" i="42"/>
  <c r="I65" i="42" s="1"/>
  <c r="I66" i="42" s="1"/>
  <c r="I35" i="42" s="1"/>
  <c r="O62" i="42"/>
  <c r="O65" i="42" s="1"/>
  <c r="O66" i="42" s="1"/>
  <c r="G62" i="42"/>
  <c r="N61" i="42"/>
  <c r="J61" i="42"/>
  <c r="F61" i="42"/>
  <c r="L62" i="46"/>
  <c r="D62" i="46"/>
  <c r="I61" i="46"/>
  <c r="L61" i="46"/>
  <c r="H62" i="46"/>
  <c r="H65" i="46" s="1"/>
  <c r="H66" i="46" s="1"/>
  <c r="H35" i="46" s="1"/>
  <c r="D61" i="42"/>
  <c r="K62" i="42"/>
  <c r="J57" i="45"/>
  <c r="O58" i="45"/>
  <c r="J65" i="40"/>
  <c r="J66" i="40"/>
  <c r="J35" i="40"/>
  <c r="D61" i="46"/>
  <c r="M61" i="46"/>
  <c r="I62" i="46"/>
  <c r="I65" i="46" s="1"/>
  <c r="I66" i="46" s="1"/>
  <c r="I35" i="46" s="1"/>
  <c r="E61" i="42"/>
  <c r="O61" i="42"/>
  <c r="O68" i="42" s="1"/>
  <c r="O69" i="42" s="1"/>
  <c r="O34" i="42" s="1"/>
  <c r="L62" i="42"/>
  <c r="E57" i="45"/>
  <c r="K57" i="45"/>
  <c r="H58" i="45"/>
  <c r="K58" i="45"/>
  <c r="D58" i="45"/>
  <c r="G58" i="45"/>
  <c r="F57" i="45"/>
  <c r="F68" i="45"/>
  <c r="F69" i="45"/>
  <c r="E58" i="45"/>
  <c r="E65" i="45"/>
  <c r="E66" i="45"/>
  <c r="I58" i="45"/>
  <c r="M58" i="45"/>
  <c r="H57" i="40"/>
  <c r="H68" i="40"/>
  <c r="H69" i="40"/>
  <c r="H34" i="40"/>
  <c r="N68" i="42"/>
  <c r="N69" i="42"/>
  <c r="N34" i="42"/>
  <c r="P59" i="44"/>
  <c r="R59" i="44"/>
  <c r="D68" i="42"/>
  <c r="D69" i="42"/>
  <c r="P57" i="42"/>
  <c r="K65" i="45"/>
  <c r="K66" i="45"/>
  <c r="G68" i="44"/>
  <c r="G69" i="44"/>
  <c r="P60" i="40"/>
  <c r="H65" i="45"/>
  <c r="H66" i="45"/>
  <c r="L68" i="44"/>
  <c r="L69" i="44"/>
  <c r="I68" i="44"/>
  <c r="I69" i="44"/>
  <c r="P59" i="42"/>
  <c r="R59" i="42"/>
  <c r="P65" i="43"/>
  <c r="R65" i="43"/>
  <c r="Q58" i="43"/>
  <c r="R58" i="43"/>
  <c r="P58" i="42"/>
  <c r="P60" i="44"/>
  <c r="R57" i="46"/>
  <c r="R57" i="40"/>
  <c r="F68" i="42"/>
  <c r="F69" i="42"/>
  <c r="F34" i="42"/>
  <c r="D65" i="45"/>
  <c r="D66" i="45"/>
  <c r="G65" i="44"/>
  <c r="G66" i="44"/>
  <c r="O68" i="44"/>
  <c r="O69" i="44"/>
  <c r="P66" i="43"/>
  <c r="Q58" i="40"/>
  <c r="R58" i="40"/>
  <c r="J68" i="42"/>
  <c r="J69" i="42"/>
  <c r="J34" i="42"/>
  <c r="P59" i="40"/>
  <c r="P68" i="40" s="1"/>
  <c r="R59" i="40"/>
  <c r="D68" i="40"/>
  <c r="D69" i="40"/>
  <c r="K65" i="42"/>
  <c r="K66" i="42"/>
  <c r="K35" i="42"/>
  <c r="D65" i="40"/>
  <c r="D66" i="40"/>
  <c r="E68" i="45"/>
  <c r="E69" i="45"/>
  <c r="J65" i="44"/>
  <c r="J66" i="44"/>
  <c r="L65" i="44"/>
  <c r="L66" i="44"/>
  <c r="E68" i="44"/>
  <c r="E69" i="44"/>
  <c r="P60" i="42"/>
  <c r="P68" i="43"/>
  <c r="R57" i="43"/>
  <c r="G65" i="42"/>
  <c r="G66" i="42"/>
  <c r="G35" i="42"/>
  <c r="L65" i="42"/>
  <c r="L66" i="42"/>
  <c r="L35" i="42"/>
  <c r="Q60" i="40"/>
  <c r="R60" i="40"/>
  <c r="D34" i="42"/>
  <c r="Q58" i="42"/>
  <c r="R58" i="42"/>
  <c r="P65" i="40"/>
  <c r="R65" i="40"/>
  <c r="D34" i="40"/>
  <c r="P34" i="40"/>
  <c r="P69" i="40"/>
  <c r="Q60" i="44"/>
  <c r="R60" i="44"/>
  <c r="R57" i="42"/>
  <c r="D35" i="40"/>
  <c r="P66" i="40"/>
  <c r="Q60" i="42"/>
  <c r="R60" i="42"/>
  <c r="BA16" i="36" l="1"/>
  <c r="R32" i="37"/>
  <c r="R56" i="37"/>
  <c r="R60" i="37" s="1"/>
  <c r="O24" i="46"/>
  <c r="O58" i="44"/>
  <c r="O65" i="44" s="1"/>
  <c r="O66" i="44" s="1"/>
  <c r="K58" i="44"/>
  <c r="K65" i="44" s="1"/>
  <c r="K66" i="44" s="1"/>
  <c r="F58" i="44"/>
  <c r="F65" i="44" s="1"/>
  <c r="F66" i="44" s="1"/>
  <c r="E58" i="44"/>
  <c r="E65" i="44" s="1"/>
  <c r="E66" i="44" s="1"/>
  <c r="D58" i="44"/>
  <c r="F57" i="44"/>
  <c r="F68" i="44" s="1"/>
  <c r="F69" i="44" s="1"/>
  <c r="D57" i="44"/>
  <c r="N58" i="45"/>
  <c r="J58" i="45"/>
  <c r="F58" i="45"/>
  <c r="O57" i="45"/>
  <c r="O68" i="45" s="1"/>
  <c r="O69" i="45" s="1"/>
  <c r="N57" i="45"/>
  <c r="N68" i="45" s="1"/>
  <c r="N69" i="45" s="1"/>
  <c r="M57" i="45"/>
  <c r="L57" i="45"/>
  <c r="I57" i="45"/>
  <c r="H57" i="45"/>
  <c r="H68" i="45" s="1"/>
  <c r="H69" i="45" s="1"/>
  <c r="G57" i="45"/>
  <c r="G68" i="45" s="1"/>
  <c r="G69" i="45" s="1"/>
  <c r="D57" i="45"/>
  <c r="J60" i="45"/>
  <c r="I60" i="45"/>
  <c r="M59" i="45"/>
  <c r="K59" i="45"/>
  <c r="K68" i="45" s="1"/>
  <c r="K69" i="45" s="1"/>
  <c r="J59" i="45"/>
  <c r="O62" i="45"/>
  <c r="O65" i="45" s="1"/>
  <c r="O66" i="45" s="1"/>
  <c r="N62" i="45"/>
  <c r="M62" i="45"/>
  <c r="M65" i="45" s="1"/>
  <c r="M66" i="45" s="1"/>
  <c r="G62" i="45"/>
  <c r="L61" i="45"/>
  <c r="J61" i="45"/>
  <c r="I61" i="45"/>
  <c r="P61" i="45" s="1"/>
  <c r="R61" i="45" s="1"/>
  <c r="E68" i="42"/>
  <c r="E69" i="42" s="1"/>
  <c r="N62" i="42"/>
  <c r="N65" i="42" s="1"/>
  <c r="N66" i="42" s="1"/>
  <c r="M62" i="42"/>
  <c r="M65" i="42" s="1"/>
  <c r="M66" i="42" s="1"/>
  <c r="J62" i="42"/>
  <c r="J65" i="42" s="1"/>
  <c r="J66" i="42" s="1"/>
  <c r="J35" i="42" s="1"/>
  <c r="H62" i="42"/>
  <c r="H65" i="42" s="1"/>
  <c r="H66" i="42" s="1"/>
  <c r="H35" i="42" s="1"/>
  <c r="F62" i="42"/>
  <c r="F65" i="42" s="1"/>
  <c r="F66" i="42" s="1"/>
  <c r="F35" i="42" s="1"/>
  <c r="E62" i="42"/>
  <c r="E65" i="42" s="1"/>
  <c r="E66" i="42" s="1"/>
  <c r="E35" i="42" s="1"/>
  <c r="D62" i="42"/>
  <c r="M61" i="42"/>
  <c r="M68" i="42" s="1"/>
  <c r="M69" i="42" s="1"/>
  <c r="M34" i="42" s="1"/>
  <c r="L61" i="42"/>
  <c r="L68" i="42" s="1"/>
  <c r="L69" i="42" s="1"/>
  <c r="L34" i="42" s="1"/>
  <c r="K61" i="42"/>
  <c r="K68" i="42" s="1"/>
  <c r="K69" i="42" s="1"/>
  <c r="K34" i="42" s="1"/>
  <c r="I61" i="42"/>
  <c r="I68" i="42" s="1"/>
  <c r="I69" i="42" s="1"/>
  <c r="I34" i="42" s="1"/>
  <c r="H61" i="42"/>
  <c r="H68" i="42" s="1"/>
  <c r="H69" i="42" s="1"/>
  <c r="H34" i="42" s="1"/>
  <c r="G61" i="42"/>
  <c r="M68" i="46"/>
  <c r="M69" i="46" s="1"/>
  <c r="M34" i="46" s="1"/>
  <c r="L68" i="46"/>
  <c r="L69" i="46" s="1"/>
  <c r="L34" i="46" s="1"/>
  <c r="I68" i="46"/>
  <c r="I69" i="46" s="1"/>
  <c r="I34" i="46" s="1"/>
  <c r="L65" i="46"/>
  <c r="L66" i="46" s="1"/>
  <c r="L35" i="46" s="1"/>
  <c r="D65" i="46"/>
  <c r="D66" i="46" s="1"/>
  <c r="G60" i="46"/>
  <c r="F60" i="46"/>
  <c r="E60" i="46"/>
  <c r="D59" i="46"/>
  <c r="O62" i="46"/>
  <c r="O65" i="46" s="1"/>
  <c r="O66" i="46" s="1"/>
  <c r="N62" i="46"/>
  <c r="N65" i="46" s="1"/>
  <c r="N66" i="46" s="1"/>
  <c r="M62" i="46"/>
  <c r="M65" i="46" s="1"/>
  <c r="M66" i="46" s="1"/>
  <c r="K62" i="46"/>
  <c r="K65" i="46" s="1"/>
  <c r="K66" i="46" s="1"/>
  <c r="K35" i="46" s="1"/>
  <c r="J62" i="46"/>
  <c r="J65" i="46" s="1"/>
  <c r="J66" i="46" s="1"/>
  <c r="J35" i="46" s="1"/>
  <c r="G62" i="46"/>
  <c r="F62" i="46"/>
  <c r="E62" i="46"/>
  <c r="P62" i="46" s="1"/>
  <c r="O61" i="46"/>
  <c r="O68" i="46" s="1"/>
  <c r="O69" i="46" s="1"/>
  <c r="O34" i="46" s="1"/>
  <c r="N61" i="46"/>
  <c r="N68" i="46" s="1"/>
  <c r="N69" i="46" s="1"/>
  <c r="N34" i="46" s="1"/>
  <c r="K61" i="46"/>
  <c r="K68" i="46" s="1"/>
  <c r="K69" i="46" s="1"/>
  <c r="K34" i="46" s="1"/>
  <c r="J61" i="46"/>
  <c r="J68" i="46" s="1"/>
  <c r="J69" i="46" s="1"/>
  <c r="J34" i="46" s="1"/>
  <c r="H61" i="46"/>
  <c r="H68" i="46" s="1"/>
  <c r="H69" i="46" s="1"/>
  <c r="H34" i="46" s="1"/>
  <c r="G61" i="46"/>
  <c r="G68" i="46" s="1"/>
  <c r="G69" i="46" s="1"/>
  <c r="G34" i="46" s="1"/>
  <c r="F61" i="46"/>
  <c r="F68" i="46" s="1"/>
  <c r="F69" i="46" s="1"/>
  <c r="F34" i="46" s="1"/>
  <c r="E61" i="46"/>
  <c r="D68" i="44" l="1"/>
  <c r="D69" i="44" s="1"/>
  <c r="P57" i="44"/>
  <c r="D65" i="44"/>
  <c r="D66" i="44" s="1"/>
  <c r="P58" i="44"/>
  <c r="G65" i="45"/>
  <c r="G66" i="45" s="1"/>
  <c r="P62" i="45"/>
  <c r="J68" i="45"/>
  <c r="J69" i="45" s="1"/>
  <c r="P59" i="45"/>
  <c r="R59" i="45" s="1"/>
  <c r="P60" i="45"/>
  <c r="I65" i="45"/>
  <c r="I66" i="45" s="1"/>
  <c r="D68" i="45"/>
  <c r="D69" i="45" s="1"/>
  <c r="P57" i="45"/>
  <c r="I68" i="45"/>
  <c r="I69" i="45" s="1"/>
  <c r="L68" i="45"/>
  <c r="L69" i="45" s="1"/>
  <c r="M68" i="45"/>
  <c r="M69" i="45" s="1"/>
  <c r="F65" i="45"/>
  <c r="F66" i="45" s="1"/>
  <c r="P58" i="45"/>
  <c r="J65" i="45"/>
  <c r="J66" i="45" s="1"/>
  <c r="N65" i="45"/>
  <c r="N66" i="45" s="1"/>
  <c r="G68" i="42"/>
  <c r="G69" i="42" s="1"/>
  <c r="G34" i="42" s="1"/>
  <c r="P61" i="42"/>
  <c r="P62" i="42"/>
  <c r="D65" i="42"/>
  <c r="D66" i="42" s="1"/>
  <c r="E34" i="42"/>
  <c r="P34" i="42" s="1"/>
  <c r="P69" i="42"/>
  <c r="E68" i="46"/>
  <c r="E69" i="46" s="1"/>
  <c r="E34" i="46" s="1"/>
  <c r="P61" i="46"/>
  <c r="R61" i="46" s="1"/>
  <c r="Q62" i="46"/>
  <c r="R62" i="46"/>
  <c r="P59" i="46"/>
  <c r="D68" i="46"/>
  <c r="D69" i="46" s="1"/>
  <c r="E65" i="46"/>
  <c r="E66" i="46" s="1"/>
  <c r="E35" i="46" s="1"/>
  <c r="P60" i="46"/>
  <c r="F65" i="46"/>
  <c r="F66" i="46" s="1"/>
  <c r="F35" i="46" s="1"/>
  <c r="G65" i="46"/>
  <c r="G66" i="46" s="1"/>
  <c r="G35" i="46" s="1"/>
  <c r="P66" i="46"/>
  <c r="D35" i="46"/>
  <c r="P35" i="46" s="1"/>
  <c r="P65" i="44" l="1"/>
  <c r="R65" i="44" s="1"/>
  <c r="Q58" i="44"/>
  <c r="R58" i="44"/>
  <c r="P66" i="44"/>
  <c r="R57" i="44"/>
  <c r="P68" i="44"/>
  <c r="P69" i="44"/>
  <c r="P65" i="45"/>
  <c r="R65" i="45" s="1"/>
  <c r="Q58" i="45"/>
  <c r="R58" i="45"/>
  <c r="P66" i="45"/>
  <c r="P68" i="45"/>
  <c r="R57" i="45"/>
  <c r="P69" i="45"/>
  <c r="Q60" i="45"/>
  <c r="R60" i="45"/>
  <c r="Q62" i="45"/>
  <c r="R62" i="45"/>
  <c r="D35" i="42"/>
  <c r="P35" i="42" s="1"/>
  <c r="P66" i="42"/>
  <c r="Q62" i="42"/>
  <c r="R62" i="42"/>
  <c r="P65" i="42"/>
  <c r="R65" i="42" s="1"/>
  <c r="R61" i="42"/>
  <c r="P68" i="42"/>
  <c r="Q60" i="46"/>
  <c r="R60" i="46"/>
  <c r="P65" i="46"/>
  <c r="R65" i="46" s="1"/>
  <c r="P69" i="46"/>
  <c r="D34" i="46"/>
  <c r="P34" i="46" s="1"/>
  <c r="R59" i="46"/>
  <c r="P68" i="4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Microsoft Office User</author>
    <author/>
  </authors>
  <commentList>
    <comment ref="Q22" authorId="0" shapeId="0" xr:uid="{00000000-0006-0000-0000-000001000000}">
      <text>
        <r>
          <rPr>
            <b/>
            <sz val="9"/>
            <color indexed="81"/>
            <rFont val="Tahoma"/>
            <family val="2"/>
          </rPr>
          <t>USUARIO:</t>
        </r>
        <r>
          <rPr>
            <sz val="9"/>
            <color indexed="81"/>
            <rFont val="Tahoma"/>
            <family val="2"/>
          </rPr>
          <t xml:space="preserve">
PSP</t>
        </r>
      </text>
    </comment>
    <comment ref="T22" authorId="0" shapeId="0" xr:uid="{00000000-0006-0000-0000-000002000000}">
      <text>
        <r>
          <rPr>
            <b/>
            <sz val="9"/>
            <color indexed="81"/>
            <rFont val="Tahoma"/>
            <family val="2"/>
          </rPr>
          <t>USUARIO:</t>
        </r>
        <r>
          <rPr>
            <sz val="9"/>
            <color indexed="81"/>
            <rFont val="Tahoma"/>
            <family val="2"/>
          </rPr>
          <t xml:space="preserve">
Licenciamiento</t>
        </r>
      </text>
    </comment>
    <comment ref="V22" authorId="0" shapeId="0" xr:uid="{00000000-0006-0000-0000-000003000000}">
      <text>
        <r>
          <rPr>
            <b/>
            <sz val="9"/>
            <color indexed="81"/>
            <rFont val="Tahoma"/>
            <family val="2"/>
          </rPr>
          <t>USUARIO:</t>
        </r>
        <r>
          <rPr>
            <sz val="9"/>
            <color indexed="81"/>
            <rFont val="Tahoma"/>
            <family val="2"/>
          </rPr>
          <t xml:space="preserve">
Papeleria, central de medios</t>
        </r>
      </text>
    </comment>
    <comment ref="C24" authorId="0" shapeId="0" xr:uid="{00000000-0006-0000-0000-000004000000}">
      <text>
        <r>
          <rPr>
            <b/>
            <sz val="9"/>
            <color indexed="81"/>
            <rFont val="Tahoma"/>
            <family val="2"/>
          </rPr>
          <t>USUARIO:</t>
        </r>
        <r>
          <rPr>
            <sz val="9"/>
            <color indexed="81"/>
            <rFont val="Tahoma"/>
            <family val="2"/>
          </rPr>
          <t xml:space="preserve">
Central de medios</t>
        </r>
      </text>
    </comment>
    <comment ref="D24" authorId="0" shapeId="0" xr:uid="{00000000-0006-0000-0000-000005000000}">
      <text>
        <r>
          <rPr>
            <sz val="10"/>
            <color indexed="81"/>
            <rFont val="Tahoma"/>
            <family val="2"/>
          </rPr>
          <t>Equipos tecnologicos, PSP Camilo, PSP Jonathan, adición PSP Carol Quintero, Adición PSP Ana, Adición PSP Carol Rozo, central de medios</t>
        </r>
      </text>
    </comment>
    <comment ref="R24" authorId="0" shapeId="0" xr:uid="{00000000-0006-0000-0000-000006000000}">
      <text>
        <r>
          <rPr>
            <b/>
            <sz val="9"/>
            <color indexed="81"/>
            <rFont val="Tahoma"/>
            <family val="2"/>
          </rPr>
          <t>USUARIO:</t>
        </r>
        <r>
          <rPr>
            <sz val="9"/>
            <color indexed="81"/>
            <rFont val="Tahoma"/>
            <family val="2"/>
          </rPr>
          <t xml:space="preserve">
PSP</t>
        </r>
      </text>
    </comment>
    <comment ref="S24" authorId="0" shapeId="0" xr:uid="{00000000-0006-0000-0000-000007000000}">
      <text>
        <r>
          <rPr>
            <b/>
            <sz val="9"/>
            <color indexed="81"/>
            <rFont val="Tahoma"/>
            <family val="2"/>
          </rPr>
          <t>USUARIO:</t>
        </r>
        <r>
          <rPr>
            <sz val="9"/>
            <color indexed="81"/>
            <rFont val="Tahoma"/>
            <family val="2"/>
          </rPr>
          <t xml:space="preserve">
PSP</t>
        </r>
      </text>
    </comment>
    <comment ref="T24" authorId="0" shapeId="0" xr:uid="{00000000-0006-0000-0000-000008000000}">
      <text>
        <r>
          <rPr>
            <b/>
            <sz val="9"/>
            <color indexed="81"/>
            <rFont val="Tahoma"/>
            <family val="2"/>
          </rPr>
          <t>USUARIO:</t>
        </r>
        <r>
          <rPr>
            <sz val="9"/>
            <color indexed="81"/>
            <rFont val="Tahoma"/>
            <family val="2"/>
          </rPr>
          <t xml:space="preserve">
PSP</t>
        </r>
      </text>
    </comment>
    <comment ref="U24" authorId="0" shapeId="0" xr:uid="{00000000-0006-0000-0000-000009000000}">
      <text>
        <r>
          <rPr>
            <b/>
            <sz val="9"/>
            <color indexed="81"/>
            <rFont val="Tahoma"/>
            <family val="2"/>
          </rPr>
          <t>USUARIO:</t>
        </r>
        <r>
          <rPr>
            <sz val="9"/>
            <color indexed="81"/>
            <rFont val="Tahoma"/>
            <family val="2"/>
          </rPr>
          <t xml:space="preserve">
PSP, licenciamiento</t>
        </r>
      </text>
    </comment>
    <comment ref="V24" authorId="0" shapeId="0" xr:uid="{00000000-0006-0000-0000-00000A000000}">
      <text>
        <r>
          <rPr>
            <b/>
            <sz val="9"/>
            <color indexed="81"/>
            <rFont val="Tahoma"/>
            <family val="2"/>
          </rPr>
          <t>USUARIO:</t>
        </r>
        <r>
          <rPr>
            <sz val="9"/>
            <color indexed="81"/>
            <rFont val="Tahoma"/>
            <family val="2"/>
          </rPr>
          <t xml:space="preserve">
PSP</t>
        </r>
      </text>
    </comment>
    <comment ref="W24" authorId="0" shapeId="0" xr:uid="{00000000-0006-0000-0000-00000B000000}">
      <text>
        <r>
          <rPr>
            <b/>
            <sz val="9"/>
            <color indexed="81"/>
            <rFont val="Tahoma"/>
            <family val="2"/>
          </rPr>
          <t>USUARIO:</t>
        </r>
        <r>
          <rPr>
            <sz val="9"/>
            <color indexed="81"/>
            <rFont val="Tahoma"/>
            <family val="2"/>
          </rPr>
          <t xml:space="preserve">
PSP, papeleria, central de medios</t>
        </r>
      </text>
    </comment>
    <comment ref="X24" authorId="0" shapeId="0" xr:uid="{00000000-0006-0000-0000-00000C000000}">
      <text>
        <r>
          <rPr>
            <b/>
            <sz val="9"/>
            <color indexed="81"/>
            <rFont val="Tahoma"/>
            <family val="2"/>
          </rPr>
          <t>USUARIO:</t>
        </r>
        <r>
          <rPr>
            <sz val="9"/>
            <color indexed="81"/>
            <rFont val="Tahoma"/>
            <family val="2"/>
          </rPr>
          <t xml:space="preserve">
PSP</t>
        </r>
      </text>
    </comment>
    <comment ref="Y24" authorId="0" shapeId="0" xr:uid="{00000000-0006-0000-0000-00000D000000}">
      <text>
        <r>
          <rPr>
            <b/>
            <sz val="9"/>
            <color indexed="81"/>
            <rFont val="Tahoma"/>
            <family val="2"/>
          </rPr>
          <t>USUARIO:</t>
        </r>
        <r>
          <rPr>
            <sz val="9"/>
            <color indexed="81"/>
            <rFont val="Tahoma"/>
            <family val="2"/>
          </rPr>
          <t xml:space="preserve">
PSP, central de medios</t>
        </r>
      </text>
    </comment>
    <comment ref="Z24" authorId="0" shapeId="0" xr:uid="{00000000-0006-0000-0000-00000E000000}">
      <text>
        <r>
          <rPr>
            <b/>
            <sz val="9"/>
            <color indexed="81"/>
            <rFont val="Tahoma"/>
            <family val="2"/>
          </rPr>
          <t>USUARIO:</t>
        </r>
        <r>
          <rPr>
            <sz val="9"/>
            <color indexed="81"/>
            <rFont val="Tahoma"/>
            <family val="2"/>
          </rPr>
          <t xml:space="preserve">
PSP</t>
        </r>
      </text>
    </comment>
    <comment ref="AA24" authorId="0" shapeId="0" xr:uid="{00000000-0006-0000-0000-00000F000000}">
      <text>
        <r>
          <rPr>
            <b/>
            <sz val="9"/>
            <color indexed="81"/>
            <rFont val="Tahoma"/>
            <family val="2"/>
          </rPr>
          <t>USUARIO:</t>
        </r>
        <r>
          <rPr>
            <sz val="9"/>
            <color indexed="81"/>
            <rFont val="Tahoma"/>
            <family val="2"/>
          </rPr>
          <t xml:space="preserve">
PSP, central de medios</t>
        </r>
      </text>
    </comment>
    <comment ref="AB24" authorId="0" shapeId="0" xr:uid="{00000000-0006-0000-0000-000010000000}">
      <text>
        <r>
          <rPr>
            <b/>
            <sz val="9"/>
            <color indexed="81"/>
            <rFont val="Tahoma"/>
            <family val="2"/>
          </rPr>
          <t>USUARIO:</t>
        </r>
        <r>
          <rPr>
            <sz val="9"/>
            <color indexed="81"/>
            <rFont val="Tahoma"/>
            <family val="2"/>
          </rPr>
          <t xml:space="preserve">
PSP</t>
        </r>
      </text>
    </comment>
    <comment ref="C32" authorId="1" shapeId="0" xr:uid="{00000000-0006-0000-0000-000011000000}">
      <text>
        <r>
          <rPr>
            <b/>
            <sz val="9"/>
            <color indexed="8"/>
            <rFont val="Tahoma"/>
            <family val="2"/>
          </rPr>
          <t>Microsoft Office User:</t>
        </r>
        <r>
          <rPr>
            <sz val="9"/>
            <color indexed="8"/>
            <rFont val="Tahoma"/>
            <family val="2"/>
          </rPr>
          <t xml:space="preserve">
</t>
        </r>
        <r>
          <rPr>
            <sz val="9"/>
            <color indexed="8"/>
            <rFont val="Tahoma"/>
            <family val="2"/>
          </rPr>
          <t xml:space="preserve">Corresponde a la magnitud programada en coherencia con la unidad de medida de la meta proyecto. </t>
        </r>
      </text>
    </comment>
    <comment ref="Q32" authorId="2" shapeId="0" xr:uid="{00000000-0006-0000-0000-000012000000}">
      <text>
        <r>
          <rPr>
            <b/>
            <sz val="9"/>
            <color indexed="8"/>
            <rFont val="Tahoma"/>
            <family val="2"/>
          </rPr>
          <t xml:space="preserve">OFICINA ASESORA DE PLANEACIÓN:
</t>
        </r>
        <r>
          <rPr>
            <sz val="9"/>
            <color indexed="8"/>
            <rFont val="Tahoma"/>
            <family val="2"/>
          </rPr>
          <t xml:space="preserve">Máximo de caracteres Avances y logros:  2.000 (Incluidos espacios)
</t>
        </r>
        <r>
          <rPr>
            <sz val="9"/>
            <color indexed="8"/>
            <rFont val="Tahoma"/>
            <family val="2"/>
          </rPr>
          <t xml:space="preserve">Máximo de caracteres Retrasos y alternativas de solución: 1.000 (Incluidos espacios)
</t>
        </r>
        <r>
          <rPr>
            <sz val="9"/>
            <color indexed="8"/>
            <rFont val="Tahoma"/>
            <family val="2"/>
          </rPr>
          <t xml:space="preserve">Para la caracterización del avance de la meta, ésta debe ser cualitativa y cuantitativa. Teniendo en cuenta el número de caracteres que permite el sistema SEGPLAN, se recomienda dejar la información que se considere estratégica desde el área misional y de mayor relevancia. </t>
        </r>
      </text>
    </comment>
    <comment ref="W33" authorId="1" shapeId="0" xr:uid="{00000000-0006-0000-0000-000013000000}">
      <text>
        <r>
          <rPr>
            <b/>
            <sz val="9"/>
            <color indexed="8"/>
            <rFont val="Tahoma"/>
            <family val="2"/>
          </rPr>
          <t>Microsoft Office User:</t>
        </r>
        <r>
          <rPr>
            <sz val="9"/>
            <color indexed="8"/>
            <rFont val="Tahoma"/>
            <family val="2"/>
          </rPr>
          <t xml:space="preserve">
</t>
        </r>
        <r>
          <rPr>
            <sz val="9"/>
            <color indexed="8"/>
            <rFont val="Tahoma"/>
            <family val="2"/>
          </rPr>
          <t xml:space="preserve">En el caso de no presentarse retrasos en el periodo de reporte, incluir una nota indicando que las cifras son acordes con la programación.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Microsoft Office User</author>
    <author/>
    <author>tc={9A8B20AA-4A7B-4999-BD31-90FD8A9F590A}</author>
    <author>tc={B15428C6-2F61-4D91-8A93-18939A4C9159}</author>
    <author>tc={39833A42-EB5A-4237-BD09-960B42798585}</author>
  </authors>
  <commentList>
    <comment ref="Q22" authorId="0" shapeId="0" xr:uid="{00000000-0006-0000-0100-000001000000}">
      <text>
        <r>
          <rPr>
            <b/>
            <sz val="9"/>
            <color indexed="81"/>
            <rFont val="Tahoma"/>
            <family val="2"/>
          </rPr>
          <t>USUARIO:</t>
        </r>
        <r>
          <rPr>
            <sz val="9"/>
            <color indexed="81"/>
            <rFont val="Tahoma"/>
            <family val="2"/>
          </rPr>
          <t xml:space="preserve">
PSP</t>
        </r>
      </text>
    </comment>
    <comment ref="T22" authorId="0" shapeId="0" xr:uid="{00000000-0006-0000-0100-000002000000}">
      <text>
        <r>
          <rPr>
            <b/>
            <sz val="9"/>
            <color indexed="81"/>
            <rFont val="Tahoma"/>
            <family val="2"/>
          </rPr>
          <t>USUARIO:</t>
        </r>
        <r>
          <rPr>
            <sz val="9"/>
            <color indexed="81"/>
            <rFont val="Tahoma"/>
            <family val="2"/>
          </rPr>
          <t xml:space="preserve">
Licenciamiento</t>
        </r>
      </text>
    </comment>
    <comment ref="V22" authorId="0" shapeId="0" xr:uid="{00000000-0006-0000-0100-000003000000}">
      <text>
        <r>
          <rPr>
            <b/>
            <sz val="9"/>
            <color indexed="81"/>
            <rFont val="Tahoma"/>
            <family val="2"/>
          </rPr>
          <t>USUARIO:</t>
        </r>
        <r>
          <rPr>
            <sz val="9"/>
            <color indexed="81"/>
            <rFont val="Tahoma"/>
            <family val="2"/>
          </rPr>
          <t xml:space="preserve">
Papeleria, central de medios</t>
        </r>
      </text>
    </comment>
    <comment ref="C24" authorId="0" shapeId="0" xr:uid="{00000000-0006-0000-0100-000004000000}">
      <text>
        <r>
          <rPr>
            <b/>
            <sz val="9"/>
            <color indexed="81"/>
            <rFont val="Tahoma"/>
            <family val="2"/>
          </rPr>
          <t>USUARIO:</t>
        </r>
        <r>
          <rPr>
            <sz val="9"/>
            <color indexed="81"/>
            <rFont val="Tahoma"/>
            <family val="2"/>
          </rPr>
          <t xml:space="preserve">
Central de Medios</t>
        </r>
      </text>
    </comment>
    <comment ref="D24" authorId="0" shapeId="0" xr:uid="{00000000-0006-0000-0100-000005000000}">
      <text>
        <r>
          <rPr>
            <b/>
            <sz val="9"/>
            <color indexed="81"/>
            <rFont val="Tahoma"/>
            <family val="2"/>
          </rPr>
          <t>USUARIO:</t>
        </r>
        <r>
          <rPr>
            <sz val="9"/>
            <color indexed="81"/>
            <rFont val="Tahoma"/>
            <family val="2"/>
          </rPr>
          <t xml:space="preserve">
Adición PSP Ana, Adición PSP Carol Rozo, Central de Medios</t>
        </r>
      </text>
    </comment>
    <comment ref="R24" authorId="0" shapeId="0" xr:uid="{00000000-0006-0000-0100-000006000000}">
      <text>
        <r>
          <rPr>
            <b/>
            <sz val="9"/>
            <color indexed="81"/>
            <rFont val="Tahoma"/>
            <family val="2"/>
          </rPr>
          <t>USUARIO:</t>
        </r>
        <r>
          <rPr>
            <sz val="9"/>
            <color indexed="81"/>
            <rFont val="Tahoma"/>
            <family val="2"/>
          </rPr>
          <t xml:space="preserve">
PSP</t>
        </r>
      </text>
    </comment>
    <comment ref="S24" authorId="0" shapeId="0" xr:uid="{00000000-0006-0000-0100-000007000000}">
      <text>
        <r>
          <rPr>
            <b/>
            <sz val="9"/>
            <color indexed="81"/>
            <rFont val="Tahoma"/>
            <family val="2"/>
          </rPr>
          <t>USUARIO:</t>
        </r>
        <r>
          <rPr>
            <sz val="9"/>
            <color indexed="81"/>
            <rFont val="Tahoma"/>
            <family val="2"/>
          </rPr>
          <t xml:space="preserve">
PSP</t>
        </r>
      </text>
    </comment>
    <comment ref="T24" authorId="0" shapeId="0" xr:uid="{00000000-0006-0000-0100-000008000000}">
      <text>
        <r>
          <rPr>
            <b/>
            <sz val="9"/>
            <color indexed="81"/>
            <rFont val="Tahoma"/>
            <family val="2"/>
          </rPr>
          <t>USUARIO:</t>
        </r>
        <r>
          <rPr>
            <sz val="9"/>
            <color indexed="81"/>
            <rFont val="Tahoma"/>
            <family val="2"/>
          </rPr>
          <t xml:space="preserve">
PSP</t>
        </r>
      </text>
    </comment>
    <comment ref="U24" authorId="0" shapeId="0" xr:uid="{00000000-0006-0000-0100-000009000000}">
      <text>
        <r>
          <rPr>
            <b/>
            <sz val="9"/>
            <color indexed="81"/>
            <rFont val="Tahoma"/>
            <family val="2"/>
          </rPr>
          <t>USUARIO:</t>
        </r>
        <r>
          <rPr>
            <sz val="9"/>
            <color indexed="81"/>
            <rFont val="Tahoma"/>
            <family val="2"/>
          </rPr>
          <t xml:space="preserve">
PSP, licenciamiento</t>
        </r>
      </text>
    </comment>
    <comment ref="V24" authorId="0" shapeId="0" xr:uid="{00000000-0006-0000-0100-00000A000000}">
      <text>
        <r>
          <rPr>
            <b/>
            <sz val="9"/>
            <color indexed="81"/>
            <rFont val="Tahoma"/>
            <family val="2"/>
          </rPr>
          <t>USUARIO:</t>
        </r>
        <r>
          <rPr>
            <sz val="9"/>
            <color indexed="81"/>
            <rFont val="Tahoma"/>
            <family val="2"/>
          </rPr>
          <t xml:space="preserve">
PSP</t>
        </r>
      </text>
    </comment>
    <comment ref="W24" authorId="0" shapeId="0" xr:uid="{00000000-0006-0000-0100-00000B000000}">
      <text>
        <r>
          <rPr>
            <b/>
            <sz val="9"/>
            <color indexed="81"/>
            <rFont val="Tahoma"/>
            <family val="2"/>
          </rPr>
          <t>USUARIO:</t>
        </r>
        <r>
          <rPr>
            <sz val="9"/>
            <color indexed="81"/>
            <rFont val="Tahoma"/>
            <family val="2"/>
          </rPr>
          <t xml:space="preserve">
PSP, papeleria, central de medios</t>
        </r>
      </text>
    </comment>
    <comment ref="X24" authorId="0" shapeId="0" xr:uid="{00000000-0006-0000-0100-00000C000000}">
      <text>
        <r>
          <rPr>
            <b/>
            <sz val="9"/>
            <color indexed="81"/>
            <rFont val="Tahoma"/>
            <family val="2"/>
          </rPr>
          <t>USUARIO:</t>
        </r>
        <r>
          <rPr>
            <sz val="9"/>
            <color indexed="81"/>
            <rFont val="Tahoma"/>
            <family val="2"/>
          </rPr>
          <t xml:space="preserve">
PSP</t>
        </r>
      </text>
    </comment>
    <comment ref="Y24" authorId="0" shapeId="0" xr:uid="{00000000-0006-0000-0100-00000D000000}">
      <text>
        <r>
          <rPr>
            <b/>
            <sz val="9"/>
            <color indexed="81"/>
            <rFont val="Tahoma"/>
            <family val="2"/>
          </rPr>
          <t>USUARIO:</t>
        </r>
        <r>
          <rPr>
            <sz val="9"/>
            <color indexed="81"/>
            <rFont val="Tahoma"/>
            <family val="2"/>
          </rPr>
          <t xml:space="preserve">
PSP, central de medios</t>
        </r>
      </text>
    </comment>
    <comment ref="Z24" authorId="0" shapeId="0" xr:uid="{00000000-0006-0000-0100-00000E000000}">
      <text>
        <r>
          <rPr>
            <b/>
            <sz val="9"/>
            <color indexed="81"/>
            <rFont val="Tahoma"/>
            <family val="2"/>
          </rPr>
          <t>USUARIO:</t>
        </r>
        <r>
          <rPr>
            <sz val="9"/>
            <color indexed="81"/>
            <rFont val="Tahoma"/>
            <family val="2"/>
          </rPr>
          <t xml:space="preserve">
PSP</t>
        </r>
      </text>
    </comment>
    <comment ref="AA24" authorId="0" shapeId="0" xr:uid="{00000000-0006-0000-0100-00000F000000}">
      <text>
        <r>
          <rPr>
            <b/>
            <sz val="9"/>
            <color indexed="81"/>
            <rFont val="Tahoma"/>
            <family val="2"/>
          </rPr>
          <t>USUARIO:</t>
        </r>
        <r>
          <rPr>
            <sz val="9"/>
            <color indexed="81"/>
            <rFont val="Tahoma"/>
            <family val="2"/>
          </rPr>
          <t xml:space="preserve">
PSP, central de medios</t>
        </r>
      </text>
    </comment>
    <comment ref="AB24" authorId="0" shapeId="0" xr:uid="{00000000-0006-0000-0100-000010000000}">
      <text>
        <r>
          <rPr>
            <b/>
            <sz val="9"/>
            <color indexed="81"/>
            <rFont val="Tahoma"/>
            <family val="2"/>
          </rPr>
          <t>USUARIO:</t>
        </r>
        <r>
          <rPr>
            <sz val="9"/>
            <color indexed="81"/>
            <rFont val="Tahoma"/>
            <family val="2"/>
          </rPr>
          <t xml:space="preserve">
PSP</t>
        </r>
      </text>
    </comment>
    <comment ref="C32" authorId="1" shapeId="0" xr:uid="{00000000-0006-0000-0100-000011000000}">
      <text>
        <r>
          <rPr>
            <b/>
            <sz val="9"/>
            <color indexed="8"/>
            <rFont val="Tahoma"/>
            <family val="2"/>
          </rPr>
          <t>Microsoft Office User:</t>
        </r>
        <r>
          <rPr>
            <sz val="9"/>
            <color indexed="8"/>
            <rFont val="Tahoma"/>
            <family val="2"/>
          </rPr>
          <t xml:space="preserve">
</t>
        </r>
        <r>
          <rPr>
            <sz val="9"/>
            <color indexed="8"/>
            <rFont val="Tahoma"/>
            <family val="2"/>
          </rPr>
          <t xml:space="preserve">Corresponde a la magnitud programada en coherencia con la unidad de medida de la meta proyecto. </t>
        </r>
      </text>
    </comment>
    <comment ref="Q32" authorId="2" shapeId="0" xr:uid="{00000000-0006-0000-0100-000012000000}">
      <text>
        <r>
          <rPr>
            <b/>
            <sz val="9"/>
            <color indexed="8"/>
            <rFont val="Tahoma"/>
            <family val="2"/>
          </rPr>
          <t xml:space="preserve">OFICINA ASESORA DE PLANEACIÓN:
</t>
        </r>
        <r>
          <rPr>
            <sz val="9"/>
            <color indexed="8"/>
            <rFont val="Tahoma"/>
            <family val="2"/>
          </rPr>
          <t xml:space="preserve">Máximo de caracteres Avances y logros:  2.000 (Incluidos espacios)
</t>
        </r>
        <r>
          <rPr>
            <sz val="9"/>
            <color indexed="8"/>
            <rFont val="Tahoma"/>
            <family val="2"/>
          </rPr>
          <t xml:space="preserve">Máximo de caracteres Retrasos y alternativas de solución: 1.000 (Incluidos espacios)
</t>
        </r>
        <r>
          <rPr>
            <sz val="9"/>
            <color indexed="8"/>
            <rFont val="Tahoma"/>
            <family val="2"/>
          </rPr>
          <t xml:space="preserve">Para la caracterización del avance de la meta, ésta debe ser cualitativa y cuantitativa. Teniendo en cuenta el número de caracteres que permite el sistema SEGPLAN, se recomienda dejar la información que se considere estratégica desde el área misional y de mayor relevancia. </t>
        </r>
      </text>
    </comment>
    <comment ref="W33" authorId="1" shapeId="0" xr:uid="{00000000-0006-0000-0100-000013000000}">
      <text>
        <r>
          <rPr>
            <b/>
            <sz val="9"/>
            <color indexed="8"/>
            <rFont val="Tahoma"/>
            <family val="2"/>
          </rPr>
          <t>Microsoft Office User:</t>
        </r>
        <r>
          <rPr>
            <sz val="9"/>
            <color indexed="8"/>
            <rFont val="Tahoma"/>
            <family val="2"/>
          </rPr>
          <t xml:space="preserve">
</t>
        </r>
        <r>
          <rPr>
            <sz val="9"/>
            <color indexed="8"/>
            <rFont val="Tahoma"/>
            <family val="2"/>
          </rPr>
          <t xml:space="preserve">En el caso de no presentarse retrasos en el periodo de reporte, incluir una nota indicando que las cifras son acordes con la programación. 
</t>
        </r>
      </text>
    </comment>
    <comment ref="M39" authorId="3" shapeId="0" xr:uid="{9A8B20AA-4A7B-4999-BD31-90FD8A9F590A}">
      <text>
        <t>[Comentario encadenado]
Su versión de Excel le permite leer este comentario encadenado; sin embargo, las ediciones que se apliquen se quitarán si el archivo se abre en una versión más reciente de Excel. Más información: https://go.microsoft.com/fwlink/?linkid=870924
Comentario:
NOTA: Para efectos de los porcentajes nos queda una sesión extraordinaria y una ordinaria de la Comisión.</t>
      </text>
    </comment>
    <comment ref="M41" authorId="4" shapeId="0" xr:uid="{B15428C6-2F61-4D91-8A93-18939A4C9159}">
      <text>
        <t>[Comentario encadenado]
Su versión de Excel le permite leer este comentario encadenado; sin embargo, las ediciones que se apliquen se quitarán si el archivo se abre en una versión más reciente de Excel. Más información: https://go.microsoft.com/fwlink/?linkid=870924
Comentario:
NOTA: Para efectos de los porcentajes, las sesiones de la UTA son mensuales ahora según el Decreto 415 de 2023, por lo que debemos reportar en noviembre y diciembre, y es lineamiento inaugurar una  manzana No. 21</t>
      </text>
    </comment>
    <comment ref="M43" authorId="5" shapeId="0" xr:uid="{39833A42-EB5A-4237-BD09-960B42798585}">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NOTA: Para efectos de los porcentajes nos queda una sesión del Mecanismo porque ahora las sesiones no son semestrales, sino trimestrales según el Decreto 415 de 2023. </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Microsoft Office User</author>
    <author/>
  </authors>
  <commentList>
    <comment ref="Q22" authorId="0" shapeId="0" xr:uid="{00000000-0006-0000-0200-000001000000}">
      <text>
        <r>
          <rPr>
            <b/>
            <sz val="9"/>
            <color indexed="81"/>
            <rFont val="Tahoma"/>
            <family val="2"/>
          </rPr>
          <t>USUARIO:</t>
        </r>
        <r>
          <rPr>
            <sz val="9"/>
            <color indexed="81"/>
            <rFont val="Tahoma"/>
            <family val="2"/>
          </rPr>
          <t xml:space="preserve">
PSP</t>
        </r>
      </text>
    </comment>
    <comment ref="S22" authorId="0" shapeId="0" xr:uid="{00000000-0006-0000-0200-000002000000}">
      <text>
        <r>
          <rPr>
            <b/>
            <sz val="9"/>
            <color indexed="81"/>
            <rFont val="Tahoma"/>
            <family val="2"/>
          </rPr>
          <t>USUARIO:</t>
        </r>
        <r>
          <rPr>
            <sz val="9"/>
            <color indexed="81"/>
            <rFont val="Tahoma"/>
            <family val="2"/>
          </rPr>
          <t xml:space="preserve">
Transporte, internet, lineas celular</t>
        </r>
      </text>
    </comment>
    <comment ref="T22" authorId="0" shapeId="0" xr:uid="{00000000-0006-0000-0200-000003000000}">
      <text>
        <r>
          <rPr>
            <b/>
            <sz val="9"/>
            <color indexed="81"/>
            <rFont val="Tahoma"/>
            <family val="2"/>
          </rPr>
          <t>USUARIO:</t>
        </r>
        <r>
          <rPr>
            <sz val="9"/>
            <color indexed="81"/>
            <rFont val="Tahoma"/>
            <family val="2"/>
          </rPr>
          <t xml:space="preserve">
Operador Logistico, aseo y cafeteria, licenciamiento</t>
        </r>
      </text>
    </comment>
    <comment ref="V22" authorId="0" shapeId="0" xr:uid="{00000000-0006-0000-0200-000004000000}">
      <text>
        <r>
          <rPr>
            <b/>
            <sz val="9"/>
            <color indexed="81"/>
            <rFont val="Tahoma"/>
            <family val="2"/>
          </rPr>
          <t>USUARIO:</t>
        </r>
        <r>
          <rPr>
            <sz val="9"/>
            <color indexed="81"/>
            <rFont val="Tahoma"/>
            <family val="2"/>
          </rPr>
          <t xml:space="preserve">
papeleria, central de medios</t>
        </r>
      </text>
    </comment>
    <comment ref="W22" authorId="0" shapeId="0" xr:uid="{00000000-0006-0000-0200-000005000000}">
      <text>
        <r>
          <rPr>
            <b/>
            <sz val="9"/>
            <color indexed="81"/>
            <rFont val="Tahoma"/>
            <family val="2"/>
          </rPr>
          <t>USUARIO:</t>
        </r>
        <r>
          <rPr>
            <sz val="9"/>
            <color indexed="81"/>
            <rFont val="Tahoma"/>
            <family val="2"/>
          </rPr>
          <t xml:space="preserve">
Mobiliario</t>
        </r>
      </text>
    </comment>
    <comment ref="C24" authorId="0" shapeId="0" xr:uid="{00000000-0006-0000-0200-000006000000}">
      <text>
        <r>
          <rPr>
            <b/>
            <sz val="9"/>
            <color indexed="8"/>
            <rFont val="Tahoma"/>
            <family val="2"/>
          </rPr>
          <t>USUARIO:</t>
        </r>
        <r>
          <rPr>
            <sz val="9"/>
            <color indexed="8"/>
            <rFont val="Tahoma"/>
            <family val="2"/>
          </rPr>
          <t xml:space="preserve">
</t>
        </r>
        <r>
          <rPr>
            <sz val="9"/>
            <color indexed="8"/>
            <rFont val="Tahoma"/>
            <family val="2"/>
          </rPr>
          <t>Impresos, lineas celular, internet, aseo y cafeteria, operador logistico, Central de Medios</t>
        </r>
      </text>
    </comment>
    <comment ref="D24" authorId="0" shapeId="0" xr:uid="{00000000-0006-0000-0200-000007000000}">
      <text>
        <r>
          <rPr>
            <b/>
            <sz val="9"/>
            <color indexed="81"/>
            <rFont val="Tahoma"/>
            <family val="2"/>
          </rPr>
          <t>USUARIO:</t>
        </r>
        <r>
          <rPr>
            <sz val="9"/>
            <color indexed="81"/>
            <rFont val="Tahoma"/>
            <family val="2"/>
          </rPr>
          <t xml:space="preserve">
Transporte, SIMISIONAL, lineas celular, internet, Aseo y cafeteria, adición operador logistico, chalecos, PSP Yudy, PSP Jesica, adición PSP Digiturno Nelsy, Adición PSP Luis, Adición PSP Carol Quintero, Adición PSP Johanna, Adición PSP Sandra, Adición PSP Angela, Adición PSP Ana, Adición PSP Carol Rozo, Central de Medios</t>
        </r>
      </text>
    </comment>
    <comment ref="E24" authorId="0" shapeId="0" xr:uid="{00000000-0006-0000-0200-000008000000}">
      <text>
        <r>
          <rPr>
            <b/>
            <sz val="9"/>
            <color indexed="81"/>
            <rFont val="Tahoma"/>
            <family val="2"/>
          </rPr>
          <t>USUARIO:</t>
        </r>
        <r>
          <rPr>
            <sz val="9"/>
            <color indexed="81"/>
            <rFont val="Tahoma"/>
            <family val="2"/>
          </rPr>
          <t xml:space="preserve">
lineas celular, internet, Aseo y cafeteria, adición operador logistico</t>
        </r>
      </text>
    </comment>
    <comment ref="F24" authorId="0" shapeId="0" xr:uid="{00000000-0006-0000-0200-000009000000}">
      <text>
        <r>
          <rPr>
            <b/>
            <sz val="9"/>
            <color indexed="81"/>
            <rFont val="Tahoma"/>
            <family val="2"/>
          </rPr>
          <t>USUARIO:</t>
        </r>
        <r>
          <rPr>
            <sz val="9"/>
            <color indexed="81"/>
            <rFont val="Tahoma"/>
            <family val="2"/>
          </rPr>
          <t xml:space="preserve">
lineas celular, internet, Aseo y cafeteria, adición operador logistico</t>
        </r>
      </text>
    </comment>
    <comment ref="G24" authorId="0" shapeId="0" xr:uid="{00000000-0006-0000-0200-00000A000000}">
      <text>
        <r>
          <rPr>
            <b/>
            <sz val="9"/>
            <color indexed="81"/>
            <rFont val="Tahoma"/>
            <family val="2"/>
          </rPr>
          <t>USUARIO:</t>
        </r>
        <r>
          <rPr>
            <sz val="9"/>
            <color indexed="81"/>
            <rFont val="Tahoma"/>
            <family val="2"/>
          </rPr>
          <t xml:space="preserve">
Lineas celular, internet</t>
        </r>
      </text>
    </comment>
    <comment ref="H24" authorId="0" shapeId="0" xr:uid="{00000000-0006-0000-0200-00000B000000}">
      <text>
        <r>
          <rPr>
            <b/>
            <sz val="9"/>
            <color indexed="81"/>
            <rFont val="Tahoma"/>
            <family val="2"/>
          </rPr>
          <t>USUARIO:</t>
        </r>
        <r>
          <rPr>
            <sz val="9"/>
            <color indexed="81"/>
            <rFont val="Tahoma"/>
            <family val="2"/>
          </rPr>
          <t xml:space="preserve">
Internet</t>
        </r>
      </text>
    </comment>
    <comment ref="I24" authorId="0" shapeId="0" xr:uid="{00000000-0006-0000-0200-00000C000000}">
      <text>
        <r>
          <rPr>
            <b/>
            <sz val="9"/>
            <color indexed="81"/>
            <rFont val="Tahoma"/>
            <family val="2"/>
          </rPr>
          <t>USUARIO:</t>
        </r>
        <r>
          <rPr>
            <sz val="9"/>
            <color indexed="81"/>
            <rFont val="Tahoma"/>
            <family val="2"/>
          </rPr>
          <t xml:space="preserve">
Internet</t>
        </r>
      </text>
    </comment>
    <comment ref="N24" authorId="0" shapeId="0" xr:uid="{00000000-0006-0000-0200-00000D000000}">
      <text>
        <r>
          <rPr>
            <b/>
            <sz val="9"/>
            <color indexed="81"/>
            <rFont val="Tahoma"/>
            <family val="2"/>
          </rPr>
          <t>USUARIO:</t>
        </r>
        <r>
          <rPr>
            <sz val="9"/>
            <color indexed="81"/>
            <rFont val="Tahoma"/>
            <family val="2"/>
          </rPr>
          <t xml:space="preserve">
Rezago Aseo y Cafeteria</t>
        </r>
      </text>
    </comment>
    <comment ref="R24" authorId="0" shapeId="0" xr:uid="{00000000-0006-0000-0200-00000E000000}">
      <text>
        <r>
          <rPr>
            <b/>
            <sz val="9"/>
            <color indexed="81"/>
            <rFont val="Tahoma"/>
            <family val="2"/>
          </rPr>
          <t>USUARIO:</t>
        </r>
        <r>
          <rPr>
            <sz val="9"/>
            <color indexed="81"/>
            <rFont val="Tahoma"/>
            <family val="2"/>
          </rPr>
          <t xml:space="preserve">
PSP</t>
        </r>
      </text>
    </comment>
    <comment ref="S24" authorId="0" shapeId="0" xr:uid="{00000000-0006-0000-0200-00000F000000}">
      <text>
        <r>
          <rPr>
            <b/>
            <sz val="9"/>
            <color indexed="81"/>
            <rFont val="Tahoma"/>
            <family val="2"/>
          </rPr>
          <t>USUARIO:</t>
        </r>
        <r>
          <rPr>
            <sz val="9"/>
            <color indexed="81"/>
            <rFont val="Tahoma"/>
            <family val="2"/>
          </rPr>
          <t xml:space="preserve">
PSP</t>
        </r>
      </text>
    </comment>
    <comment ref="T24" authorId="0" shapeId="0" xr:uid="{00000000-0006-0000-0200-000010000000}">
      <text>
        <r>
          <rPr>
            <b/>
            <sz val="9"/>
            <color indexed="81"/>
            <rFont val="Tahoma"/>
            <family val="2"/>
          </rPr>
          <t>USUARIO:</t>
        </r>
        <r>
          <rPr>
            <sz val="9"/>
            <color indexed="81"/>
            <rFont val="Tahoma"/>
            <family val="2"/>
          </rPr>
          <t xml:space="preserve">
PSP, transporte, internet, lineas celular</t>
        </r>
      </text>
    </comment>
    <comment ref="U24" authorId="0" shapeId="0" xr:uid="{00000000-0006-0000-0200-000011000000}">
      <text>
        <r>
          <rPr>
            <b/>
            <sz val="9"/>
            <color indexed="81"/>
            <rFont val="Tahoma"/>
            <family val="2"/>
          </rPr>
          <t>USUARIO:</t>
        </r>
        <r>
          <rPr>
            <sz val="9"/>
            <color indexed="81"/>
            <rFont val="Tahoma"/>
            <family val="2"/>
          </rPr>
          <t xml:space="preserve">
PSP, transporte, operador logistico, aseo y cafeteria, internet, licenciamiento, lineas celular</t>
        </r>
      </text>
    </comment>
    <comment ref="V24" authorId="0" shapeId="0" xr:uid="{00000000-0006-0000-0200-000012000000}">
      <text>
        <r>
          <rPr>
            <b/>
            <sz val="9"/>
            <color indexed="81"/>
            <rFont val="Tahoma"/>
            <family val="2"/>
          </rPr>
          <t>USUARIO:</t>
        </r>
        <r>
          <rPr>
            <sz val="9"/>
            <color indexed="81"/>
            <rFont val="Tahoma"/>
            <family val="2"/>
          </rPr>
          <t xml:space="preserve">
PSP, transporte, operador logistico, aseo y cafeteria, internet, lineas celular</t>
        </r>
      </text>
    </comment>
    <comment ref="W24" authorId="0" shapeId="0" xr:uid="{00000000-0006-0000-0200-000013000000}">
      <text>
        <r>
          <rPr>
            <b/>
            <sz val="9"/>
            <color indexed="81"/>
            <rFont val="Tahoma"/>
            <family val="2"/>
          </rPr>
          <t>USUARIO:</t>
        </r>
        <r>
          <rPr>
            <sz val="9"/>
            <color indexed="81"/>
            <rFont val="Tahoma"/>
            <family val="2"/>
          </rPr>
          <t xml:space="preserve">
PSP, transporte, papeleria, operador logistico, aseo y cafeteria, internet, central de medios, lineas celular</t>
        </r>
      </text>
    </comment>
    <comment ref="X24" authorId="0" shapeId="0" xr:uid="{00000000-0006-0000-0200-000014000000}">
      <text>
        <r>
          <rPr>
            <b/>
            <sz val="9"/>
            <color indexed="81"/>
            <rFont val="Tahoma"/>
            <family val="2"/>
          </rPr>
          <t>USUARIO:</t>
        </r>
        <r>
          <rPr>
            <sz val="9"/>
            <color indexed="81"/>
            <rFont val="Tahoma"/>
            <family val="2"/>
          </rPr>
          <t xml:space="preserve">
PSP, transporte, operador llogistico, aseo y cafeteria, internet, mobiliario, lineas celular</t>
        </r>
      </text>
    </comment>
    <comment ref="Y24" authorId="0" shapeId="0" xr:uid="{00000000-0006-0000-0200-000015000000}">
      <text>
        <r>
          <rPr>
            <b/>
            <sz val="9"/>
            <color indexed="81"/>
            <rFont val="Tahoma"/>
            <family val="2"/>
          </rPr>
          <t>USUARIO:</t>
        </r>
        <r>
          <rPr>
            <sz val="9"/>
            <color indexed="81"/>
            <rFont val="Tahoma"/>
            <family val="2"/>
          </rPr>
          <t xml:space="preserve">
PSP, transporte, operador logistico, aseo y cafeteria, internet, central de medios, lineas celular</t>
        </r>
      </text>
    </comment>
    <comment ref="Z24" authorId="0" shapeId="0" xr:uid="{00000000-0006-0000-0200-000016000000}">
      <text>
        <r>
          <rPr>
            <b/>
            <sz val="9"/>
            <color indexed="81"/>
            <rFont val="Tahoma"/>
            <family val="2"/>
          </rPr>
          <t>USUARIO:</t>
        </r>
        <r>
          <rPr>
            <sz val="9"/>
            <color indexed="81"/>
            <rFont val="Tahoma"/>
            <family val="2"/>
          </rPr>
          <t xml:space="preserve">
PSP, transporte, operador logistico, aseo y cafeteria, internet, lineas celular</t>
        </r>
      </text>
    </comment>
    <comment ref="AA24" authorId="0" shapeId="0" xr:uid="{00000000-0006-0000-0200-000017000000}">
      <text>
        <r>
          <rPr>
            <b/>
            <sz val="9"/>
            <color indexed="81"/>
            <rFont val="Tahoma"/>
            <family val="2"/>
          </rPr>
          <t>USUARIO:</t>
        </r>
        <r>
          <rPr>
            <sz val="9"/>
            <color indexed="81"/>
            <rFont val="Tahoma"/>
            <family val="2"/>
          </rPr>
          <t xml:space="preserve">
PSP, transporte, operador logistico, aseo y cafeteria, internet, central de medios, lineas celular</t>
        </r>
      </text>
    </comment>
    <comment ref="AB24" authorId="0" shapeId="0" xr:uid="{00000000-0006-0000-0200-000018000000}">
      <text>
        <r>
          <rPr>
            <b/>
            <sz val="9"/>
            <color indexed="81"/>
            <rFont val="Tahoma"/>
            <family val="2"/>
          </rPr>
          <t>USUARIO:</t>
        </r>
        <r>
          <rPr>
            <sz val="9"/>
            <color indexed="81"/>
            <rFont val="Tahoma"/>
            <family val="2"/>
          </rPr>
          <t xml:space="preserve">
PSP, transporte, operador logistico, aseo y cafeteria, internet, lineas celular</t>
        </r>
      </text>
    </comment>
    <comment ref="C32" authorId="1" shapeId="0" xr:uid="{00000000-0006-0000-0200-000019000000}">
      <text>
        <r>
          <rPr>
            <b/>
            <sz val="9"/>
            <color indexed="8"/>
            <rFont val="Tahoma"/>
            <family val="2"/>
          </rPr>
          <t>Microsoft Office User:</t>
        </r>
        <r>
          <rPr>
            <sz val="9"/>
            <color indexed="8"/>
            <rFont val="Tahoma"/>
            <family val="2"/>
          </rPr>
          <t xml:space="preserve">
</t>
        </r>
        <r>
          <rPr>
            <sz val="9"/>
            <color indexed="8"/>
            <rFont val="Tahoma"/>
            <family val="2"/>
          </rPr>
          <t xml:space="preserve">Corresponde a la magnitud programada en coherencia con la unidad de medida de la meta proyecto. </t>
        </r>
      </text>
    </comment>
    <comment ref="Q32" authorId="2" shapeId="0" xr:uid="{00000000-0006-0000-0200-00001A000000}">
      <text>
        <r>
          <rPr>
            <b/>
            <sz val="9"/>
            <color indexed="8"/>
            <rFont val="Tahoma"/>
            <family val="2"/>
          </rPr>
          <t xml:space="preserve">OFICINA ASESORA DE PLANEACIÓN:
</t>
        </r>
        <r>
          <rPr>
            <sz val="9"/>
            <color indexed="8"/>
            <rFont val="Tahoma"/>
            <family val="2"/>
          </rPr>
          <t xml:space="preserve">Máximo de caracteres Avances y logros:  2.000 (Incluidos espacios)
</t>
        </r>
        <r>
          <rPr>
            <sz val="9"/>
            <color indexed="8"/>
            <rFont val="Tahoma"/>
            <family val="2"/>
          </rPr>
          <t xml:space="preserve">Máximo de caracteres Retrasos y alternativas de solución: 1.000 (Incluidos espacios)
</t>
        </r>
        <r>
          <rPr>
            <sz val="9"/>
            <color indexed="8"/>
            <rFont val="Tahoma"/>
            <family val="2"/>
          </rPr>
          <t xml:space="preserve">Para la caracterización del avance de la meta, ésta debe ser cualitativa y cuantitativa. Teniendo en cuenta el número de caracteres que permite el sistema SEGPLAN, se recomienda dejar la información que se considere estratégica desde el área misional y de mayor relevancia. </t>
        </r>
      </text>
    </comment>
    <comment ref="W33" authorId="1" shapeId="0" xr:uid="{00000000-0006-0000-0200-00001B000000}">
      <text>
        <r>
          <rPr>
            <b/>
            <sz val="9"/>
            <color indexed="8"/>
            <rFont val="Tahoma"/>
            <family val="2"/>
          </rPr>
          <t>Microsoft Office User:</t>
        </r>
        <r>
          <rPr>
            <sz val="9"/>
            <color indexed="8"/>
            <rFont val="Tahoma"/>
            <family val="2"/>
          </rPr>
          <t xml:space="preserve">
</t>
        </r>
        <r>
          <rPr>
            <sz val="9"/>
            <color indexed="8"/>
            <rFont val="Tahoma"/>
            <family val="2"/>
          </rPr>
          <t xml:space="preserve">En el caso de no presentarse retrasos en el periodo de reporte, incluir una nota indicando que las cifras son acordes con la programación.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USUARIO</author>
    <author>Microsoft Office User</author>
    <author/>
    <author>ANGELA MARCELA FORERO RUIZ</author>
  </authors>
  <commentList>
    <comment ref="Q22" authorId="0" shapeId="0" xr:uid="{00000000-0006-0000-0300-000001000000}">
      <text>
        <r>
          <rPr>
            <b/>
            <sz val="9"/>
            <color indexed="81"/>
            <rFont val="Tahoma"/>
            <family val="2"/>
          </rPr>
          <t>USUARIO:</t>
        </r>
        <r>
          <rPr>
            <sz val="9"/>
            <color indexed="81"/>
            <rFont val="Tahoma"/>
            <family val="2"/>
          </rPr>
          <t xml:space="preserve">
PSP</t>
        </r>
      </text>
    </comment>
    <comment ref="S22" authorId="0" shapeId="0" xr:uid="{00000000-0006-0000-0300-000002000000}">
      <text>
        <r>
          <rPr>
            <b/>
            <sz val="9"/>
            <color indexed="81"/>
            <rFont val="Tahoma"/>
            <family val="2"/>
          </rPr>
          <t>USUARIO:</t>
        </r>
        <r>
          <rPr>
            <sz val="9"/>
            <color indexed="81"/>
            <rFont val="Tahoma"/>
            <family val="2"/>
          </rPr>
          <t xml:space="preserve">
Transporte, internet, lineas celular</t>
        </r>
      </text>
    </comment>
    <comment ref="T22" authorId="0" shapeId="0" xr:uid="{00000000-0006-0000-0300-000003000000}">
      <text>
        <r>
          <rPr>
            <b/>
            <sz val="9"/>
            <color indexed="81"/>
            <rFont val="Tahoma"/>
            <family val="2"/>
          </rPr>
          <t>USUARIO:</t>
        </r>
        <r>
          <rPr>
            <sz val="9"/>
            <color indexed="81"/>
            <rFont val="Tahoma"/>
            <family val="2"/>
          </rPr>
          <t xml:space="preserve">
Operador logistico, licenciamiento</t>
        </r>
      </text>
    </comment>
    <comment ref="V22" authorId="0" shapeId="0" xr:uid="{00000000-0006-0000-0300-000004000000}">
      <text>
        <r>
          <rPr>
            <b/>
            <sz val="9"/>
            <color indexed="81"/>
            <rFont val="Tahoma"/>
            <family val="2"/>
          </rPr>
          <t>USUARIO:</t>
        </r>
        <r>
          <rPr>
            <sz val="9"/>
            <color indexed="81"/>
            <rFont val="Tahoma"/>
            <family val="2"/>
          </rPr>
          <t xml:space="preserve">
papeleria, central de medios</t>
        </r>
      </text>
    </comment>
    <comment ref="C24" authorId="0" shapeId="0" xr:uid="{00000000-0006-0000-0300-000005000000}">
      <text>
        <r>
          <rPr>
            <b/>
            <sz val="9"/>
            <color indexed="81"/>
            <rFont val="Tahoma"/>
            <family val="2"/>
          </rPr>
          <t>USUARIO:</t>
        </r>
        <r>
          <rPr>
            <sz val="9"/>
            <color indexed="81"/>
            <rFont val="Tahoma"/>
            <family val="2"/>
          </rPr>
          <t xml:space="preserve">
Impresos, lineas celular, internet, operador logistico, central de medios</t>
        </r>
      </text>
    </comment>
    <comment ref="D24" authorId="0" shapeId="0" xr:uid="{00000000-0006-0000-0300-000006000000}">
      <text>
        <r>
          <rPr>
            <b/>
            <sz val="9"/>
            <color indexed="81"/>
            <rFont val="Tahoma"/>
            <family val="2"/>
          </rPr>
          <t>USUARIO:</t>
        </r>
        <r>
          <rPr>
            <sz val="9"/>
            <color indexed="81"/>
            <rFont val="Tahoma"/>
            <family val="2"/>
          </rPr>
          <t xml:space="preserve">
Transporte, SIMISIONAL, lineas celular, internet, adición operador logistico, chalecos, PSP Ivette, PSP Jesica, Adición PSP Johanna, Adición PSP Sandra, Adición PSP Angela, Adición PSP Ana, Adición PSP Carol Rozo, central de medios</t>
        </r>
      </text>
    </comment>
    <comment ref="E24" authorId="0" shapeId="0" xr:uid="{00000000-0006-0000-0300-000007000000}">
      <text>
        <r>
          <rPr>
            <b/>
            <sz val="9"/>
            <color indexed="81"/>
            <rFont val="Tahoma"/>
            <family val="2"/>
          </rPr>
          <t>USUARIO:</t>
        </r>
        <r>
          <rPr>
            <sz val="9"/>
            <color indexed="81"/>
            <rFont val="Tahoma"/>
            <family val="2"/>
          </rPr>
          <t xml:space="preserve">
Lineas celular, internet, adición operador logistico</t>
        </r>
      </text>
    </comment>
    <comment ref="F24" authorId="0" shapeId="0" xr:uid="{00000000-0006-0000-0300-000008000000}">
      <text>
        <r>
          <rPr>
            <b/>
            <sz val="9"/>
            <color indexed="81"/>
            <rFont val="Tahoma"/>
            <family val="2"/>
          </rPr>
          <t>USUARIO:</t>
        </r>
        <r>
          <rPr>
            <sz val="9"/>
            <color indexed="81"/>
            <rFont val="Tahoma"/>
            <family val="2"/>
          </rPr>
          <t xml:space="preserve">
Lineas celular, internet, adición operador logistico</t>
        </r>
      </text>
    </comment>
    <comment ref="G24" authorId="0" shapeId="0" xr:uid="{00000000-0006-0000-0300-000009000000}">
      <text>
        <r>
          <rPr>
            <b/>
            <sz val="9"/>
            <color indexed="81"/>
            <rFont val="Tahoma"/>
            <family val="2"/>
          </rPr>
          <t>USUARIO:</t>
        </r>
        <r>
          <rPr>
            <sz val="9"/>
            <color indexed="81"/>
            <rFont val="Tahoma"/>
            <family val="2"/>
          </rPr>
          <t xml:space="preserve">
Lineas celular, internet</t>
        </r>
      </text>
    </comment>
    <comment ref="H24" authorId="0" shapeId="0" xr:uid="{00000000-0006-0000-0300-00000A000000}">
      <text>
        <r>
          <rPr>
            <b/>
            <sz val="9"/>
            <color indexed="81"/>
            <rFont val="Tahoma"/>
            <family val="2"/>
          </rPr>
          <t>USUARIO:</t>
        </r>
        <r>
          <rPr>
            <sz val="9"/>
            <color indexed="81"/>
            <rFont val="Tahoma"/>
            <family val="2"/>
          </rPr>
          <t xml:space="preserve">
Internet</t>
        </r>
      </text>
    </comment>
    <comment ref="I24" authorId="0" shapeId="0" xr:uid="{00000000-0006-0000-0300-00000B000000}">
      <text>
        <r>
          <rPr>
            <b/>
            <sz val="9"/>
            <color indexed="81"/>
            <rFont val="Tahoma"/>
            <family val="2"/>
          </rPr>
          <t>USUARIO:</t>
        </r>
        <r>
          <rPr>
            <sz val="9"/>
            <color indexed="81"/>
            <rFont val="Tahoma"/>
            <family val="2"/>
          </rPr>
          <t xml:space="preserve">
Internet</t>
        </r>
      </text>
    </comment>
    <comment ref="R24" authorId="0" shapeId="0" xr:uid="{00000000-0006-0000-0300-00000C000000}">
      <text>
        <r>
          <rPr>
            <b/>
            <sz val="9"/>
            <color indexed="81"/>
            <rFont val="Tahoma"/>
            <family val="2"/>
          </rPr>
          <t>USUARIO:</t>
        </r>
        <r>
          <rPr>
            <sz val="9"/>
            <color indexed="81"/>
            <rFont val="Tahoma"/>
            <family val="2"/>
          </rPr>
          <t xml:space="preserve">
PSP</t>
        </r>
      </text>
    </comment>
    <comment ref="S24" authorId="0" shapeId="0" xr:uid="{00000000-0006-0000-0300-00000D000000}">
      <text>
        <r>
          <rPr>
            <b/>
            <sz val="9"/>
            <color indexed="81"/>
            <rFont val="Tahoma"/>
            <family val="2"/>
          </rPr>
          <t>USUARIO:</t>
        </r>
        <r>
          <rPr>
            <sz val="9"/>
            <color indexed="81"/>
            <rFont val="Tahoma"/>
            <family val="2"/>
          </rPr>
          <t xml:space="preserve">
PSP</t>
        </r>
      </text>
    </comment>
    <comment ref="T24" authorId="0" shapeId="0" xr:uid="{00000000-0006-0000-0300-00000E000000}">
      <text>
        <r>
          <rPr>
            <b/>
            <sz val="9"/>
            <color indexed="81"/>
            <rFont val="Tahoma"/>
            <family val="2"/>
          </rPr>
          <t>USUARIO:</t>
        </r>
        <r>
          <rPr>
            <sz val="9"/>
            <color indexed="81"/>
            <rFont val="Tahoma"/>
            <family val="2"/>
          </rPr>
          <t xml:space="preserve">
PSP, transporte, internet</t>
        </r>
      </text>
    </comment>
    <comment ref="U24" authorId="0" shapeId="0" xr:uid="{00000000-0006-0000-0300-00000F000000}">
      <text>
        <r>
          <rPr>
            <b/>
            <sz val="9"/>
            <color indexed="81"/>
            <rFont val="Tahoma"/>
            <family val="2"/>
          </rPr>
          <t>USUARIO:</t>
        </r>
        <r>
          <rPr>
            <sz val="9"/>
            <color indexed="81"/>
            <rFont val="Tahoma"/>
            <family val="2"/>
          </rPr>
          <t xml:space="preserve">
PSP, transporte, operador logistico, internet, licenciamiento</t>
        </r>
      </text>
    </comment>
    <comment ref="V24" authorId="0" shapeId="0" xr:uid="{00000000-0006-0000-0300-000010000000}">
      <text>
        <r>
          <rPr>
            <b/>
            <sz val="9"/>
            <color indexed="81"/>
            <rFont val="Tahoma"/>
            <family val="2"/>
          </rPr>
          <t>USUARIO:</t>
        </r>
        <r>
          <rPr>
            <sz val="9"/>
            <color indexed="81"/>
            <rFont val="Tahoma"/>
            <family val="2"/>
          </rPr>
          <t xml:space="preserve">
PSP, transporte, operador logistico, internet</t>
        </r>
      </text>
    </comment>
    <comment ref="W24" authorId="0" shapeId="0" xr:uid="{00000000-0006-0000-0300-000011000000}">
      <text>
        <r>
          <rPr>
            <b/>
            <sz val="9"/>
            <color indexed="81"/>
            <rFont val="Tahoma"/>
            <family val="2"/>
          </rPr>
          <t>USUARIO:</t>
        </r>
        <r>
          <rPr>
            <sz val="9"/>
            <color indexed="81"/>
            <rFont val="Tahoma"/>
            <family val="2"/>
          </rPr>
          <t xml:space="preserve">
PSP, transporte, papeleria, operador logistico, internet, central de medios</t>
        </r>
      </text>
    </comment>
    <comment ref="X24" authorId="0" shapeId="0" xr:uid="{00000000-0006-0000-0300-000012000000}">
      <text>
        <r>
          <rPr>
            <b/>
            <sz val="9"/>
            <color indexed="81"/>
            <rFont val="Tahoma"/>
            <family val="2"/>
          </rPr>
          <t>USUARIO:</t>
        </r>
        <r>
          <rPr>
            <sz val="9"/>
            <color indexed="81"/>
            <rFont val="Tahoma"/>
            <family val="2"/>
          </rPr>
          <t xml:space="preserve">
PSP, transporte, operador logistico, internet</t>
        </r>
      </text>
    </comment>
    <comment ref="Y24" authorId="0" shapeId="0" xr:uid="{00000000-0006-0000-0300-000013000000}">
      <text>
        <r>
          <rPr>
            <b/>
            <sz val="9"/>
            <color indexed="81"/>
            <rFont val="Tahoma"/>
            <family val="2"/>
          </rPr>
          <t>USUARIO:</t>
        </r>
        <r>
          <rPr>
            <sz val="9"/>
            <color indexed="81"/>
            <rFont val="Tahoma"/>
            <family val="2"/>
          </rPr>
          <t xml:space="preserve">
PSP, transporte, operador logistico, internet, central de medios</t>
        </r>
      </text>
    </comment>
    <comment ref="Z24" authorId="0" shapeId="0" xr:uid="{00000000-0006-0000-0300-000014000000}">
      <text>
        <r>
          <rPr>
            <b/>
            <sz val="9"/>
            <color indexed="81"/>
            <rFont val="Tahoma"/>
            <family val="2"/>
          </rPr>
          <t>USUARIO:</t>
        </r>
        <r>
          <rPr>
            <sz val="9"/>
            <color indexed="81"/>
            <rFont val="Tahoma"/>
            <family val="2"/>
          </rPr>
          <t xml:space="preserve">
PSP, transporte, operador logistico, internet</t>
        </r>
      </text>
    </comment>
    <comment ref="AA24" authorId="0" shapeId="0" xr:uid="{00000000-0006-0000-0300-000015000000}">
      <text>
        <r>
          <rPr>
            <b/>
            <sz val="9"/>
            <color indexed="81"/>
            <rFont val="Tahoma"/>
            <family val="2"/>
          </rPr>
          <t>USUARIO:</t>
        </r>
        <r>
          <rPr>
            <sz val="9"/>
            <color indexed="81"/>
            <rFont val="Tahoma"/>
            <family val="2"/>
          </rPr>
          <t xml:space="preserve">
PSP, transporte, operador logistico, internet, central de medios</t>
        </r>
      </text>
    </comment>
    <comment ref="AB24" authorId="0" shapeId="0" xr:uid="{00000000-0006-0000-0300-000016000000}">
      <text>
        <r>
          <rPr>
            <b/>
            <sz val="9"/>
            <color indexed="81"/>
            <rFont val="Tahoma"/>
            <family val="2"/>
          </rPr>
          <t>USUARIO:</t>
        </r>
        <r>
          <rPr>
            <sz val="9"/>
            <color indexed="81"/>
            <rFont val="Tahoma"/>
            <family val="2"/>
          </rPr>
          <t xml:space="preserve">
PSP, transporte, operador logistico, internet</t>
        </r>
      </text>
    </comment>
    <comment ref="C32" authorId="1" shapeId="0" xr:uid="{00000000-0006-0000-0300-000017000000}">
      <text>
        <r>
          <rPr>
            <b/>
            <sz val="9"/>
            <color indexed="8"/>
            <rFont val="Tahoma"/>
            <family val="2"/>
          </rPr>
          <t>Microsoft Office User:</t>
        </r>
        <r>
          <rPr>
            <sz val="9"/>
            <color indexed="8"/>
            <rFont val="Tahoma"/>
            <family val="2"/>
          </rPr>
          <t xml:space="preserve">
</t>
        </r>
        <r>
          <rPr>
            <sz val="9"/>
            <color indexed="8"/>
            <rFont val="Tahoma"/>
            <family val="2"/>
          </rPr>
          <t xml:space="preserve">Corresponde a la magnitud programada en coherencia con la unidad de medida de la meta proyecto. </t>
        </r>
      </text>
    </comment>
    <comment ref="Q32" authorId="2" shapeId="0" xr:uid="{00000000-0006-0000-0300-000018000000}">
      <text>
        <r>
          <rPr>
            <b/>
            <sz val="9"/>
            <color indexed="8"/>
            <rFont val="Tahoma"/>
            <family val="2"/>
          </rPr>
          <t xml:space="preserve">OFICINA ASESORA DE PLANEACIÓN:
</t>
        </r>
        <r>
          <rPr>
            <sz val="9"/>
            <color indexed="8"/>
            <rFont val="Tahoma"/>
            <family val="2"/>
          </rPr>
          <t xml:space="preserve">Máximo de caracteres Avances y logros:  2.000 (Incluidos espacios)
</t>
        </r>
        <r>
          <rPr>
            <sz val="9"/>
            <color indexed="8"/>
            <rFont val="Tahoma"/>
            <family val="2"/>
          </rPr>
          <t xml:space="preserve">Máximo de caracteres Retrasos y alternativas de solución: 1.000 (Incluidos espacios)
</t>
        </r>
        <r>
          <rPr>
            <sz val="9"/>
            <color indexed="8"/>
            <rFont val="Tahoma"/>
            <family val="2"/>
          </rPr>
          <t xml:space="preserve">Para la caracterización del avance de la meta, ésta debe ser cualitativa y cuantitativa. Teniendo en cuenta el número de caracteres que permite el sistema SEGPLAN, se recomienda dejar la información que se considere estratégica desde el área misional y de mayor relevancia. </t>
        </r>
      </text>
    </comment>
    <comment ref="W33" authorId="1" shapeId="0" xr:uid="{00000000-0006-0000-0300-000019000000}">
      <text>
        <r>
          <rPr>
            <b/>
            <sz val="9"/>
            <color indexed="8"/>
            <rFont val="Tahoma"/>
            <family val="2"/>
          </rPr>
          <t>Microsoft Office User:</t>
        </r>
        <r>
          <rPr>
            <sz val="9"/>
            <color indexed="8"/>
            <rFont val="Tahoma"/>
            <family val="2"/>
          </rPr>
          <t xml:space="preserve">
</t>
        </r>
        <r>
          <rPr>
            <sz val="9"/>
            <color indexed="8"/>
            <rFont val="Tahoma"/>
            <family val="2"/>
          </rPr>
          <t xml:space="preserve">En el caso de no presentarse retrasos en el periodo de reporte, incluir una nota indicando que las cifras son acordes con la programación. 
</t>
        </r>
      </text>
    </comment>
    <comment ref="Q34" authorId="3" shapeId="0" xr:uid="{40530457-BF9B-4D89-8D6B-527A30901812}">
      <text>
        <r>
          <rPr>
            <b/>
            <sz val="12"/>
            <color rgb="FF000000"/>
            <rFont val="Tahoma"/>
            <family val="2"/>
          </rPr>
          <t>ANGELA MARCELA FORERO RUIZ:</t>
        </r>
        <r>
          <rPr>
            <sz val="12"/>
            <color rgb="FF000000"/>
            <rFont val="Tahoma"/>
            <family val="2"/>
          </rPr>
          <t xml:space="preserve">
</t>
        </r>
        <r>
          <rPr>
            <sz val="12"/>
            <color rgb="FF000000"/>
            <rFont val="Tahoma"/>
            <family val="2"/>
          </rPr>
          <t xml:space="preserve">Según la hoja de indicadores PA el dato para octubre en mujeres formadas es:
</t>
        </r>
        <r>
          <rPr>
            <sz val="12"/>
            <color rgb="FF000000"/>
            <rFont val="Tahoma"/>
            <family val="2"/>
          </rPr>
          <t xml:space="preserve">
</t>
        </r>
        <r>
          <rPr>
            <sz val="12"/>
            <color rgb="FF000000"/>
            <rFont val="Tahoma"/>
            <family val="2"/>
          </rPr>
          <t xml:space="preserve">Para el mes de octubre, el número total de cuidadoras graduadas fue de </t>
        </r>
        <r>
          <rPr>
            <b/>
            <sz val="12"/>
            <color rgb="FF000000"/>
            <rFont val="Tahoma"/>
            <family val="2"/>
          </rPr>
          <t>502</t>
        </r>
        <r>
          <rPr>
            <sz val="12"/>
            <color rgb="FF000000"/>
            <rFont val="Tahoma"/>
            <family val="2"/>
          </rPr>
          <t xml:space="preserve"> y aqui figuran 440
</t>
        </r>
        <r>
          <rPr>
            <sz val="12"/>
            <color rgb="FF000000"/>
            <rFont val="Tahoma"/>
            <family val="2"/>
          </rPr>
          <t xml:space="preserve">
</t>
        </r>
        <r>
          <rPr>
            <sz val="12"/>
            <color rgb="FF000000"/>
            <rFont val="Tahoma"/>
            <family val="2"/>
          </rPr>
          <t xml:space="preserve">en cuanto al proceso de Homologación de Saberes, se certificaron 87 cuidadoras certificadas  </t>
        </r>
        <r>
          <rPr>
            <b/>
            <sz val="12"/>
            <color rgb="FF000000"/>
            <rFont val="Tahoma"/>
            <family val="2"/>
          </rPr>
          <t>este si es acorde</t>
        </r>
        <r>
          <rPr>
            <sz val="12"/>
            <color rgb="FF000000"/>
            <rFont val="Tahoma"/>
            <family val="2"/>
          </rPr>
          <t xml:space="preserve">
</t>
        </r>
      </text>
    </comment>
    <comment ref="T34" authorId="3" shapeId="0" xr:uid="{1629454A-40F8-40B5-9162-A7FCD835110F}">
      <text>
        <r>
          <rPr>
            <b/>
            <sz val="11"/>
            <color rgb="FF000000"/>
            <rFont val="Tahoma"/>
            <family val="2"/>
          </rPr>
          <t>ANGELA MARCELA FORERO RUIZ:</t>
        </r>
        <r>
          <rPr>
            <sz val="11"/>
            <color rgb="FF000000"/>
            <rFont val="Tahoma"/>
            <family val="2"/>
          </rPr>
          <t xml:space="preserve">
</t>
        </r>
        <r>
          <rPr>
            <sz val="14"/>
            <color rgb="FF000000"/>
            <rFont val="Tahoma"/>
            <family val="2"/>
          </rPr>
          <t xml:space="preserve">En la hoja indicadores PA y en la descripción de la actividad  el dato es:
</t>
        </r>
        <r>
          <rPr>
            <sz val="14"/>
            <color rgb="FF000000"/>
            <rFont val="Tahoma"/>
            <family val="2"/>
          </rPr>
          <t xml:space="preserve">
</t>
        </r>
        <r>
          <rPr>
            <sz val="14"/>
            <color rgb="FF000000"/>
            <rFont val="Tahoma"/>
            <family val="2"/>
          </rPr>
          <t xml:space="preserve">Durante lo corrido del año, se ha logrado que 2.560 cuidadoras se gradúen en cursos de formación complementaria. y en cuanto al proceso de Homologación de Saberes, se han certificado a 471 cuidadoras. En este sentido, el balance total es de 3.031
</t>
        </r>
        <r>
          <rPr>
            <sz val="14"/>
            <color rgb="FF000000"/>
            <rFont val="Tahoma"/>
            <family val="2"/>
          </rPr>
          <t xml:space="preserve">
</t>
        </r>
        <r>
          <rPr>
            <sz val="14"/>
            <color rgb="FF000000"/>
            <rFont val="Tahoma"/>
            <family val="2"/>
          </rPr>
          <t xml:space="preserve">Por favor ajustar 
</t>
        </r>
        <r>
          <rPr>
            <sz val="14"/>
            <color rgb="FF000000"/>
            <rFont val="Tahoma"/>
            <family val="2"/>
          </rPr>
          <t xml:space="preserve">
</t>
        </r>
        <r>
          <rPr>
            <sz val="14"/>
            <color rgb="FF000000"/>
            <rFont val="Tahoma"/>
            <family val="2"/>
          </rPr>
          <t>Adicioonalmente, verificar que al inclir los datos por localidad cuando se suman me da 2380 que no es coherente con los valores anteriores o incluyendo el dato que ponen de buses daría 2651 que tampoco cuadra. Por tal razón, sugiero no incluir este nivel de detalle por localidad en este campo de avances y logros sino incluirlo en la hoja Territoriaización PA únicamente y evitamos que haya diferencias en las cifras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USUARIO</author>
    <author>Microsoft Office User</author>
    <author/>
  </authors>
  <commentList>
    <comment ref="Q22" authorId="0" shapeId="0" xr:uid="{00000000-0006-0000-0400-000001000000}">
      <text>
        <r>
          <rPr>
            <b/>
            <sz val="9"/>
            <color indexed="81"/>
            <rFont val="Tahoma"/>
            <family val="2"/>
          </rPr>
          <t>USUARIO:</t>
        </r>
        <r>
          <rPr>
            <sz val="9"/>
            <color indexed="81"/>
            <rFont val="Tahoma"/>
            <family val="2"/>
          </rPr>
          <t xml:space="preserve">
PSP</t>
        </r>
      </text>
    </comment>
    <comment ref="T22" authorId="0" shapeId="0" xr:uid="{00000000-0006-0000-0400-000002000000}">
      <text>
        <r>
          <rPr>
            <b/>
            <sz val="9"/>
            <color indexed="81"/>
            <rFont val="Tahoma"/>
            <family val="2"/>
          </rPr>
          <t>USUARIO:</t>
        </r>
        <r>
          <rPr>
            <sz val="9"/>
            <color indexed="81"/>
            <rFont val="Tahoma"/>
            <family val="2"/>
          </rPr>
          <t xml:space="preserve">
Licenciamiento</t>
        </r>
      </text>
    </comment>
    <comment ref="V22" authorId="0" shapeId="0" xr:uid="{00000000-0006-0000-0400-000003000000}">
      <text>
        <r>
          <rPr>
            <b/>
            <sz val="9"/>
            <color indexed="81"/>
            <rFont val="Tahoma"/>
            <family val="2"/>
          </rPr>
          <t>USUARIO:</t>
        </r>
        <r>
          <rPr>
            <sz val="9"/>
            <color indexed="81"/>
            <rFont val="Tahoma"/>
            <family val="2"/>
          </rPr>
          <t xml:space="preserve">
Papeleria, central de medios</t>
        </r>
      </text>
    </comment>
    <comment ref="C24" authorId="0" shapeId="0" xr:uid="{00000000-0006-0000-0400-000004000000}">
      <text>
        <r>
          <rPr>
            <b/>
            <sz val="9"/>
            <color indexed="81"/>
            <rFont val="Tahoma"/>
            <family val="2"/>
          </rPr>
          <t>USUARIO:</t>
        </r>
        <r>
          <rPr>
            <sz val="9"/>
            <color indexed="81"/>
            <rFont val="Tahoma"/>
            <family val="2"/>
          </rPr>
          <t xml:space="preserve">
Central de Medios</t>
        </r>
      </text>
    </comment>
    <comment ref="D24" authorId="0" shapeId="0" xr:uid="{00000000-0006-0000-0400-000005000000}">
      <text>
        <r>
          <rPr>
            <b/>
            <sz val="9"/>
            <color indexed="81"/>
            <rFont val="Tahoma"/>
            <family val="2"/>
          </rPr>
          <t>USUARIO:</t>
        </r>
        <r>
          <rPr>
            <sz val="9"/>
            <color indexed="81"/>
            <rFont val="Tahoma"/>
            <family val="2"/>
          </rPr>
          <t xml:space="preserve">
PSP Derly, Adición PSP Ana, Adición PSP Carol Rozo, Central de Medios</t>
        </r>
      </text>
    </comment>
    <comment ref="R24" authorId="0" shapeId="0" xr:uid="{00000000-0006-0000-0400-000006000000}">
      <text>
        <r>
          <rPr>
            <b/>
            <sz val="9"/>
            <color indexed="81"/>
            <rFont val="Tahoma"/>
            <family val="2"/>
          </rPr>
          <t>USUARIO:</t>
        </r>
        <r>
          <rPr>
            <sz val="9"/>
            <color indexed="81"/>
            <rFont val="Tahoma"/>
            <family val="2"/>
          </rPr>
          <t xml:space="preserve">
PSP</t>
        </r>
      </text>
    </comment>
    <comment ref="S24" authorId="0" shapeId="0" xr:uid="{00000000-0006-0000-0400-000007000000}">
      <text>
        <r>
          <rPr>
            <b/>
            <sz val="9"/>
            <color indexed="81"/>
            <rFont val="Tahoma"/>
            <family val="2"/>
          </rPr>
          <t>USUARIO:</t>
        </r>
        <r>
          <rPr>
            <sz val="9"/>
            <color indexed="81"/>
            <rFont val="Tahoma"/>
            <family val="2"/>
          </rPr>
          <t xml:space="preserve">
PSP</t>
        </r>
      </text>
    </comment>
    <comment ref="T24" authorId="0" shapeId="0" xr:uid="{00000000-0006-0000-0400-000008000000}">
      <text>
        <r>
          <rPr>
            <b/>
            <sz val="9"/>
            <color indexed="81"/>
            <rFont val="Tahoma"/>
            <family val="2"/>
          </rPr>
          <t>USUARIO:</t>
        </r>
        <r>
          <rPr>
            <sz val="9"/>
            <color indexed="81"/>
            <rFont val="Tahoma"/>
            <family val="2"/>
          </rPr>
          <t xml:space="preserve">
PSP</t>
        </r>
      </text>
    </comment>
    <comment ref="U24" authorId="0" shapeId="0" xr:uid="{00000000-0006-0000-0400-000009000000}">
      <text>
        <r>
          <rPr>
            <b/>
            <sz val="9"/>
            <color indexed="81"/>
            <rFont val="Tahoma"/>
            <family val="2"/>
          </rPr>
          <t>USUARIO:</t>
        </r>
        <r>
          <rPr>
            <sz val="9"/>
            <color indexed="81"/>
            <rFont val="Tahoma"/>
            <family val="2"/>
          </rPr>
          <t xml:space="preserve">
PSP, licenciamiento</t>
        </r>
      </text>
    </comment>
    <comment ref="V24" authorId="0" shapeId="0" xr:uid="{00000000-0006-0000-0400-00000A000000}">
      <text>
        <r>
          <rPr>
            <b/>
            <sz val="9"/>
            <color indexed="81"/>
            <rFont val="Tahoma"/>
            <family val="2"/>
          </rPr>
          <t>USUARIO:</t>
        </r>
        <r>
          <rPr>
            <sz val="9"/>
            <color indexed="81"/>
            <rFont val="Tahoma"/>
            <family val="2"/>
          </rPr>
          <t xml:space="preserve">
PSP</t>
        </r>
      </text>
    </comment>
    <comment ref="W24" authorId="0" shapeId="0" xr:uid="{00000000-0006-0000-0400-00000B000000}">
      <text>
        <r>
          <rPr>
            <b/>
            <sz val="9"/>
            <color indexed="81"/>
            <rFont val="Tahoma"/>
            <family val="2"/>
          </rPr>
          <t>USUARIO:</t>
        </r>
        <r>
          <rPr>
            <sz val="9"/>
            <color indexed="81"/>
            <rFont val="Tahoma"/>
            <family val="2"/>
          </rPr>
          <t xml:space="preserve">
PSP, papeleria, central de medios</t>
        </r>
      </text>
    </comment>
    <comment ref="X24" authorId="0" shapeId="0" xr:uid="{00000000-0006-0000-0400-00000C000000}">
      <text>
        <r>
          <rPr>
            <b/>
            <sz val="9"/>
            <color indexed="81"/>
            <rFont val="Tahoma"/>
            <family val="2"/>
          </rPr>
          <t>USUARIO:</t>
        </r>
        <r>
          <rPr>
            <sz val="9"/>
            <color indexed="81"/>
            <rFont val="Tahoma"/>
            <family val="2"/>
          </rPr>
          <t xml:space="preserve">
PSP</t>
        </r>
      </text>
    </comment>
    <comment ref="Y24" authorId="0" shapeId="0" xr:uid="{00000000-0006-0000-0400-00000D000000}">
      <text>
        <r>
          <rPr>
            <b/>
            <sz val="9"/>
            <color indexed="81"/>
            <rFont val="Tahoma"/>
            <family val="2"/>
          </rPr>
          <t>USUARIO:</t>
        </r>
        <r>
          <rPr>
            <sz val="9"/>
            <color indexed="81"/>
            <rFont val="Tahoma"/>
            <family val="2"/>
          </rPr>
          <t xml:space="preserve">
PSP, central de medios</t>
        </r>
      </text>
    </comment>
    <comment ref="Z24" authorId="0" shapeId="0" xr:uid="{00000000-0006-0000-0400-00000E000000}">
      <text>
        <r>
          <rPr>
            <b/>
            <sz val="9"/>
            <color indexed="81"/>
            <rFont val="Tahoma"/>
            <family val="2"/>
          </rPr>
          <t>USUARIO:</t>
        </r>
        <r>
          <rPr>
            <sz val="9"/>
            <color indexed="81"/>
            <rFont val="Tahoma"/>
            <family val="2"/>
          </rPr>
          <t xml:space="preserve">
PSP</t>
        </r>
      </text>
    </comment>
    <comment ref="AA24" authorId="0" shapeId="0" xr:uid="{00000000-0006-0000-0400-00000F000000}">
      <text>
        <r>
          <rPr>
            <b/>
            <sz val="9"/>
            <color indexed="81"/>
            <rFont val="Tahoma"/>
            <family val="2"/>
          </rPr>
          <t>USUARIO:</t>
        </r>
        <r>
          <rPr>
            <sz val="9"/>
            <color indexed="81"/>
            <rFont val="Tahoma"/>
            <family val="2"/>
          </rPr>
          <t xml:space="preserve">
PSP, central de medios</t>
        </r>
      </text>
    </comment>
    <comment ref="AB24" authorId="0" shapeId="0" xr:uid="{00000000-0006-0000-0400-000010000000}">
      <text>
        <r>
          <rPr>
            <b/>
            <sz val="9"/>
            <color indexed="81"/>
            <rFont val="Tahoma"/>
            <family val="2"/>
          </rPr>
          <t>USUARIO:</t>
        </r>
        <r>
          <rPr>
            <sz val="9"/>
            <color indexed="81"/>
            <rFont val="Tahoma"/>
            <family val="2"/>
          </rPr>
          <t xml:space="preserve">
PSP</t>
        </r>
      </text>
    </comment>
    <comment ref="C32" authorId="1" shapeId="0" xr:uid="{00000000-0006-0000-0400-000011000000}">
      <text>
        <r>
          <rPr>
            <b/>
            <sz val="9"/>
            <color indexed="8"/>
            <rFont val="Tahoma"/>
            <family val="2"/>
          </rPr>
          <t>Microsoft Office User:</t>
        </r>
        <r>
          <rPr>
            <sz val="9"/>
            <color indexed="8"/>
            <rFont val="Tahoma"/>
            <family val="2"/>
          </rPr>
          <t xml:space="preserve">
</t>
        </r>
        <r>
          <rPr>
            <sz val="9"/>
            <color indexed="8"/>
            <rFont val="Tahoma"/>
            <family val="2"/>
          </rPr>
          <t xml:space="preserve">Corresponde a la magnitud programada en coherencia con la unidad de medida de la meta proyecto. </t>
        </r>
      </text>
    </comment>
    <comment ref="Q32" authorId="2" shapeId="0" xr:uid="{00000000-0006-0000-0400-000012000000}">
      <text>
        <r>
          <rPr>
            <b/>
            <sz val="9"/>
            <color indexed="8"/>
            <rFont val="Tahoma"/>
            <family val="2"/>
          </rPr>
          <t xml:space="preserve">OFICINA ASESORA DE PLANEACIÓN:
</t>
        </r>
        <r>
          <rPr>
            <sz val="9"/>
            <color indexed="8"/>
            <rFont val="Tahoma"/>
            <family val="2"/>
          </rPr>
          <t xml:space="preserve">Máximo de caracteres Avances y logros:  2.000 (Incluidos espacios)
</t>
        </r>
        <r>
          <rPr>
            <sz val="9"/>
            <color indexed="8"/>
            <rFont val="Tahoma"/>
            <family val="2"/>
          </rPr>
          <t xml:space="preserve">Máximo de caracteres Retrasos y alternativas de solución: 1.000 (Incluidos espacios)
</t>
        </r>
        <r>
          <rPr>
            <sz val="9"/>
            <color indexed="8"/>
            <rFont val="Tahoma"/>
            <family val="2"/>
          </rPr>
          <t xml:space="preserve">Para la caracterización del avance de la meta, ésta debe ser cualitativa y cuantitativa. Teniendo en cuenta el número de caracteres que permite el sistema SEGPLAN, se recomienda dejar la información que se considere estratégica desde el área misional y de mayor relevancia. </t>
        </r>
      </text>
    </comment>
    <comment ref="W33" authorId="1" shapeId="0" xr:uid="{00000000-0006-0000-0400-000013000000}">
      <text>
        <r>
          <rPr>
            <b/>
            <sz val="9"/>
            <color indexed="8"/>
            <rFont val="Tahoma"/>
            <family val="2"/>
          </rPr>
          <t>Microsoft Office User:</t>
        </r>
        <r>
          <rPr>
            <sz val="9"/>
            <color indexed="8"/>
            <rFont val="Tahoma"/>
            <family val="2"/>
          </rPr>
          <t xml:space="preserve">
</t>
        </r>
        <r>
          <rPr>
            <sz val="9"/>
            <color indexed="8"/>
            <rFont val="Tahoma"/>
            <family val="2"/>
          </rPr>
          <t xml:space="preserve">En el caso de no presentarse retrasos en el periodo de reporte, incluir una nota indicando que las cifras son acordes con la programación.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Microsoft Office User</author>
    <author>ANDREA PAOLA BELLO VARGAS</author>
  </authors>
  <commentList>
    <comment ref="C26" authorId="0" shapeId="0" xr:uid="{00000000-0006-0000-0700-000001000000}">
      <text>
        <r>
          <rPr>
            <b/>
            <sz val="9"/>
            <color indexed="8"/>
            <rFont val="Tahoma"/>
            <family val="2"/>
          </rPr>
          <t>Microsoft Office User:</t>
        </r>
        <r>
          <rPr>
            <sz val="9"/>
            <color indexed="8"/>
            <rFont val="Tahoma"/>
            <family val="2"/>
          </rPr>
          <t xml:space="preserve">
</t>
        </r>
        <r>
          <rPr>
            <sz val="9"/>
            <color indexed="8"/>
            <rFont val="Tahoma"/>
            <family val="2"/>
          </rPr>
          <t xml:space="preserve">Corresponde a la magnitud programada en coherencia con la unidad de medida de la meta proyecto. </t>
        </r>
      </text>
    </comment>
    <comment ref="Q26" authorId="1" shapeId="0" xr:uid="{00000000-0006-0000-0700-000002000000}">
      <text>
        <r>
          <rPr>
            <b/>
            <sz val="9"/>
            <color indexed="8"/>
            <rFont val="Tahoma"/>
            <family val="2"/>
          </rPr>
          <t xml:space="preserve">OFICINA ASESORA DE PLANEACIÓN:
</t>
        </r>
        <r>
          <rPr>
            <sz val="9"/>
            <color indexed="8"/>
            <rFont val="Tahoma"/>
            <family val="2"/>
          </rPr>
          <t xml:space="preserve">Máximo de caracteres Avances y logros:  2.000 (Incluidos espacios)
</t>
        </r>
        <r>
          <rPr>
            <sz val="9"/>
            <color indexed="8"/>
            <rFont val="Tahoma"/>
            <family val="2"/>
          </rPr>
          <t xml:space="preserve">Máximo de caracteres Retrasos y alternativas de solución: 1.000 (Incluidos espacios)
</t>
        </r>
        <r>
          <rPr>
            <sz val="9"/>
            <color indexed="8"/>
            <rFont val="Tahoma"/>
            <family val="2"/>
          </rPr>
          <t xml:space="preserve">Para la caracterización del avance de la meta, ésta debe ser cualitativa y cuantitativa. Teniendo en cuenta el número de caracteres que permite el sistema SEGPLAN, se recomienda dejar la información que se considere estratégica desde el área misional y de mayor relevancia. </t>
        </r>
      </text>
    </comment>
    <comment ref="U27" authorId="0" shapeId="0" xr:uid="{00000000-0006-0000-0700-000003000000}">
      <text>
        <r>
          <rPr>
            <b/>
            <sz val="9"/>
            <color indexed="8"/>
            <rFont val="Tahoma"/>
            <family val="2"/>
          </rPr>
          <t>Microsoft Office User:</t>
        </r>
        <r>
          <rPr>
            <sz val="9"/>
            <color indexed="8"/>
            <rFont val="Tahoma"/>
            <family val="2"/>
          </rPr>
          <t xml:space="preserve">
</t>
        </r>
        <r>
          <rPr>
            <sz val="9"/>
            <color indexed="8"/>
            <rFont val="Tahoma"/>
            <family val="2"/>
          </rPr>
          <t xml:space="preserve">En el caso de no presentarse retrasos en el periodo de reporte, incluir una nota indicando que las cifras son acordes con la programación.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USUARIO</author>
    <author>Microsoft Office User</author>
    <author/>
    <author>tc={D2B2A0DE-BDFC-45CC-A3A9-46C9567640A7}</author>
  </authors>
  <commentList>
    <comment ref="Q22" authorId="0" shapeId="0" xr:uid="{00000000-0006-0000-0500-000001000000}">
      <text>
        <r>
          <rPr>
            <b/>
            <sz val="9"/>
            <color indexed="81"/>
            <rFont val="Tahoma"/>
            <family val="2"/>
          </rPr>
          <t>USUARIO:</t>
        </r>
        <r>
          <rPr>
            <sz val="9"/>
            <color indexed="81"/>
            <rFont val="Tahoma"/>
            <family val="2"/>
          </rPr>
          <t xml:space="preserve">
PSP</t>
        </r>
      </text>
    </comment>
    <comment ref="S22" authorId="0" shapeId="0" xr:uid="{00000000-0006-0000-0500-000002000000}">
      <text>
        <r>
          <rPr>
            <b/>
            <sz val="9"/>
            <color indexed="81"/>
            <rFont val="Tahoma"/>
            <family val="2"/>
          </rPr>
          <t>USUARIO:</t>
        </r>
        <r>
          <rPr>
            <sz val="9"/>
            <color indexed="81"/>
            <rFont val="Tahoma"/>
            <family val="2"/>
          </rPr>
          <t xml:space="preserve">
Transporte</t>
        </r>
      </text>
    </comment>
    <comment ref="T22" authorId="0" shapeId="0" xr:uid="{00000000-0006-0000-0500-000003000000}">
      <text>
        <r>
          <rPr>
            <b/>
            <sz val="9"/>
            <color indexed="81"/>
            <rFont val="Tahoma"/>
            <family val="2"/>
          </rPr>
          <t>USUARIO:</t>
        </r>
        <r>
          <rPr>
            <sz val="9"/>
            <color indexed="81"/>
            <rFont val="Tahoma"/>
            <family val="2"/>
          </rPr>
          <t xml:space="preserve">
Operador logistico, licenciamiento</t>
        </r>
      </text>
    </comment>
    <comment ref="V22" authorId="0" shapeId="0" xr:uid="{00000000-0006-0000-0500-000004000000}">
      <text>
        <r>
          <rPr>
            <b/>
            <sz val="9"/>
            <color indexed="81"/>
            <rFont val="Tahoma"/>
            <family val="2"/>
          </rPr>
          <t>USUARIO:</t>
        </r>
        <r>
          <rPr>
            <sz val="9"/>
            <color indexed="81"/>
            <rFont val="Tahoma"/>
            <family val="2"/>
          </rPr>
          <t xml:space="preserve">
papeleria, central de medios</t>
        </r>
      </text>
    </comment>
    <comment ref="C24" authorId="0" shapeId="0" xr:uid="{00000000-0006-0000-0500-000005000000}">
      <text>
        <r>
          <rPr>
            <b/>
            <sz val="9"/>
            <color indexed="81"/>
            <rFont val="Tahoma"/>
            <family val="2"/>
          </rPr>
          <t>USUARIO:</t>
        </r>
        <r>
          <rPr>
            <sz val="9"/>
            <color indexed="81"/>
            <rFont val="Tahoma"/>
            <family val="2"/>
          </rPr>
          <t xml:space="preserve">
Impresos, operador logistico, Central de Medios</t>
        </r>
      </text>
    </comment>
    <comment ref="D24" authorId="0" shapeId="0" xr:uid="{00000000-0006-0000-0500-000006000000}">
      <text>
        <r>
          <rPr>
            <b/>
            <sz val="9"/>
            <color indexed="81"/>
            <rFont val="Tahoma"/>
            <family val="2"/>
          </rPr>
          <t>USUARIO:</t>
        </r>
        <r>
          <rPr>
            <sz val="9"/>
            <color indexed="81"/>
            <rFont val="Tahoma"/>
            <family val="2"/>
          </rPr>
          <t xml:space="preserve">
Transporte, SIMISIONAL, adición operador logistico, chalecos, PSP Derly, Adición PSP Luis, Adición PSP Ana, Adición PSP Carol Rozo, Central de Medios</t>
        </r>
      </text>
    </comment>
    <comment ref="E24" authorId="0" shapeId="0" xr:uid="{00000000-0006-0000-0500-000007000000}">
      <text>
        <r>
          <rPr>
            <b/>
            <sz val="9"/>
            <color indexed="81"/>
            <rFont val="Tahoma"/>
            <family val="2"/>
          </rPr>
          <t>USUARIO:</t>
        </r>
        <r>
          <rPr>
            <sz val="9"/>
            <color indexed="81"/>
            <rFont val="Tahoma"/>
            <family val="2"/>
          </rPr>
          <t xml:space="preserve">
Adición operador logistico</t>
        </r>
      </text>
    </comment>
    <comment ref="F24" authorId="0" shapeId="0" xr:uid="{00000000-0006-0000-0500-000008000000}">
      <text>
        <r>
          <rPr>
            <b/>
            <sz val="9"/>
            <color indexed="81"/>
            <rFont val="Tahoma"/>
            <family val="2"/>
          </rPr>
          <t>USUARIO:</t>
        </r>
        <r>
          <rPr>
            <sz val="9"/>
            <color indexed="81"/>
            <rFont val="Tahoma"/>
            <family val="2"/>
          </rPr>
          <t xml:space="preserve">
Adición operador logistico</t>
        </r>
      </text>
    </comment>
    <comment ref="R24" authorId="0" shapeId="0" xr:uid="{00000000-0006-0000-0500-000009000000}">
      <text>
        <r>
          <rPr>
            <b/>
            <sz val="9"/>
            <color indexed="81"/>
            <rFont val="Tahoma"/>
            <family val="2"/>
          </rPr>
          <t>USUARIO:</t>
        </r>
        <r>
          <rPr>
            <sz val="9"/>
            <color indexed="81"/>
            <rFont val="Tahoma"/>
            <family val="2"/>
          </rPr>
          <t xml:space="preserve">
PSP</t>
        </r>
      </text>
    </comment>
    <comment ref="S24" authorId="0" shapeId="0" xr:uid="{00000000-0006-0000-0500-00000A000000}">
      <text>
        <r>
          <rPr>
            <b/>
            <sz val="9"/>
            <color indexed="81"/>
            <rFont val="Tahoma"/>
            <family val="2"/>
          </rPr>
          <t>USUARIO:</t>
        </r>
        <r>
          <rPr>
            <sz val="9"/>
            <color indexed="81"/>
            <rFont val="Tahoma"/>
            <family val="2"/>
          </rPr>
          <t xml:space="preserve">
PSP</t>
        </r>
      </text>
    </comment>
    <comment ref="T24" authorId="0" shapeId="0" xr:uid="{00000000-0006-0000-0500-00000B000000}">
      <text>
        <r>
          <rPr>
            <b/>
            <sz val="9"/>
            <color indexed="81"/>
            <rFont val="Tahoma"/>
            <family val="2"/>
          </rPr>
          <t>USUARIO:</t>
        </r>
        <r>
          <rPr>
            <sz val="9"/>
            <color indexed="81"/>
            <rFont val="Tahoma"/>
            <family val="2"/>
          </rPr>
          <t xml:space="preserve">
PSP, transporte</t>
        </r>
      </text>
    </comment>
    <comment ref="U24" authorId="0" shapeId="0" xr:uid="{00000000-0006-0000-0500-00000C000000}">
      <text>
        <r>
          <rPr>
            <b/>
            <sz val="9"/>
            <color indexed="81"/>
            <rFont val="Tahoma"/>
            <family val="2"/>
          </rPr>
          <t>USUARIO:</t>
        </r>
        <r>
          <rPr>
            <sz val="9"/>
            <color indexed="81"/>
            <rFont val="Tahoma"/>
            <family val="2"/>
          </rPr>
          <t xml:space="preserve">
PSP, transporte, operador logistico, licenciamiento</t>
        </r>
      </text>
    </comment>
    <comment ref="V24" authorId="0" shapeId="0" xr:uid="{00000000-0006-0000-0500-00000D000000}">
      <text>
        <r>
          <rPr>
            <b/>
            <sz val="9"/>
            <color indexed="81"/>
            <rFont val="Tahoma"/>
            <family val="2"/>
          </rPr>
          <t>USUARIO:</t>
        </r>
        <r>
          <rPr>
            <sz val="9"/>
            <color indexed="81"/>
            <rFont val="Tahoma"/>
            <family val="2"/>
          </rPr>
          <t xml:space="preserve">
PSP, transporte, operador logistico</t>
        </r>
      </text>
    </comment>
    <comment ref="W24" authorId="0" shapeId="0" xr:uid="{00000000-0006-0000-0500-00000E000000}">
      <text>
        <r>
          <rPr>
            <b/>
            <sz val="9"/>
            <color indexed="81"/>
            <rFont val="Tahoma"/>
            <family val="2"/>
          </rPr>
          <t>USUARIO:</t>
        </r>
        <r>
          <rPr>
            <sz val="9"/>
            <color indexed="81"/>
            <rFont val="Tahoma"/>
            <family val="2"/>
          </rPr>
          <t xml:space="preserve">
PSP, transporte, papeleria, operador logistico, central de medios</t>
        </r>
      </text>
    </comment>
    <comment ref="X24" authorId="0" shapeId="0" xr:uid="{00000000-0006-0000-0500-00000F000000}">
      <text>
        <r>
          <rPr>
            <b/>
            <sz val="9"/>
            <color indexed="81"/>
            <rFont val="Tahoma"/>
            <family val="2"/>
          </rPr>
          <t>USUARIO:</t>
        </r>
        <r>
          <rPr>
            <sz val="9"/>
            <color indexed="81"/>
            <rFont val="Tahoma"/>
            <family val="2"/>
          </rPr>
          <t xml:space="preserve">
PSP, transporte, operador logistico</t>
        </r>
      </text>
    </comment>
    <comment ref="Y24" authorId="0" shapeId="0" xr:uid="{00000000-0006-0000-0500-000010000000}">
      <text>
        <r>
          <rPr>
            <b/>
            <sz val="9"/>
            <color indexed="81"/>
            <rFont val="Tahoma"/>
            <family val="2"/>
          </rPr>
          <t>USUARIO:</t>
        </r>
        <r>
          <rPr>
            <sz val="9"/>
            <color indexed="81"/>
            <rFont val="Tahoma"/>
            <family val="2"/>
          </rPr>
          <t xml:space="preserve">
PSP, transporte, operador logistico, central de medios</t>
        </r>
      </text>
    </comment>
    <comment ref="Z24" authorId="0" shapeId="0" xr:uid="{00000000-0006-0000-0500-000011000000}">
      <text>
        <r>
          <rPr>
            <b/>
            <sz val="9"/>
            <color indexed="81"/>
            <rFont val="Tahoma"/>
            <family val="2"/>
          </rPr>
          <t>USUARIO:</t>
        </r>
        <r>
          <rPr>
            <sz val="9"/>
            <color indexed="81"/>
            <rFont val="Tahoma"/>
            <family val="2"/>
          </rPr>
          <t xml:space="preserve">
PSP, transporte, operador logistico</t>
        </r>
      </text>
    </comment>
    <comment ref="AA24" authorId="0" shapeId="0" xr:uid="{00000000-0006-0000-0500-000012000000}">
      <text>
        <r>
          <rPr>
            <b/>
            <sz val="9"/>
            <color indexed="81"/>
            <rFont val="Tahoma"/>
            <family val="2"/>
          </rPr>
          <t>USUARIO:</t>
        </r>
        <r>
          <rPr>
            <sz val="9"/>
            <color indexed="81"/>
            <rFont val="Tahoma"/>
            <family val="2"/>
          </rPr>
          <t xml:space="preserve">
PSP, transporte, operador logistico, central de medios</t>
        </r>
      </text>
    </comment>
    <comment ref="AB24" authorId="0" shapeId="0" xr:uid="{00000000-0006-0000-0500-000013000000}">
      <text>
        <r>
          <rPr>
            <b/>
            <sz val="9"/>
            <color indexed="81"/>
            <rFont val="Tahoma"/>
            <family val="2"/>
          </rPr>
          <t>USUARIO:</t>
        </r>
        <r>
          <rPr>
            <sz val="9"/>
            <color indexed="81"/>
            <rFont val="Tahoma"/>
            <family val="2"/>
          </rPr>
          <t xml:space="preserve">
PSP, transporte, operador logistico</t>
        </r>
      </text>
    </comment>
    <comment ref="C32" authorId="1" shapeId="0" xr:uid="{00000000-0006-0000-0500-000014000000}">
      <text>
        <r>
          <rPr>
            <b/>
            <sz val="9"/>
            <color indexed="8"/>
            <rFont val="Tahoma"/>
            <family val="2"/>
          </rPr>
          <t>Microsoft Office User:</t>
        </r>
        <r>
          <rPr>
            <sz val="9"/>
            <color indexed="8"/>
            <rFont val="Tahoma"/>
            <family val="2"/>
          </rPr>
          <t xml:space="preserve">
</t>
        </r>
        <r>
          <rPr>
            <sz val="9"/>
            <color indexed="8"/>
            <rFont val="Tahoma"/>
            <family val="2"/>
          </rPr>
          <t xml:space="preserve">Corresponde a la magnitud programada en coherencia con la unidad de medida de la meta proyecto. </t>
        </r>
      </text>
    </comment>
    <comment ref="Q32" authorId="2" shapeId="0" xr:uid="{00000000-0006-0000-0500-000015000000}">
      <text>
        <r>
          <rPr>
            <b/>
            <sz val="9"/>
            <color indexed="8"/>
            <rFont val="Tahoma"/>
            <family val="2"/>
          </rPr>
          <t xml:space="preserve">OFICINA ASESORA DE PLANEACIÓN:
</t>
        </r>
        <r>
          <rPr>
            <sz val="9"/>
            <color indexed="8"/>
            <rFont val="Tahoma"/>
            <family val="2"/>
          </rPr>
          <t xml:space="preserve">Máximo de caracteres Avances y logros:  2.000 (Incluidos espacios)
</t>
        </r>
        <r>
          <rPr>
            <sz val="9"/>
            <color indexed="8"/>
            <rFont val="Tahoma"/>
            <family val="2"/>
          </rPr>
          <t xml:space="preserve">Máximo de caracteres Retrasos y alternativas de solución: 1.000 (Incluidos espacios)
</t>
        </r>
        <r>
          <rPr>
            <sz val="9"/>
            <color indexed="8"/>
            <rFont val="Tahoma"/>
            <family val="2"/>
          </rPr>
          <t xml:space="preserve">Para la caracterización del avance de la meta, ésta debe ser cualitativa y cuantitativa. Teniendo en cuenta el número de caracteres que permite el sistema SEGPLAN, se recomienda dejar la información que se considere estratégica desde el área misional y de mayor relevancia. </t>
        </r>
      </text>
    </comment>
    <comment ref="W33" authorId="1" shapeId="0" xr:uid="{00000000-0006-0000-0500-000016000000}">
      <text>
        <r>
          <rPr>
            <b/>
            <sz val="9"/>
            <color indexed="8"/>
            <rFont val="Tahoma"/>
            <family val="2"/>
          </rPr>
          <t>Microsoft Office User:</t>
        </r>
        <r>
          <rPr>
            <sz val="9"/>
            <color indexed="8"/>
            <rFont val="Tahoma"/>
            <family val="2"/>
          </rPr>
          <t xml:space="preserve">
</t>
        </r>
        <r>
          <rPr>
            <sz val="9"/>
            <color indexed="8"/>
            <rFont val="Tahoma"/>
            <family val="2"/>
          </rPr>
          <t xml:space="preserve">En el caso de no presentarse retrasos en el periodo de reporte, incluir una nota indicando que las cifras son acordes con la programación. 
</t>
        </r>
      </text>
    </comment>
    <comment ref="Q34" authorId="3" shapeId="0" xr:uid="{D2B2A0DE-BDFC-45CC-A3A9-46C9567640A7}">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Se hace la salvedad de que esta información no tiene los filtros correspondientes realizados por el equipo de la Dirección de Gestión del conocimiento, sino que es el reporte directo de Simisional. </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USUARIO</author>
    <author>Microsoft Office User</author>
    <author/>
  </authors>
  <commentList>
    <comment ref="Q22" authorId="0" shapeId="0" xr:uid="{00000000-0006-0000-0600-000001000000}">
      <text>
        <r>
          <rPr>
            <b/>
            <sz val="9"/>
            <color indexed="81"/>
            <rFont val="Tahoma"/>
            <family val="2"/>
          </rPr>
          <t>USUARIO:</t>
        </r>
        <r>
          <rPr>
            <sz val="9"/>
            <color indexed="81"/>
            <rFont val="Tahoma"/>
            <family val="2"/>
          </rPr>
          <t xml:space="preserve">
PSP, Unidades Moviles</t>
        </r>
      </text>
    </comment>
    <comment ref="S22" authorId="0" shapeId="0" xr:uid="{00000000-0006-0000-0600-000002000000}">
      <text>
        <r>
          <rPr>
            <b/>
            <sz val="9"/>
            <color indexed="81"/>
            <rFont val="Tahoma"/>
            <family val="2"/>
          </rPr>
          <t>USUARIO:</t>
        </r>
        <r>
          <rPr>
            <sz val="9"/>
            <color indexed="81"/>
            <rFont val="Tahoma"/>
            <family val="2"/>
          </rPr>
          <t xml:space="preserve">
Transporte</t>
        </r>
      </text>
    </comment>
    <comment ref="T22" authorId="0" shapeId="0" xr:uid="{00000000-0006-0000-0600-000003000000}">
      <text>
        <r>
          <rPr>
            <b/>
            <sz val="9"/>
            <color indexed="81"/>
            <rFont val="Tahoma"/>
            <family val="2"/>
          </rPr>
          <t>USUARIO:</t>
        </r>
        <r>
          <rPr>
            <sz val="9"/>
            <color indexed="81"/>
            <rFont val="Tahoma"/>
            <family val="2"/>
          </rPr>
          <t xml:space="preserve">
Operador logistico, licenciamiento</t>
        </r>
      </text>
    </comment>
    <comment ref="V22" authorId="0" shapeId="0" xr:uid="{00000000-0006-0000-0600-000004000000}">
      <text>
        <r>
          <rPr>
            <b/>
            <sz val="9"/>
            <color indexed="81"/>
            <rFont val="Tahoma"/>
            <family val="2"/>
          </rPr>
          <t>USUARIO:</t>
        </r>
        <r>
          <rPr>
            <sz val="9"/>
            <color indexed="81"/>
            <rFont val="Tahoma"/>
            <family val="2"/>
          </rPr>
          <t xml:space="preserve">
papeleria, central de medios</t>
        </r>
      </text>
    </comment>
    <comment ref="C24" authorId="0" shapeId="0" xr:uid="{00000000-0006-0000-0600-000005000000}">
      <text>
        <r>
          <rPr>
            <b/>
            <sz val="9"/>
            <color indexed="81"/>
            <rFont val="Tahoma"/>
            <family val="2"/>
          </rPr>
          <t>USUARIO:</t>
        </r>
        <r>
          <rPr>
            <sz val="9"/>
            <color indexed="81"/>
            <rFont val="Tahoma"/>
            <family val="2"/>
          </rPr>
          <t xml:space="preserve">
Impresos, operador logistico, Central de Medios</t>
        </r>
      </text>
    </comment>
    <comment ref="D24" authorId="0" shapeId="0" xr:uid="{00000000-0006-0000-0600-000006000000}">
      <text>
        <r>
          <rPr>
            <b/>
            <sz val="9"/>
            <color indexed="81"/>
            <rFont val="Tahoma"/>
            <family val="2"/>
          </rPr>
          <t>USUARIO:</t>
        </r>
        <r>
          <rPr>
            <sz val="9"/>
            <color indexed="81"/>
            <rFont val="Tahoma"/>
            <family val="2"/>
          </rPr>
          <t xml:space="preserve">
Transporte, SIMISIONAL, adición operador logistico, chalecos, PSP Jesica, Adición PSP Luis, Adición PSP Laura, Adición PSP Johanna, Adición PSP Sandra, Adición PSP Angela, Adición PSP Ana, Adición PSP Pilar, Adición PSP Carol Rozo, Central de Medios</t>
        </r>
      </text>
    </comment>
    <comment ref="E24" authorId="0" shapeId="0" xr:uid="{00000000-0006-0000-0600-000007000000}">
      <text>
        <r>
          <rPr>
            <b/>
            <sz val="9"/>
            <color indexed="81"/>
            <rFont val="Tahoma"/>
            <family val="2"/>
          </rPr>
          <t>USUARIO:</t>
        </r>
        <r>
          <rPr>
            <sz val="9"/>
            <color indexed="81"/>
            <rFont val="Tahoma"/>
            <family val="2"/>
          </rPr>
          <t xml:space="preserve">
Adición operador logistico</t>
        </r>
      </text>
    </comment>
    <comment ref="F24" authorId="0" shapeId="0" xr:uid="{00000000-0006-0000-0600-000008000000}">
      <text>
        <r>
          <rPr>
            <b/>
            <sz val="9"/>
            <color indexed="81"/>
            <rFont val="Tahoma"/>
            <family val="2"/>
          </rPr>
          <t>USUARIO:</t>
        </r>
        <r>
          <rPr>
            <sz val="9"/>
            <color indexed="81"/>
            <rFont val="Tahoma"/>
            <family val="2"/>
          </rPr>
          <t xml:space="preserve">
Adición operador logistico</t>
        </r>
      </text>
    </comment>
    <comment ref="R24" authorId="0" shapeId="0" xr:uid="{00000000-0006-0000-0600-000009000000}">
      <text>
        <r>
          <rPr>
            <b/>
            <sz val="9"/>
            <color indexed="81"/>
            <rFont val="Tahoma"/>
            <family val="2"/>
          </rPr>
          <t>USUARIO:</t>
        </r>
        <r>
          <rPr>
            <sz val="9"/>
            <color indexed="81"/>
            <rFont val="Tahoma"/>
            <family val="2"/>
          </rPr>
          <t xml:space="preserve">
PSP</t>
        </r>
      </text>
    </comment>
    <comment ref="S24" authorId="0" shapeId="0" xr:uid="{00000000-0006-0000-0600-00000A000000}">
      <text>
        <r>
          <rPr>
            <b/>
            <sz val="9"/>
            <color indexed="81"/>
            <rFont val="Tahoma"/>
            <family val="2"/>
          </rPr>
          <t>USUARIO:</t>
        </r>
        <r>
          <rPr>
            <sz val="9"/>
            <color indexed="81"/>
            <rFont val="Tahoma"/>
            <family val="2"/>
          </rPr>
          <t xml:space="preserve">
PSP</t>
        </r>
      </text>
    </comment>
    <comment ref="T24" authorId="0" shapeId="0" xr:uid="{00000000-0006-0000-0600-00000B000000}">
      <text>
        <r>
          <rPr>
            <b/>
            <sz val="9"/>
            <color indexed="81"/>
            <rFont val="Tahoma"/>
            <family val="2"/>
          </rPr>
          <t>USUARIO:</t>
        </r>
        <r>
          <rPr>
            <sz val="9"/>
            <color indexed="81"/>
            <rFont val="Tahoma"/>
            <family val="2"/>
          </rPr>
          <t xml:space="preserve">
PSP, Transporte</t>
        </r>
      </text>
    </comment>
    <comment ref="U24" authorId="0" shapeId="0" xr:uid="{00000000-0006-0000-0600-00000C000000}">
      <text>
        <r>
          <rPr>
            <b/>
            <sz val="9"/>
            <color indexed="81"/>
            <rFont val="Tahoma"/>
            <family val="2"/>
          </rPr>
          <t>USUARIO:</t>
        </r>
        <r>
          <rPr>
            <sz val="9"/>
            <color indexed="81"/>
            <rFont val="Tahoma"/>
            <family val="2"/>
          </rPr>
          <t xml:space="preserve">
PSP, transporte, operador logistico, licenciamiento</t>
        </r>
      </text>
    </comment>
    <comment ref="V24" authorId="0" shapeId="0" xr:uid="{00000000-0006-0000-0600-00000D000000}">
      <text>
        <r>
          <rPr>
            <b/>
            <sz val="9"/>
            <color indexed="81"/>
            <rFont val="Tahoma"/>
            <family val="2"/>
          </rPr>
          <t>USUARIO:</t>
        </r>
        <r>
          <rPr>
            <sz val="9"/>
            <color indexed="81"/>
            <rFont val="Tahoma"/>
            <family val="2"/>
          </rPr>
          <t xml:space="preserve">
PSP, transporte, operador  logistico</t>
        </r>
      </text>
    </comment>
    <comment ref="W24" authorId="0" shapeId="0" xr:uid="{00000000-0006-0000-0600-00000E000000}">
      <text>
        <r>
          <rPr>
            <b/>
            <sz val="9"/>
            <color indexed="81"/>
            <rFont val="Tahoma"/>
            <family val="2"/>
          </rPr>
          <t>USUARIO:</t>
        </r>
        <r>
          <rPr>
            <sz val="9"/>
            <color indexed="81"/>
            <rFont val="Tahoma"/>
            <family val="2"/>
          </rPr>
          <t xml:space="preserve">
PSP, transporte, papeleria, operador logistico, central de medios</t>
        </r>
      </text>
    </comment>
    <comment ref="X24" authorId="0" shapeId="0" xr:uid="{00000000-0006-0000-0600-00000F000000}">
      <text>
        <r>
          <rPr>
            <b/>
            <sz val="9"/>
            <color indexed="81"/>
            <rFont val="Tahoma"/>
            <family val="2"/>
          </rPr>
          <t>USUARIO:</t>
        </r>
        <r>
          <rPr>
            <sz val="9"/>
            <color indexed="81"/>
            <rFont val="Tahoma"/>
            <family val="2"/>
          </rPr>
          <t xml:space="preserve">
PSP, transporte, operador logistico</t>
        </r>
      </text>
    </comment>
    <comment ref="Y24" authorId="0" shapeId="0" xr:uid="{00000000-0006-0000-0600-000010000000}">
      <text>
        <r>
          <rPr>
            <b/>
            <sz val="9"/>
            <color indexed="81"/>
            <rFont val="Tahoma"/>
            <family val="2"/>
          </rPr>
          <t>USUARIO:</t>
        </r>
        <r>
          <rPr>
            <sz val="9"/>
            <color indexed="81"/>
            <rFont val="Tahoma"/>
            <family val="2"/>
          </rPr>
          <t xml:space="preserve">
PSP, transporte, operador logistico, central de medios</t>
        </r>
      </text>
    </comment>
    <comment ref="Z24" authorId="0" shapeId="0" xr:uid="{00000000-0006-0000-0600-000011000000}">
      <text>
        <r>
          <rPr>
            <b/>
            <sz val="9"/>
            <color indexed="81"/>
            <rFont val="Tahoma"/>
            <family val="2"/>
          </rPr>
          <t>USUARIO:</t>
        </r>
        <r>
          <rPr>
            <sz val="9"/>
            <color indexed="81"/>
            <rFont val="Tahoma"/>
            <family val="2"/>
          </rPr>
          <t xml:space="preserve">
PSP, transporte, operador logistico</t>
        </r>
      </text>
    </comment>
    <comment ref="AA24" authorId="0" shapeId="0" xr:uid="{00000000-0006-0000-0600-000012000000}">
      <text>
        <r>
          <rPr>
            <b/>
            <sz val="9"/>
            <color indexed="81"/>
            <rFont val="Tahoma"/>
            <family val="2"/>
          </rPr>
          <t>USUARIO:</t>
        </r>
        <r>
          <rPr>
            <sz val="9"/>
            <color indexed="81"/>
            <rFont val="Tahoma"/>
            <family val="2"/>
          </rPr>
          <t xml:space="preserve">
PSP, transporte, operador logistico, central de medios</t>
        </r>
      </text>
    </comment>
    <comment ref="AB24" authorId="0" shapeId="0" xr:uid="{00000000-0006-0000-0600-000013000000}">
      <text>
        <r>
          <rPr>
            <b/>
            <sz val="9"/>
            <color indexed="81"/>
            <rFont val="Tahoma"/>
            <family val="2"/>
          </rPr>
          <t>USUARIO:</t>
        </r>
        <r>
          <rPr>
            <sz val="9"/>
            <color indexed="81"/>
            <rFont val="Tahoma"/>
            <family val="2"/>
          </rPr>
          <t xml:space="preserve">
PSP, transporte, operador logistico</t>
        </r>
      </text>
    </comment>
    <comment ref="C32" authorId="1" shapeId="0" xr:uid="{00000000-0006-0000-0600-000014000000}">
      <text>
        <r>
          <rPr>
            <b/>
            <sz val="9"/>
            <color indexed="8"/>
            <rFont val="Tahoma"/>
            <family val="2"/>
          </rPr>
          <t>Microsoft Office User:</t>
        </r>
        <r>
          <rPr>
            <sz val="9"/>
            <color indexed="8"/>
            <rFont val="Tahoma"/>
            <family val="2"/>
          </rPr>
          <t xml:space="preserve">
</t>
        </r>
        <r>
          <rPr>
            <sz val="9"/>
            <color indexed="8"/>
            <rFont val="Tahoma"/>
            <family val="2"/>
          </rPr>
          <t xml:space="preserve">Corresponde a la magnitud programada en coherencia con la unidad de medida de la meta proyecto. </t>
        </r>
      </text>
    </comment>
    <comment ref="Q32" authorId="2" shapeId="0" xr:uid="{00000000-0006-0000-0600-000015000000}">
      <text>
        <r>
          <rPr>
            <b/>
            <sz val="9"/>
            <color indexed="8"/>
            <rFont val="Tahoma"/>
            <family val="2"/>
          </rPr>
          <t xml:space="preserve">OFICINA ASESORA DE PLANEACIÓN:
</t>
        </r>
        <r>
          <rPr>
            <sz val="9"/>
            <color indexed="8"/>
            <rFont val="Tahoma"/>
            <family val="2"/>
          </rPr>
          <t xml:space="preserve">Máximo de caracteres Avances y logros:  2.000 (Incluidos espacios)
</t>
        </r>
        <r>
          <rPr>
            <sz val="9"/>
            <color indexed="8"/>
            <rFont val="Tahoma"/>
            <family val="2"/>
          </rPr>
          <t xml:space="preserve">Máximo de caracteres Retrasos y alternativas de solución: 1.000 (Incluidos espacios)
</t>
        </r>
        <r>
          <rPr>
            <sz val="9"/>
            <color indexed="8"/>
            <rFont val="Tahoma"/>
            <family val="2"/>
          </rPr>
          <t xml:space="preserve">Para la caracterización del avance de la meta, ésta debe ser cualitativa y cuantitativa. Teniendo en cuenta el número de caracteres que permite el sistema SEGPLAN, se recomienda dejar la información que se considere estratégica desde el área misional y de mayor relevancia. </t>
        </r>
      </text>
    </comment>
    <comment ref="W33" authorId="1" shapeId="0" xr:uid="{00000000-0006-0000-0600-000016000000}">
      <text>
        <r>
          <rPr>
            <b/>
            <sz val="9"/>
            <color indexed="8"/>
            <rFont val="Tahoma"/>
            <family val="2"/>
          </rPr>
          <t>Microsoft Office User:</t>
        </r>
        <r>
          <rPr>
            <sz val="9"/>
            <color indexed="8"/>
            <rFont val="Tahoma"/>
            <family val="2"/>
          </rPr>
          <t xml:space="preserve">
</t>
        </r>
        <r>
          <rPr>
            <sz val="9"/>
            <color indexed="8"/>
            <rFont val="Tahoma"/>
            <family val="2"/>
          </rPr>
          <t xml:space="preserve">En el caso de no presentarse retrasos en el periodo de reporte, incluir una nota indicando que las cifras son acordes con la programación.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Microsoft Office User</author>
    <author>ANGELA MARCELA FORERO RUIZ</author>
  </authors>
  <commentList>
    <comment ref="AV5" authorId="0" shapeId="0" xr:uid="{00000000-0006-0000-0800-000001000000}">
      <text>
        <r>
          <rPr>
            <b/>
            <sz val="10"/>
            <color indexed="8"/>
            <rFont val="Tahoma"/>
            <family val="2"/>
          </rPr>
          <t>Microsoft Office User:</t>
        </r>
        <r>
          <rPr>
            <sz val="10"/>
            <color indexed="8"/>
            <rFont val="Tahoma"/>
            <family val="2"/>
          </rPr>
          <t xml:space="preserve">
</t>
        </r>
        <r>
          <rPr>
            <sz val="10"/>
            <color indexed="8"/>
            <rFont val="Tahoma"/>
            <family val="2"/>
          </rPr>
          <t xml:space="preserve">Relacionar la descripción cualitativa del cumplimiento en coherencia con el avance del indicador.
</t>
        </r>
        <r>
          <rPr>
            <sz val="10"/>
            <color indexed="8"/>
            <rFont val="Tahoma"/>
            <family val="2"/>
          </rPr>
          <t>De presentarse el mismo reporte (meta 1..n) indicarlo. ejemplo: avance reportado en proyecto 7738, actividad 1.</t>
        </r>
      </text>
    </comment>
    <comment ref="AW5" authorId="0" shapeId="0" xr:uid="{00000000-0006-0000-0800-000002000000}">
      <text>
        <r>
          <rPr>
            <b/>
            <sz val="10"/>
            <color indexed="8"/>
            <rFont val="Tahoma"/>
            <family val="2"/>
          </rPr>
          <t>Microsoft Office User:</t>
        </r>
        <r>
          <rPr>
            <sz val="10"/>
            <color indexed="8"/>
            <rFont val="Tahoma"/>
            <family val="2"/>
          </rPr>
          <t xml:space="preserve">
</t>
        </r>
        <r>
          <rPr>
            <sz val="10"/>
            <color indexed="8"/>
            <rFont val="Tahoma"/>
            <family val="2"/>
          </rPr>
          <t xml:space="preserve">Relacionar la descripción cualitativa del cumplimiento en coherencia con el avance del indicador.
</t>
        </r>
        <r>
          <rPr>
            <sz val="10"/>
            <color indexed="8"/>
            <rFont val="Tahoma"/>
            <family val="2"/>
          </rPr>
          <t>De presentarse el mismo reporte (meta 1..n) indicarlo. ejemplo: avance reportado en proyecto 7738, actividad 1.</t>
        </r>
      </text>
    </comment>
    <comment ref="AX5" authorId="0" shapeId="0" xr:uid="{00000000-0006-0000-0800-000003000000}">
      <text>
        <r>
          <rPr>
            <b/>
            <sz val="10"/>
            <color indexed="8"/>
            <rFont val="Tahoma"/>
            <family val="2"/>
          </rPr>
          <t>Microsoft Office User:</t>
        </r>
        <r>
          <rPr>
            <sz val="10"/>
            <color indexed="8"/>
            <rFont val="Tahoma"/>
            <family val="2"/>
          </rPr>
          <t xml:space="preserve">
</t>
        </r>
        <r>
          <rPr>
            <sz val="10"/>
            <color indexed="8"/>
            <rFont val="Tahoma"/>
            <family val="2"/>
          </rPr>
          <t>Relacionar el detalle del retraso, en coherencia con la programación de cada periodo. De presentarse esta situación es obligatorio diligenciar este campo.</t>
        </r>
      </text>
    </comment>
    <comment ref="AY5" authorId="0" shapeId="0" xr:uid="{00000000-0006-0000-0800-000004000000}">
      <text>
        <r>
          <rPr>
            <b/>
            <sz val="10"/>
            <color indexed="8"/>
            <rFont val="Tahoma"/>
            <family val="2"/>
          </rPr>
          <t>Microsoft Office User:</t>
        </r>
        <r>
          <rPr>
            <sz val="10"/>
            <color indexed="8"/>
            <rFont val="Tahoma"/>
            <family val="2"/>
          </rPr>
          <t xml:space="preserve">
</t>
        </r>
        <r>
          <rPr>
            <sz val="10"/>
            <color indexed="8"/>
            <rFont val="Tahoma"/>
            <family val="2"/>
          </rPr>
          <t xml:space="preserve">Relacionar la descripción de las alternativas de solución </t>
        </r>
      </text>
    </comment>
    <comment ref="A11" authorId="0" shapeId="0" xr:uid="{00000000-0006-0000-0800-000005000000}">
      <text>
        <r>
          <rPr>
            <b/>
            <sz val="10"/>
            <color indexed="8"/>
            <rFont val="Tahoma"/>
            <family val="2"/>
          </rPr>
          <t>Microsoft Office User:</t>
        </r>
        <r>
          <rPr>
            <sz val="10"/>
            <color indexed="8"/>
            <rFont val="Tahoma"/>
            <family val="2"/>
          </rPr>
          <t xml:space="preserve">
</t>
        </r>
        <r>
          <rPr>
            <sz val="10"/>
            <color indexed="8"/>
            <rFont val="Tahoma"/>
            <family val="2"/>
          </rPr>
          <t xml:space="preserve">Seleccionar el nivel del indicador a reportar y relacionar el código asignado del indicador a medir segun: SEGPLAN, PMR, número de actividad, etc). La codificación se puede consultar en la pestaña de  generalidades.
</t>
        </r>
      </text>
    </comment>
    <comment ref="I11" authorId="0" shapeId="0" xr:uid="{00000000-0006-0000-0800-000006000000}">
      <text>
        <r>
          <rPr>
            <b/>
            <sz val="10"/>
            <color indexed="8"/>
            <rFont val="Tahoma"/>
            <family val="2"/>
          </rPr>
          <t>Microsoft Office User:</t>
        </r>
        <r>
          <rPr>
            <sz val="10"/>
            <color indexed="8"/>
            <rFont val="Tahoma"/>
            <family val="2"/>
          </rPr>
          <t xml:space="preserve">
</t>
        </r>
        <r>
          <rPr>
            <sz val="10"/>
            <color indexed="8"/>
            <rFont val="Tahoma"/>
            <family val="2"/>
          </rPr>
          <t xml:space="preserve">Corresponde a la meta PDD o meta proyecto articulada con el indicador a medir.
</t>
        </r>
        <r>
          <rPr>
            <sz val="10"/>
            <color indexed="8"/>
            <rFont val="Tahoma"/>
            <family val="2"/>
          </rPr>
          <t xml:space="preserve">Así mismo se podrá establecer una meta nueva en caso de evidenciar la necesidad. </t>
        </r>
      </text>
    </comment>
    <comment ref="J11" authorId="0" shapeId="0" xr:uid="{00000000-0006-0000-0800-000007000000}">
      <text>
        <r>
          <rPr>
            <b/>
            <sz val="10"/>
            <color indexed="8"/>
            <rFont val="Tahoma"/>
            <family val="2"/>
          </rPr>
          <t>Microsoft Office User:</t>
        </r>
        <r>
          <rPr>
            <sz val="10"/>
            <color indexed="8"/>
            <rFont val="Tahoma"/>
            <family val="2"/>
          </rPr>
          <t xml:space="preserve">
</t>
        </r>
        <r>
          <rPr>
            <sz val="10"/>
            <color indexed="8"/>
            <rFont val="Tahoma"/>
            <family val="2"/>
          </rPr>
          <t xml:space="preserve">Detallar la expresión cualitativa del indicador.
</t>
        </r>
        <r>
          <rPr>
            <sz val="10"/>
            <color indexed="8"/>
            <rFont val="Tahoma"/>
            <family val="2"/>
          </rPr>
          <t>Objeto + condición deseada del objeto (verbo conjugado) + elementos adicionales de contexto descriptivo</t>
        </r>
      </text>
    </comment>
    <comment ref="K11" authorId="0" shapeId="0" xr:uid="{00000000-0006-0000-0800-000008000000}">
      <text>
        <r>
          <rPr>
            <b/>
            <sz val="10"/>
            <color indexed="8"/>
            <rFont val="Tahoma"/>
            <family val="2"/>
          </rPr>
          <t>Microsoft Office User:</t>
        </r>
        <r>
          <rPr>
            <sz val="10"/>
            <color indexed="8"/>
            <rFont val="Tahoma"/>
            <family val="2"/>
          </rPr>
          <t xml:space="preserve">
</t>
        </r>
        <r>
          <rPr>
            <sz val="10"/>
            <color indexed="8"/>
            <rFont val="Tahoma"/>
            <family val="2"/>
          </rPr>
          <t xml:space="preserve">En coherencia con los mediciones establecidas por la SDH, Corresponde a:
</t>
        </r>
        <r>
          <rPr>
            <sz val="10"/>
            <color indexed="8"/>
            <rFont val="Tahoma"/>
            <family val="2"/>
          </rPr>
          <t xml:space="preserve">Suma 
</t>
        </r>
        <r>
          <rPr>
            <sz val="10"/>
            <color indexed="8"/>
            <rFont val="Tahoma"/>
            <family val="2"/>
          </rPr>
          <t xml:space="preserve">Creciente
</t>
        </r>
        <r>
          <rPr>
            <sz val="10"/>
            <color indexed="8"/>
            <rFont val="Tahoma"/>
            <family val="2"/>
          </rPr>
          <t xml:space="preserve">Decreciente
</t>
        </r>
        <r>
          <rPr>
            <sz val="10"/>
            <color indexed="8"/>
            <rFont val="Tahoma"/>
            <family val="2"/>
          </rPr>
          <t>Constante</t>
        </r>
      </text>
    </comment>
    <comment ref="N11" authorId="0" shapeId="0" xr:uid="{00000000-0006-0000-0800-000009000000}">
      <text>
        <r>
          <rPr>
            <b/>
            <sz val="10"/>
            <color indexed="8"/>
            <rFont val="Tahoma"/>
            <family val="2"/>
          </rPr>
          <t>Microsoft Office User:</t>
        </r>
        <r>
          <rPr>
            <sz val="10"/>
            <color indexed="8"/>
            <rFont val="Tahoma"/>
            <family val="2"/>
          </rPr>
          <t xml:space="preserve">
</t>
        </r>
        <r>
          <rPr>
            <sz val="10"/>
            <color indexed="8"/>
            <rFont val="Tahoma"/>
            <family val="2"/>
          </rPr>
          <t>Corresponde a la descripción detallada de la medición del indicador y la formula del mismo</t>
        </r>
      </text>
    </comment>
    <comment ref="T11" authorId="0" shapeId="0" xr:uid="{00000000-0006-0000-0800-00000A000000}">
      <text>
        <r>
          <rPr>
            <b/>
            <sz val="10"/>
            <color indexed="8"/>
            <rFont val="Tahoma"/>
            <family val="2"/>
          </rPr>
          <t>Microsoft Office User:</t>
        </r>
        <r>
          <rPr>
            <sz val="10"/>
            <color indexed="8"/>
            <rFont val="Tahoma"/>
            <family val="2"/>
          </rPr>
          <t xml:space="preserve">
</t>
        </r>
        <r>
          <rPr>
            <sz val="10"/>
            <color indexed="8"/>
            <rFont val="Tahoma"/>
            <family val="2"/>
          </rPr>
          <t xml:space="preserve">Se debe establecer la periodicidad de la medicicion del indicador y del reporte del seguimiento </t>
        </r>
      </text>
    </comment>
    <comment ref="AQ17" authorId="1" shapeId="0" xr:uid="{BEEC1CFA-09C4-4C42-98F2-D3D5083C570D}">
      <text>
        <r>
          <rPr>
            <b/>
            <sz val="14"/>
            <color rgb="FF000000"/>
            <rFont val="Tahoma"/>
            <family val="2"/>
          </rPr>
          <t>ANGELA MARCELA FORERO RUIZ:</t>
        </r>
        <r>
          <rPr>
            <sz val="14"/>
            <color rgb="FF000000"/>
            <rFont val="Tahoma"/>
            <family val="2"/>
          </rPr>
          <t xml:space="preserve">
</t>
        </r>
        <r>
          <rPr>
            <sz val="14"/>
            <color rgb="FF000000"/>
            <rFont val="Tahoma"/>
            <family val="2"/>
          </rPr>
          <t>Según la meta 6 se contó con  807 personas que participaron en lo talleres de cambio cultural</t>
        </r>
      </text>
    </comment>
    <comment ref="AV17" authorId="1" shapeId="0" xr:uid="{F11A7B21-68AD-490D-B2B8-F6AFAC98146F}">
      <text>
        <r>
          <rPr>
            <b/>
            <sz val="12"/>
            <color rgb="FF000000"/>
            <rFont val="Tahoma"/>
            <family val="2"/>
          </rPr>
          <t>ANGELA MARCELA FORERO RUIZ:</t>
        </r>
        <r>
          <rPr>
            <sz val="12"/>
            <color rgb="FF000000"/>
            <rFont val="Tahoma"/>
            <family val="2"/>
          </rPr>
          <t xml:space="preserve">
</t>
        </r>
        <r>
          <rPr>
            <sz val="12"/>
            <color rgb="FF000000"/>
            <rFont val="Tahoma"/>
            <family val="2"/>
          </rPr>
          <t>Según la meta 6 se contó con  807 personas que participaron en lo talleres de cambio cultural</t>
        </r>
      </text>
    </comment>
    <comment ref="AV19" authorId="1" shapeId="0" xr:uid="{D04A1651-C449-435A-8F62-40675D749F29}">
      <text>
        <r>
          <rPr>
            <b/>
            <sz val="14"/>
            <color rgb="FF000000"/>
            <rFont val="Tahoma"/>
            <family val="2"/>
          </rPr>
          <t>ANGELA MARCELA FORERO RUIZ:</t>
        </r>
        <r>
          <rPr>
            <sz val="14"/>
            <color rgb="FF000000"/>
            <rFont val="Tahoma"/>
            <family val="2"/>
          </rPr>
          <t xml:space="preserve">
</t>
        </r>
        <r>
          <rPr>
            <sz val="14"/>
            <color rgb="FF000000"/>
            <rFont val="Tahoma"/>
            <family val="2"/>
          </rPr>
          <t xml:space="preserve">Solo como observación, verifiquen el avance del 70% que llevan dado que faltan dos meses para que finalice el año y faltan e 30% de avance.
</t>
        </r>
        <r>
          <rPr>
            <sz val="14"/>
            <color rgb="FF000000"/>
            <rFont val="Tahoma"/>
            <family val="2"/>
          </rPr>
          <t xml:space="preserve">
</t>
        </r>
        <r>
          <rPr>
            <sz val="14"/>
            <color rgb="FF000000"/>
            <rFont val="Tahoma"/>
            <family val="2"/>
          </rPr>
          <t>Adicionalmente,  si se saca el promedio da mas de 100%, entonces me preocupa como se está calculando el indicador si efectivamente el avance es del 70,04% y hay varios meses que se ha cumplido el 198 130,  182 % ....</t>
        </r>
      </text>
    </comment>
  </commentList>
</comments>
</file>

<file path=xl/sharedStrings.xml><?xml version="1.0" encoding="utf-8"?>
<sst xmlns="http://schemas.openxmlformats.org/spreadsheetml/2006/main" count="4250" uniqueCount="575">
  <si>
    <t>SECRETARÍA DISTRITAL DE LA MUJER</t>
  </si>
  <si>
    <t>Código: DE-FO-5</t>
  </si>
  <si>
    <t xml:space="preserve">DIRECCIONAMIENTO ESTRATEGICO </t>
  </si>
  <si>
    <t>Versión: 09</t>
  </si>
  <si>
    <t xml:space="preserve">FORMULACIÓN Y SEGUIMIENTO  PLAN DE ACCIÓN </t>
  </si>
  <si>
    <t>Fecha de Emisión: 10/01/2023</t>
  </si>
  <si>
    <t>Página 1 de 3</t>
  </si>
  <si>
    <t>PERIODO REPORTADO</t>
  </si>
  <si>
    <t>OCT</t>
  </si>
  <si>
    <t>FECHA DE REPORTE</t>
  </si>
  <si>
    <t>TIPO DE REPORTE</t>
  </si>
  <si>
    <t>FORMULACION</t>
  </si>
  <si>
    <t>ACTUALIZACION</t>
  </si>
  <si>
    <t>SEGUIMIENTO</t>
  </si>
  <si>
    <t>X</t>
  </si>
  <si>
    <t>NOMBRE DEL PROYECTO</t>
  </si>
  <si>
    <t>7718 - Implementación del Sistema Distrital de Cuidado</t>
  </si>
  <si>
    <t>PROPÓSITO</t>
  </si>
  <si>
    <t>Hacer un nuevo contrato social con igualdad de oportunidades para la inclusión social, productiva y política.</t>
  </si>
  <si>
    <t>LOGRO</t>
  </si>
  <si>
    <t>Implementar el sistema distrital de cuidado y la estrategia de transversalización y territorialización de los enfoques de género y diferencial para garantizar la igualdad de género, los derechos de las mujeres y el desarrollo de capacidades de la ciudadanía en el nivel distrital y local</t>
  </si>
  <si>
    <t>PROGRAMA</t>
  </si>
  <si>
    <t>Sistema Distrital de Cuidado</t>
  </si>
  <si>
    <t>DESCRIPCIÓN DE LA META (ACTIVIDAD MGA)</t>
  </si>
  <si>
    <t>Diseñar 1 documento de lineamientos técnicos para la formulación de las bases del sistema distrital de cuidado. (Objetivo 1) (Indicador 2. Meta PDD)</t>
  </si>
  <si>
    <t xml:space="preserve">MAGNITUD META VIGENCIA ACTUAL	</t>
  </si>
  <si>
    <t>PONDERACIÓN META (%)</t>
  </si>
  <si>
    <t>EJECUCIÓN PRESUPUESTAL DEL PROYECTO</t>
  </si>
  <si>
    <t>RESERVAS VIGENCIA ANTERIOR (en pesos, sin decimales)</t>
  </si>
  <si>
    <t>PRESUPUESTO ASIGNADO EN LA VIGENCIA ACTUAL (en pesos, sin decimales)</t>
  </si>
  <si>
    <t>ENE</t>
  </si>
  <si>
    <t>FEB</t>
  </si>
  <si>
    <t>MAR</t>
  </si>
  <si>
    <t>ABR</t>
  </si>
  <si>
    <t>MAY</t>
  </si>
  <si>
    <t>JUN</t>
  </si>
  <si>
    <t>JUL</t>
  </si>
  <si>
    <t>AGO</t>
  </si>
  <si>
    <t>SEP</t>
  </si>
  <si>
    <t>NOV</t>
  </si>
  <si>
    <t>DIC</t>
  </si>
  <si>
    <t>TOTAL</t>
  </si>
  <si>
    <t>AVANCE</t>
  </si>
  <si>
    <t>PROGRAMACION DE COMPROMISOS</t>
  </si>
  <si>
    <t>Es importante precisar la consulta realizada de Carol a nuestro enlace en OAP Angela Forero, quien informa que en el reporte del Plan de Acción se puede incluir valores negativos en lo comprometido en el mes de abril, esto se debe a que en este mes se presentaron anulaciones contra segundos pagos y liberación contra registros presupuestales, lo que implica un valor neto comprometido menor al reportado en el mes de marzo.
Se precisa que en el mes de septiembre en reservas el valor negativo corresponde a liberaciones de saldos con acta de liquidaciòn.</t>
  </si>
  <si>
    <t>COMPROMISOS</t>
  </si>
  <si>
    <t xml:space="preserve">                                -    </t>
  </si>
  <si>
    <t>PROGRAMACION DE GIROS</t>
  </si>
  <si>
    <t> </t>
  </si>
  <si>
    <t xml:space="preserve">              -    </t>
  </si>
  <si>
    <t>GIROS</t>
  </si>
  <si>
    <t xml:space="preserve">                                      -   </t>
  </si>
  <si>
    <t xml:space="preserve">REPORTE METAS VIGENCIA ANTERIOR - Pendientes de cumplir por contratos sin ejecutar a 31.DIC (Reservas Presupuestales) </t>
  </si>
  <si>
    <t>DESCRIPCIÓN DE LA META (ACTIVIDAD)</t>
  </si>
  <si>
    <t>PROG.</t>
  </si>
  <si>
    <t>AVANCE MENSUAL</t>
  </si>
  <si>
    <t>DESCRIPCIÓN CUALITATIVA DEL AVANCE POR META
(Logros y beneficios, y retrasos y alternativas de solución (2.000 caracteres))</t>
  </si>
  <si>
    <t xml:space="preserve">1. Diseñar 1 documento de lineamientos técnicos para la formulación de las bases del sistema distrital de cuidado. </t>
  </si>
  <si>
    <t>REPORTE METAS VIGENCIA (Ejecución vigencia)</t>
  </si>
  <si>
    <t xml:space="preserve">DESCRIPCIÓN DE LA META (ACTIVIDAD) </t>
  </si>
  <si>
    <t>PONDERACIÓN META</t>
  </si>
  <si>
    <t xml:space="preserve">AVANCE DE META </t>
  </si>
  <si>
    <t>DESCRIPCIÓN CUALITATIVA DEL AVANCE POR META</t>
  </si>
  <si>
    <t>Avances y Logros Mensual (2.000 caracteres)</t>
  </si>
  <si>
    <t>Avances y Logros Acumulado 
(2.000 caracteres)</t>
  </si>
  <si>
    <t>Retrasos y Alternativas de solución (1.000 caracteres)</t>
  </si>
  <si>
    <t>Beneficios</t>
  </si>
  <si>
    <t>Programación</t>
  </si>
  <si>
    <t>Durante el mes de octubre se realizaron 14 jornadas de socialización del Sistema Distrital de Cuidado y sus lineamientos técnicos.</t>
  </si>
  <si>
    <t>Durante los meses de enero a octubre de 2023 se avanzó en: La retroalimentación del documento “Desarrollo técnico del Sistema Distrital de Cuidado”, entregado por el equipo consultor de la Fundación Barco – Open Society Fundación en diciembre de 2022. La actualización de las delegaciones a la Unidad Técnica de Apoyo de la Comisión Intersectorial del Sistema Distrital de Cuidado para retomar el funcionamiento de la Mesa Intersectorial de Seguimiento al Convenio Marco Interadministrativo 913 de 2021. La publicación en SECOP II del Anexo Técnico II de la Manzana del Cuidado de Ciudad Bolívar - Manitas, correspondiente al Acuerdo de Coordinación con el Instituto Distrital para las Artes y la Secretaría General. La suscripción de los Anexos I y II del Convenio Marco Interadministrativo 913 de 2021 para las Manzanas del Cuidado de Fontibón y Teusaquillo. La terminación anticipada del Convenio 725 de 2020, con el objetivo de adoptar dentro del Convenio Marco Interadministrativo 913 de 2021 el funcionamiento de las Manzanas del Cuidado de Bosa - Porvenir, San Cristóbal - San Blas y Usme - Julio César Sánchez. La revisión y firma de los Anexos II de adhesión al Convenio Marco Interadministrativo 913 de 2021 para las Manzanas del Cuidado de San Cristóbal - San Blas, Usme y Bosa - Porvenir, en lo que respecta a la Secretaría Distrital de la Mujer. La realización de 95 jornadas de socialización del Sistema Distrital de Cuidado y sus lineamientos técnicos. La formulación e implementación de la estrategia "Pactos locales por las Manzanas del Cuidado", cuyo objetivo es la apropiación de las Manzanas del Cuidado por parte de la ciudadanía.</t>
  </si>
  <si>
    <t>En lo referente a diseñar un documento de lineamientos técnicos para la formulación de las bases del Sistema Distrital de Cuidado, de enero a octubre de 2023 no se han presentado dificultades que alteren la normal ejecución de esta meta.
A propósito del seguimiento a la implementación del Convenio Marco Interadministrativo 913 de 2021, se evidencia que este implica, no solo la suscripción de dicho Convenio y sus Anexos I y II, sino también la suscripción de los Acuerdos de Coordinación entre las entidades que concurren en las Manzanas del Cuidado; lo cual no necesariamente pasa por la SDMujer y, por tanto, exige mayor articulación entre las delegaciones de las entidades que integran el Sistema Distrital de Cuidado a la Mesa Intersectorial de Seguimiento al Convenio en cuestión. Para fortalecer esta articulación se realizó la segunda sesión anual y quinta sesión general de la mencionada Mesa, así como la actualización de tales delegaciones y la elaboración de una matriz de seguimiento adicional.</t>
  </si>
  <si>
    <t>La socialización de los lineamientos técnicos del Sistema Distrital de Cuidado contribuye a su posicionamiento como un referente imprescindible de política social innovadora a nivel distrital, nacional e internacional. Igualmente, la difusión de sus principales desarrollos y servicios entre la ciudadanía y actores estratégicos estatales y no estatales impulsa la ampliación de su cobertura y la armonización de otras políticas sociales e iniciativas de los sectores privado y comunitario con los objetivos y lineamientos técnicos del Sistema Distrital de Cuidado.</t>
  </si>
  <si>
    <t>Ejecución</t>
  </si>
  <si>
    <t>DESCRIPCIÓN DE LA ACTIVIDAD (ACCIÓN)</t>
  </si>
  <si>
    <t>PONDERACIÓN VERTICAL (Porcentual)</t>
  </si>
  <si>
    <t>CRONOGRAMA %</t>
  </si>
  <si>
    <t>DESCRIPCIÓN CUALITATIVA DEL AVANCE POR ACTIVIDAD</t>
  </si>
  <si>
    <t>CRITERIOS DE SEGUIMIENTO</t>
  </si>
  <si>
    <t>MES 1</t>
  </si>
  <si>
    <t>MES 2</t>
  </si>
  <si>
    <t>MES 3</t>
  </si>
  <si>
    <t>MES 4</t>
  </si>
  <si>
    <t>MES 5</t>
  </si>
  <si>
    <t>MES 6</t>
  </si>
  <si>
    <t>MES 7</t>
  </si>
  <si>
    <t>MES 8</t>
  </si>
  <si>
    <t>MES 9</t>
  </si>
  <si>
    <t>MES 10</t>
  </si>
  <si>
    <t>MES 11</t>
  </si>
  <si>
    <t>MES 12</t>
  </si>
  <si>
    <t>ACUMULADO</t>
  </si>
  <si>
    <t xml:space="preserve">Logros y beneficios y Retrasos y alternativas de solución (2.000 caracteres) </t>
  </si>
  <si>
    <t xml:space="preserve">1. Socializar los lineamientos técnicos del Sistema Distrital de Cuidado con espacios e instancias de participación y ciudadanía en general. </t>
  </si>
  <si>
    <t>En octubre de 2023 se realizaron 14 jornadas (95 en lo corrido del año) de socialización del Sistema Distrital de Cuidado y sus lineamientos técnicos con:
1) 03.10.23 La Asociación Esperanza y Progreso, sede Vista Hermosa.
2) 04.10.23 Pacto Local por las Manzanas del Cuidado en Chapinero.
3) 04.10.23 La Fundación CENAINCO.
4) 05.10.23 La Secretaría Distrital de Planeación.
5) 06.10.23 La Biblioteca Comunitaria Raiz de Barro.
6) 06.10.23 La Casa Cultural Huerta de Conocimiento.
7) 09.10.23 La Fundación Grothendieck.
8) 10.10.23 La Fundación Niñas Sin Miedo.
9) 10.10.23 La Asociación Esperanza y Progreso, sede Atlanta.
10) 11.10.23 Pacto Local por las Manzanas del Cuidado en Teusaquillo.
11) 12.10.23 Lucellys Curiel.
12) 17.10.23 El Proyecto Valentina.
13) 20.10.23 Ivón Robles.
14) 24.10.23 Socialización del Sistema Distrital de Cuidado en el Consejo Local de Política Social (CLOPS) de Sumapaz.</t>
  </si>
  <si>
    <t>2. Hacer seguimiento a la implementación del Convenio 913 de 2021 cuyo objeto es "Aunar esfuerzos administrativos para la articulación de servicios intersectoriales en el marco del Sistema Distrital de Cuidado que garantice la prestación efectiva, oportuna, eficiente y eficaz de los servicios"</t>
  </si>
  <si>
    <t>Durante el mes de octubre de 2023 se realizaron 11 acciones de seguimiento a la implementación del Convenio Marco Interadministrativo 913 de 2021: 
1) Se realizó la solicitud de validación ante el area jurídica de la justificación de prorroga del convenio interadministrativo 913. 
2) Se solicitó la validación territorial del anexo 2 para la Manzana Titos Garzón de Fontibón entre la Secretaría Distrital de Integración Social y la Secretaría Distrital de La Mujer.
3) Se formalizó la suscripción del Anexo 2 para la Manzana de Antonio Nariño entre la Secretaría Distrital de Integración Social y la Secretaría Distrital de La Mujer.
4) Se remitió a la Secretaría Distrital de integración Social el Anexo 2 de la Manzana de Titos Garzón para su validación y proceso de firma. 
5) Se realizó la publicación de los Anexos 2 de la Manzana de Antonio Nariño en SECOP II entre la Secretaría Distrital de integración Social, IDARTES y La Secretaría Distrital de La Mujer. 
6) Se efectuó la revisión del Anexo 2 de la Manzana Los Martires entre IDIPRON y La Secretaría Distrital de La Mujer.
7) Se remitió Anexo 1 para la adhesión de la Alcaldía Local de Simón Bolivar al Convenio Interadministrativo 913 de 2021.
8) Se remitió seguimiento personalizado a la Secretaría Distrital de Ambiente del estado de los Anxos 2 a su cargo. 
9) Se realizó revisión en SECOP II del estado de publicación de anexo 2 del convenio y se solicitó ajuste de la Manzana de USME
10) Se realizó seguimiento y solicitud de remisión anexo 2 para la Manzana del Cuidado de Ciudad Bolivar -Super Cade Manitas a la Secretaría Distrital de Educación. 
11) Se realizó la publicación en SECOP II de 17 anexos 2 correspondientes a las Manzanas del Cuidado Bosa-El Porvenir, San Cristobal-San Blas y Usme-Julio Cesar Sanchez.</t>
  </si>
  <si>
    <t>*Incluir tantas filas sean necesarias</t>
  </si>
  <si>
    <t>DESCRIPCIÓN DE LA ACTIVIDAD</t>
  </si>
  <si>
    <t>Coordinar y articular 13 secretarías del nivel distrital para la implementación del sistema distrital de cuidado. (Objetivo 1) (Indicador 2. Meta PDD)</t>
  </si>
  <si>
    <t>Es importante precisar la consulta realizada de Carol a nuestro enlace en OAP Angela Forero, quien informa que en el reporte del Plan de Acción se puede incluir valores negativos en lo comprometido en el mes de abril, esto se debe a que en este mes se presentaron anulaciones contra segundos pagos y liberación contra registros presupuestales, lo que implica un valor neto comprometido menor al reportado en el mes de marzo.
Se precisa que en el mes de junio en reservas el valor negativo corresponde a liberaciones de saldos con acta de liquidaciòn.
Se precisa que en el mes de septiembre en reservas el valor negativo corresponde a liberaciones de saldos con acta de liquidaciòn.</t>
  </si>
  <si>
    <t xml:space="preserve">                                  -    </t>
  </si>
  <si>
    <t xml:space="preserve">                                        -    </t>
  </si>
  <si>
    <t xml:space="preserve">2. Coordinar y articular 13 secretarías del nivel distrital para la implementación del sistema distrital de cuidado. </t>
  </si>
  <si>
    <t xml:space="preserve">Se articularon 12 entidades del Sector Central, 4 entidades del Sector Descentralizado, 4 entidades del Sector Descentralizado, Unión Temporal - Economía Urbana y Banco Interamericano de Desarrollo, en tres (3) sesiones: Mecanismo de Participación y Seguimiento del Sistema Distrital de Cuidado (02.10.23), Unidad Técnica de Apoyo (25.10.23) y Mesa de Articulación Interlocal de Asistencia Personal (30.10.23), donde se realizaron acciones de seguimiento al funcionamiento de los diferentes modelos de operación del Sistema Distrital del Cuidado, de tal manera que se cumplió con lo establecido en el Decreto 415 de 2023 en aras de coordinar, articular y hacer la gestión intersectorial de las entidades que hacen parte del Sistema Distrital de Cuidado para definirlo, implementarlo y hacerle seguimiento. Es importante considerar que la conformación de la Comisión Intersectorial del Sistema de Cuidado se modificó con el Decreto Distrital 415 de 2023 y en adelante, participarán como integrantes 13 entidades de la Administración distrital de 9 sectores y el/la alcalde/sa Mayor de Bogotá.  
</t>
  </si>
  <si>
    <t xml:space="preserve">A. Articulación de las entidades de la Administración Distrital para avanzar en la implementación y seguimiento de Sistema Distrital de Cuidado, tanto a nivel distrital como territorial, para la operación y sostenibilidad de todos los modelos de operación del Sistema Distrital de Cuidado. Al respecto, se están implementando 20 manzanas del cuidado, el ciclo V de los buses del cuidado urbano y rural en 6 localidades, 3 zonas urbanas y 3 zonas rurales, y tres proyectos/programas de asistencia domiciliaria en el D.C. B. Implementación del Decreto Distrital 415 de 2023, así como de la Resolución 233 de 2018 y la Resolución 753 de 2020 “Por la cual se modifica la Resolución 233 del 08 de junio de 2018 “Por la cual se expiden lineamientos para el funcionamiento, operación, seguimiento e informes de las Instancias de Coordinación del Distrito Capital”. C. Se esta avanzando en la elaboración del reglamento interno del Mecanismo de Gobernanza del Sistema Distrital de Cuidado en el marco del Decreto Distrital 415 de 2023. </t>
  </si>
  <si>
    <t>En lo referente a coordinar y articular 13 secretarías del nivel distrital para el cumplimiento del sistema distrital de cuidado, durante enero a octubre del 2023 no se han presentado dificultades que alteren la normal ejecución de esta meta.</t>
  </si>
  <si>
    <t xml:space="preserve">Las personas cuidadoras en sus diferencias y diversidades y las personas que requieren cuidado y apoyo cuentan con 20 manzanas de cuidado implementadas, con un aumento en la cobertura a través de los servicios intersectoriales que se prestan en cinco componentes: formación, bienestar/respiro, generación de ingresos, cuidado y transformación cultural. También pueden acceder a los buses del cuidado, los cuales garantizaron la prestación de los servicios intersectoriales en 3 zonas rurales de 3 localidades y en 3 zonas urbanas alejadas o donde no hay ubicadas manzanas del cuidado, en el marco del ciclo V, con recursos de la Administración Distrital, así como a ofertas que brindan servicios a personas cuidadoras, personas con discapacidad y mayores directamente en sus casas. Además de los programas/proyectos de las Secretarías de Salud e Integración Social, ya inició la implementación del Programa de Asistencia Domiciliaria con recursos de Bloomberg Philanthropies liderado por el PNUD, en las localidades de Bosa, Kennedy y Ciudad Bolívar. </t>
  </si>
  <si>
    <t>3. Convocar y gestionar las sesiones de la Comisión Intersectorial del Sistema de Cuidado según lo establecido en el Decreto 237 de 2020</t>
  </si>
  <si>
    <t xml:space="preserve">Durante el mes de octubre, la Comisión Intersectorial del Sistema Distrital de Cuidado no sesionó; sin embargo, se elaboró (04.10.23) y convalidó el acta de la sesión realizada el 18 de septiembre del año en vigencia (10.10.23). Entre el 20 y 31 de octubre se realizaron los ajustes solicitados por integrantes del equipo de la Dirección del Sistema de Cuidado y el Despacho de la Secretaría Distrital de la Mujer, y se realizaron las gestiones pertinentes para la suscripción del acta por parte de la presidencia y secretaría técnica de la Comisión. Además, se elaboró el informe del tercer trimestre del año de la Comisión Intersectorial del Sistema Distrital de Cuidado y se remitió a la directora para revisión (26.10.23).   
</t>
  </si>
  <si>
    <t>4. Convocar y gestionar las sesiones de la Unidad Técnica de Apoyo de la Comisión Intersectorial del Sistema de Cuidado según lo establecido en el Decreto 237 de 2020</t>
  </si>
  <si>
    <t>A. Se realizó sesión ordinaria de la UTA (25.10.23), la No. 40 desde que se expidió el Decreto 237 de 2020 y la 1ra desde que se expidió el Decreto 415 de 2023. En la duodécima sesión del año se desarrolló esta agenda: 1. Confirmación de asistencia. 2. Resultados de la Consultoría del BID: Perspectiva de discapacidad en el Sistema Distrital de Cuidado de Bogotá D.C. 3. Avances sobre la Evaluación Sistema Distrital de Cuidado. 4. Seguimiento a la contratación para la sostenibilidad de manzanas y buses del cuidado en 12.2023 y 01.2024. 5. Cajas de compensación. 6. Seguimiento a compromisos establecidos en UTA y Comisión Intersectorial. 7. Periodicidad de actualización de fichas técnicas. Participaron de manera presencial 41 directivas y personas delegadas (27 mujeres y 14 hombres) de 12 Sectores de la Administración Distrital (12 Secretarías de Salud, Integración Social, Educación, Gobierno, Planeación, Desarrollo Económico, Cultura, Recreación y Deporte, Hábitat, Movilidad, Ambiente, Seguridad, Convivencia y Justicia y Mujer; 4 entidades del Sector Descentralizado: Institutos de las Artes, Recreación y Deporte, JBB y UAESP, Unión Temporal - Economía Urbana y Banco Interamericano de Desarrollo). B. Se realizó la 9na sesión del año (la No. 16 desde que se creó por la UTA en el marco del Decreto 237 de 2020 y la 2da sesión ordinaria desde que se expidió el Decreto 415 de 2023) de la Mesa de Articulación Interlocal de Asistencia Personal (30.10.23). La agenda desarrollada fue la siguiente: 1. Confirmación de asistencia. 2. Revisión de compromisos. 3. Presentación Secretaría de salud (Certificados de discapacidad). 4. Resultados Consultoría BID. 5. Revisión decreto 415 – 2023. 6. Próxima fecha de mesa. 7. Varios (Sujeto al desarrollo de la sesión). 8.	Compromisos y conclusiones. Participaron 10 mujeres delegadas de las Secretarías de Salud, Integración Social, Gobierno y Mujer, y el Banco Interamericano de Desarrollo.</t>
  </si>
  <si>
    <t>5. Convocar y gestionar las sesiones del Mecanismo de Participación y Seguimiento de la Comisión Intersectorial del Sistema de Cuidado según lo establecido en el Decreto 237 de 2020</t>
  </si>
  <si>
    <t xml:space="preserve">Durante octubre el Mecanismo de Participación y Seguimiento del Sistema Distrital de Cuidado sesionó de manera ordinaria e híbrida (02.10.2023) por 3ra vez. Se trata de la 4ta sesión del año y la 1ra sesión ordinaria desde que se expidió el Decreto 415 de 2023. Se desarrolló esta agenda: 2. Socialización del Decreto 415 de 2023. 3. Socialización de la metodología de la evaluación de impacto del Sistema Distrital de Cuidado en el marco del concurso de méritos SDP-CM-001-2023. 4. Intervenciones de integrantes del Mecanismo. 5. Intervención de las entidades participantes y 6. Acuerdos y compromisos. Participaron 25 personas  (23 mujeres y 2 hombres) de las siguientes instancias, procesos organizativos y entidades: Consejo Consultivo de Mujeres, Consejo Distrital de Mujeres Indígenas, Consejo Consultivo y de Concertación para el pueblo Rrom o Gitano de la Kumpania de Bogotá, Consejo Consultivo LGBT, organizaciones de cuidadoras y cuidadores, Consejo Distrital de Protección y Bienestar Animal, Mesa Distrital de Participación Efectiva de Víctimas del Conflicto Armado Interno, Autoridades Indígenas en Bakatá, Secretarías de Integración Social, Planeación y Mujer y, Unión Temporal Fedesarrollo - Economía Urbana. B. Mediante oficio No. 2023EE222031 (25.09.2023) se informó por parte de la Secretaría de Ambiente, que en la 2da sesión del Consejo Consultivo de Desarrollo Rural (CCDR) se abordaría la elección de la representante ante el Mecanismo, el 09 de octubre del año en vigencia. Luego, mediante oficio No. 2023EE230178 (02.10.2023), dicha entidad informó el lugar, hora y la agenda prevista para la sesión, donde se incluyó un punto para las presentación y elección de delegado (a) del CCDR ante el Mecanismo, a cargo de la Secretaría de la Mujer. De acuerdo con lo anterior, la directora del Sistema de Cuidado realizó intervención en el CCDR, donde se eligió a Elsa Constanza Rey, de la vereda El Verjón Bajo de Chapinero, como la representante de esta instancia en adelante. </t>
  </si>
  <si>
    <t>Gestionar 1 estrategia para la adecuación de infraestructura de manzanas de cuidado</t>
  </si>
  <si>
    <t xml:space="preserve">3. Gestionar 1 estrategia para la adecuación de infraestructura de manzanas de cuidado </t>
  </si>
  <si>
    <t>A la fecha se encuentran en operación 20 manzanas de cuidado en el Distrito, se esta avanzando en la identificacion de equipamientos en la localidad de barrios unidos para realizar la inauguracion numero 21 de manzana de cuidado en el distrito.</t>
  </si>
  <si>
    <t>En lo referente a gestionar una estrategia para la adecuación de infraestructura de manzanas de cuidado, durante enero a octubre del 2023 no se han presentado dificultades que alteren la normal ejecución de esta meta.</t>
  </si>
  <si>
    <t>Las 20  Manzanas del Cuidado inauguradas vienen ampliando la cobertura de atenciones y el posicionamiento en los territorios , beneficiando así a  las personas cuidadoras y a las personas que requieren cuidados o altos niveles de apoyo en Bogotá.</t>
  </si>
  <si>
    <t xml:space="preserve">6. Implementar actividades de difusión del programa de Sistema de Cuidado con ciudadanía y actores territoriales </t>
  </si>
  <si>
    <t xml:space="preserve">Durante el mes de Octubre, desde la Estrategia Territorial de las Manzanas del Cuidado se implementaron 173 actividades de difusión y socialización del Sistema Distrital del Cuidado y los servicios de las 20 Manzanas del Cuidado en 18 localidades de Bogotá, a saber: Antonio Nariño, Bosa, Centro (Santa Fe-Candelaria), Chapinero, Ciudad Bolívar, Engativá, Fontibón, Kennedy, Mártires, Puente Aranda, Rafael Uribe Uribe, San Cristóbal, Suba, Tunjuelito, Teusaquillo, Usaquén y Usme. La difusión a nivel territorial se desarrollo con personas cuidadoras y actores estratégicos en las localidades, contribuyó a avanzar en el propósito de divulgar los objetivos del Sistema Distrital del Cuidado, los servicios de las manzanas y su posicionamiento con las cuidadoras y la ciudadanía en general. A la fecha, el balance de las actividades desarrolladas durante la vigencia 2023 es de 1076 actividades.													</t>
  </si>
  <si>
    <t>7. Articular las acciones intersectoriales para la puesta en operación de cinco (5) manzanas del cuidado</t>
  </si>
  <si>
    <t>Durante el mes de octubre no fue necesario realizar acciones en el marco de establecer acciones intersectoriales con miras a la apertura de nuevas manzanas del cuidado.</t>
  </si>
  <si>
    <t>8. Convocar y gestionar las sesiones de las Mesas Locales de las Manzanas del Cuidado que se encuentran en funcionamiento</t>
  </si>
  <si>
    <t>Durante el mes de octubre se efectuaron 19 sesiones de mesas interlocales de las Manzanas del Cuidado  de 1-Bosa - Porvenir, 2-Bosa Campo Verde, 3- Kennedy, 4-Ciudad Bolívar ,5- Usme, 6- San Cristóbal - CEFE,7- Mártires,8- Usaquén,9- Centro,10- Engativá,11- Rafael Uribe Uribe,12- Antonio Nari;o,13- Tunjuelito,14- San Cristóbal - Juan Rey, 15- Chapinero, 16- Fontibón ,17- Suba, 18- Puente Aranda y 19- Teusaquillo, a demas de presentar 19 informes trimestrales,en dichas sesiones, se monitorearon las acciones intersectoriales de los sectores representados, el estado de la operación de los servicios implementados y el balance mensual de las atenciones prestadas, se presento la siguiente agenta en el desarrollo de las mesas locales correspondientes al mes de septiembre :                                                                                                                                                         1. Validación y verificación del quórum, 2. Aprobación orden del día, 3. presentacion de informes trimestrales, 4. Seguimiento a la implementación de servicios y balance de la operación acorde a la Ficha Técnica Local (Información infocuidado), 5. Varios  y 6. Compromisos.                                                                                                                                                                                                                                                                                                                                                                                                                                                        En este sentido en el 2023, a la fecha se lleva un acumulado de 143 sesiones.</t>
  </si>
  <si>
    <t>Diseñar e implementar 1 estrategia de cuidado a cuidadoras</t>
  </si>
  <si>
    <t>Es importante precisar la consulta realizada de Carol a nuestro enlace en OAP Angela Forero, quien informa que en el reporte del Plan de Acción se puede incluir valores negativos en lo comprometido en el mes de abril, esto se debe a que en este mes se presentaron anulaciones contra segundos pagos y liberación contra registros presupuestales, lo que implica un valor neto comprometido menor al reportado en el mes de marzo.
Los valores negativos en lo comprometido en el mes de septiembre se debe a que en el mes se presentó la anulación contra segundo pago del contrato 982-2023 Atención Psicosocial por valor total de $2.231.667, distribuido en las metas 3 al 24%, meta 4 al 52% y meta 7 al 24% del Proyecto de Inversión, y del contrato 983-2023 Atención Jurídica, por valor total de $2.746.667, distribuido en las metas 3 al 24%, meta 4 al 52% y meta 7 al 24% del Proyecto de Inversión.
Se precisa que en el mes de septiembre en reservas el valor negativo corresponde a liberaciones de saldos con acta de liquidaciòn.</t>
  </si>
  <si>
    <t>4. Diseñar e implementar 1 estrategia de cuidado a cuidadoras</t>
  </si>
  <si>
    <t xml:space="preserve">En lo que respecta a la implementación del Plan Integral de Acciones Afirmativas se avanzó en proyección de espacios a realizar atendiendo los requerimientos diferenciales y étnicos y conforme a la disponibilidad de garantías con el contrato del operador logístico, con las fichas técnicas de las manzanas más cercanas a los espacios propios de los pueblos que se han dispuesto para realizar los espacios respiro dirigidos a mujeres y personas cuidadoras de cada uno de los distintos cabildos pertenecientes al consultivo 612; al respecto de la comunidad negra/afrodescendiente la articulación ha sido de manera prioritaria por medio de los kilombos y las lideresas de las localidades de Engativá; frente a raizales por motivo de la semana de conmemoración no se tuvo implementaciones de espacios respiro, ni con el pueblo Gitano. </t>
  </si>
  <si>
    <t xml:space="preserve">Conforme al alcance que tiene el Acuerdo Distrital 893 “Por el cual se institucionaliza el sistema distrital de cuidado de Bogotá D.C.” y d acuerdo al aprendizaje desde la implementación de las acciones afirmativas se ha tenido mejores herramientas y experiencias para poder dar alcance a los procesos de reformulación de políticas públicas para los grupos étnicos, a saber, Indígenas consultivo 612, Comunidades Negras y Afrodescendientes, Pueblo Gitano y Comunidad raizal. 
Se ha mejorado la oferta con enfoque étnico diferencial en la medida que hay mejor disposición para ajustar, adaptar y crear actividades que sean cercanas y den lugar a los usos, costumbres y particularidades de los grupos étnicos reconocido en Bogotá por parte de las entidades corresponsables del Sistema Distrital de Cuidado en las Manzanas de Engativá, Suba y Centro. 
Las cuidadoras apropian contenidos orientados al reconocimiento de su trabajo de cuidado y avanzan en el manejo de las tecnologías de información a través de la Estrategia de Cuidado a Cuidadoras. Adicionalmente, disfrutan de la gestión de espacios de desconexión o descanso, ofrecidos por sectores corresponsables con el SIDICU en el marco de los procesos de coordinación territorial con expresión en la oferta de las Manzanas del Cuidado y espacios propios desde los cabildos y lideresas. </t>
  </si>
  <si>
    <t>9. Implementar el componente de formación para cuidadoras</t>
  </si>
  <si>
    <t xml:space="preserve">10. Implementar el componente de orientación psicojurídica para cuidadoras </t>
  </si>
  <si>
    <t xml:space="preserve">En relación con la oferta de atención psico jurídica en el mes de octubre, se benefició un total de 1.375 personas cuidadoras, de las cuales 714 recibieron orientación y asesoría jurídica en las localidades de: Antonio Nariño 31, Barrios Unidos 11, Bosa 87, Chapinero 59, Ciudad Bolívar 55, Engativá 61, Fontibón 30, Kennedy 42, Mártires 5, Puente Aranda 25, Rafael Uribe Uribe 59, San Cristóbal 56, Santa Fe 6, Suba 52, Teusaquillo 21, Tunjuelito 4, Usaquén 40, Usme 69, Fuera de Bogotá 1.  Y 661 personas cuidadoras recibieron orientación psicosocial, distribuidas a lo largo de las localidades de la siguiente manera: Antonio Nariño 37, Barrios Unidos 10, Bosa 93, Chapinero 56, Ciudad Bolívar 46, Engativá 56, Fontibón 25, Kennedy 39, Mártires 6, Puente Aranda 16, Rafael Uribe 38, San Cristóbal 58, Santa Fe 7, Suba 57, Teusaquillo 19,  Tunjuelito 5, Usaquén 35, Usme 58. </t>
  </si>
  <si>
    <t xml:space="preserve">11. Implementar, monitorear y hacer seguimiento al Plan Integral de Acciones Afirmativas </t>
  </si>
  <si>
    <t xml:space="preserve">Durante el mes de octubre se implementaron cuatro espacios respiro, se logró noventa y un (91) atenciones a mujeres cuidadoras, así: Tres espacios, (69) sesenta y nueve atenciones a cuidadoras Negras y Afrodescendientes; Un espacio, (22) veintidós atenciones a cuidadoras de los pueblos Indígenas 612. 
a) Un (1) Espacio: "Espacio de desconexión a través de las danzas tradicionales del Pacifico colombiano"
b) Un (1) Espacio:  Espacio de desconexión de usos y costumbres a través de cantos tradicionales del Pacifico colombiano: arrullos, currulao y alabados. 
c) Un (1) Espacio: Espacio de desconexión danzas y cantos tradicionales del Pacifico colombiano 
d) Un (1) Espacio: "Encuentro de las mujeres Pasto, en torno al cuidado ancestral y comunitario" 
</t>
  </si>
  <si>
    <t>Diseñar 1 documento para la implementación de la estrategia pedagógica para la valoración, la resignificación, el reconocimiento y la redistribución del trabajo de cuidado no remunerado que realizan las mujeres en Bogotá</t>
  </si>
  <si>
    <t>Es importante precisar la consulta realizada de Carol a nuestro enlace en OAP Angela Forero, quien informa que en el reporte del Plan de Acción se puede incluir valores negativos en lo comprometido en el mes de abril, esto se debe a que en este mes se presentaron anulaciones contra segundos pagos y liberación contra registros presupuestales, lo que implica un valor neto comprometido menor al reportado en el mes de marzo.
Los valores negativos en lo comprometido en el mes de agosto se debe a que en el mes se presentó la anulación contra segundo pago del contrato 945-2023 Red de Alianzas por valor total de $3.500.000, distribuido en las metas 5 y 6 del Proyecto de Inversión en un 50% cada una, lo que implica un valor neto comprometido menor al reportado en el mes de julio.
Se precisa que en el mes de septiembre en reservas el valor negativo corresponde a liberaciones de saldos con acta de liquidaciòn.</t>
  </si>
  <si>
    <t xml:space="preserve">5. Diseñar 1 documento para la implementación de la estrategia pedagógica para la valoración, la resignificación, el reconocimiento y la redistribución del trabajo de cuidado no remunerado que realizan las mujeres en Bogotá </t>
  </si>
  <si>
    <t>En el marco del diseño de un documento que abarque la implementación de la Estrategia Pedagógica y de Cambio Cultural para la valoración, resignificación, reconocimiento y redistribución del trabajo de cuidado no remunerado que realizan las mujeres en Bogotá, en el mes de octubre se avanzó en el diseño de la metodología “Taller Cuidemos de la casa común” desde un enfoque diferencial de género y con el apoyo de la Secretaría Distrital de Ambiente y cuyo objetivo es reconocer la importancia de los trabajos de cuidados no remunerados hacia el ambiente y quienes los realizan, además de buscar estrategias para su redistribución. El taller está enmarcado en la política de acción contra el cambio climático de la cual la Secretaría Distrital es Co responsable. Dicho taller hará parte de la caja de herramientas de la Estrategia Pedagógica y de Cambio Cultural.</t>
  </si>
  <si>
    <t>Durante lo corrido del primer, segundo y tercer trimestre del 2023, con relación al proceso de diseño y socialización de la caja de herramientas de la Estrategia Pedagógica de Cambio Cultural, se finalizó con la construcción y diseño de trece documentos metodológicos y un documento de instrucciones de uso; los cuales están dirigidos para un abordaje con enfoque diferencial atendiendo las necesidades poblacionales, así como, aportar al documento final de la Estrategia Pedagógica y de Cambio cultural “Caja de herramientas EPCC”. Además se cuenta con avances en un decimocuarto documento metodológico enmarcado en la acción contra el cambio climático y el reconocimiento de la importancia de los trabajos de cuidados no remunerados en el cuidado del ambiente y quienes lo realizan.</t>
  </si>
  <si>
    <t xml:space="preserve">En lo referente a diseñar un documento para la implementación de la Estrategia Pedagógica para la valoración, resignificación, reconocimiento y redistribución del trabajo de cuidado no remunerado que realizan las mujeres en Bogotá, entre enero y octubre del 2023 no se han presentado dificultades que alteren la normal ejecución de esta meta.
</t>
  </si>
  <si>
    <t xml:space="preserve">12. Diseñar, publicar y socializar una caja de herramientas de la Estrategia Pedagógica y de Cambio Cultural.  </t>
  </si>
  <si>
    <t xml:space="preserve">Durante el mes de octubre, se realizó la primera versión del “Taller Cuidemos de la casa común” la cual hará parte de  las metodologías contenidas en la “Caja de herramientas EPCC”; como un esfuerzo conjunto del Equipo de Cambio Cultural de la Dirección. En el documento “Caja de herramientas” reposa un compendio de conocimientos pedagógicos que permiten orientar el actuar de las y los profesionales de la Estrategia, así como el de cualquier persona o profesional que desee consultar lo relacionado a lo desarrollado con cuidado y trabajo no remunerado.
</t>
  </si>
  <si>
    <t>Código: DE-FO-05</t>
  </si>
  <si>
    <t xml:space="preserve">Versión: </t>
  </si>
  <si>
    <t xml:space="preserve">Fecha de Emisión: </t>
  </si>
  <si>
    <t>dd/mm/aaaa</t>
  </si>
  <si>
    <t>MAGNITUD META VIGENCIA ACTUAL</t>
  </si>
  <si>
    <t>mmmm</t>
  </si>
  <si>
    <t>RESERVAS VIGENCIA ANTERIOR</t>
  </si>
  <si>
    <t>PRESUPUESTO ASIGNADO EN LA VIGENCIA ACTUAL</t>
  </si>
  <si>
    <t>Recursos Programados</t>
  </si>
  <si>
    <t>Recursos Ejecutados (giros)</t>
  </si>
  <si>
    <t>Recursos Ejecutados</t>
  </si>
  <si>
    <t>Recursos girados</t>
  </si>
  <si>
    <t>AVANCE TRIMESTRE</t>
  </si>
  <si>
    <t>EXPLICACIÓN: Información correspondiente a reservas presupuestales.</t>
  </si>
  <si>
    <t>Avances y Logros (2.000 caracteres)</t>
  </si>
  <si>
    <t>EXPLICACIÓN: En este campo se deberá diligenciar lo relacionando a los logros y avances de forma acumulada e integrada.</t>
  </si>
  <si>
    <t>EXPLICACIÓN: En este campo se deberá diligenciar lo relacionando a las dificultades y alternativas de solución presentadas de forma acumulada e integrada.</t>
  </si>
  <si>
    <t>EXPLICACIÓN: En este campo se deberá diligenciar lo relacionando a los beneficios de forma acumulada e integrada.</t>
  </si>
  <si>
    <t xml:space="preserve"> EXPLICACIÓN: Este campo debe contener:
- El avance de la gestión mensual señalando las alertas que puedan afectar el cumplimiento de la actividad o producto. 
- El avance acumulado y los productos obtenidos, señalando las alternativas de solución que se emplearon para mitigar la alerta presentada.</t>
  </si>
  <si>
    <t>Implementar 1 estrategia para el reconocimiento y la redistribución del trabajo de cuidado no remunerado entre hombres y mujeres.</t>
  </si>
  <si>
    <t>6. Implementar 1 estrategia para el reconocimiento y la redistribución del trabajo de cuidado no remunerado entre hombres y mujeres.</t>
  </si>
  <si>
    <t>Entre los principales logros se menciona la gestión articulada de la oferta del sector privado en alianza con la Estrategia de Empleabilidad y Emprendimiento y con el Sello de Igualdad . Los retrasos presentados han estado vinculados a los tiempos para la revisión de la documentación remitida al equipo jurídico de la Dirección del Sistema del Cuidado y la gestión de firmas desde el despacho. Otra alerta encontrada está vinculada con la falta de actualización a la página de la Red por parte del grupo de comunicaciones.</t>
  </si>
  <si>
    <t xml:space="preserve">13. Implementar los talleres de cambio cultural </t>
  </si>
  <si>
    <t>14. Implementar la Red de Alianzas del Cuidado</t>
  </si>
  <si>
    <t xml:space="preserve">Para el mes de octubre se realizaron diez reuniones de socialización de presentación de la estrategia RAC. Para el mes de octubre se remitieron cinco paquetes de documentos de nuevos aliados RAC  qie se encuentran en revisión de requisitos por parte del área jurídica .  Gracias a la realización de la estrategia “ Encuentros virtuales mensuales” realizados los penúltimos jueves del mes convocando a todos los aliados, se ha logrado mantener relacionamiento con las 44 organizaciones con las cuales se han realizado socializaciones desde el mes de junio.
</t>
  </si>
  <si>
    <t>15. Convocar y gestionar las sesiones de la Mesa de Transformación Cultural de la Unidad Técnica de Apoyo de la Comisión Intersectorial del Sistema de Cuidado</t>
  </si>
  <si>
    <t xml:space="preserve">En el marco de la Quinta Mesa de Trabajo de Transformación Cultural que se adelantó durante el mes de octubre, se presentaron los resultados del Taller de mejoramiento de la Mesa de Trabajo de Transformación cultural, entre lo que se destacan las recomendaciones y conclusiones las cuales serán incluidas en el informe operativo de la Mesa. Además se solicitó el informe operativo a cada entidad miembro de la Mesa.
</t>
  </si>
  <si>
    <t>Gestionar la implementación de 1 estrategia de unidades móviles de cuidado</t>
  </si>
  <si>
    <t>7. Gestionar la implementación de 1 estrategia de unidades móviles de cuidado</t>
  </si>
  <si>
    <r>
      <rPr>
        <b/>
        <sz val="11"/>
        <color rgb="FF000000"/>
        <rFont val="Times New Roman"/>
        <family val="1"/>
      </rPr>
      <t xml:space="preserve">Bus del Cuidado Rural 
</t>
    </r>
    <r>
      <rPr>
        <sz val="11"/>
        <color rgb="FF000000"/>
        <rFont val="Times New Roman"/>
        <family val="1"/>
      </rPr>
      <t xml:space="preserve">Se realiza gira de medios con testimonio de una mujer cuidadora en medio de comunicación local en la localidad de Usaquen. Se realizaron los procesos educativos flexibles  en las localidades de Ciudad Bolívar, Santafe y Usaquen. 
Desde Secretaría de la Mujer se inicia tercer grupo de  Herramientas ofimáticas en alianza con el Sena en las tres localidades.
Se dio inicio a la evaluación de impacto del Sistema Distrital de Cuidado en el punto de operación del Bus del Cuidado Rural en la localidad de Ciudad Bolívar.
</t>
    </r>
    <r>
      <rPr>
        <b/>
        <sz val="11"/>
        <color rgb="FF000000"/>
        <rFont val="Times New Roman"/>
        <family val="1"/>
      </rPr>
      <t xml:space="preserve">Bus del Cuidado Urbano
</t>
    </r>
    <r>
      <rPr>
        <sz val="11"/>
        <color rgb="FF000000"/>
        <rFont val="Times New Roman"/>
        <family val="1"/>
      </rPr>
      <t>Durante el mes de octubre Secretaría de Hábitat finalizó el segundo ciclo de los talleres de educación financiera para la adquisición de vivienda en las localidades de Antonio Nariño, Barrios Unidos y Kennedy. Secretaría de la Mujer inició un tercer ciclo de formación complementaria en el curso de Herramientas ofimáticas en alianza con el SENA en las tres localidades: Antonio Nariño, Barrios Unidos y Kennedy, también realizó segundo ciclo del curso de Herramientas para las cuidadoras en el reconocimiento de su trabajo de cuidado de manera virtual. Por otra parte, se realizó gira de medios con testimonio de una mujer cuidadora en la localidad de Antonio Nariño y se dio inicio a la evaluación de impacto del Sistema Distrital de Cuidado en el Bus del Cuidado Urbano.</t>
    </r>
  </si>
  <si>
    <t>Con la implementación del Ciclo V de operacion, la estrategia
opera en seis localidades: Barrios Unidos, Antonio Nariño,
Kennedy, Usaquen, Ciudad Bolivar y Santafé.
Presencia del Sistema Distrital de Cuidado en zonas rural es y urbanas prestando servicios de formación, respiro, generación de ingresos y cuidado. Con la implementación del Ciclo V, la
estrategia de Buses del Cuidado llegó a todas las localidades con suelo rural y a una localidad en la que hasta la fecha no hay Manzana del Cuidado.</t>
  </si>
  <si>
    <t>En lo referente a gestionar la implementación de una estrategia de unidades móviles de cuidado, entre enero septiembre del 2023 no se han presentado dificultades que alteren la normal ejecución de esta meta.</t>
  </si>
  <si>
    <t>Desde el inicio de la estrategia en 2021, los Buses del Cuidado han operado de manera intinerante en 14 de las 20 localidades de Bogotá</t>
  </si>
  <si>
    <t>16. Hacer seguimiento a la ejecución del Contrato No. 928 de 2022 cuyo objeto es: "Prestar los servicios requeridos para la operación y puesta en marcha de las Unidades Móviles en el marco de la implementación de la estrategia territorial del Sistema Distrital de Cuidado, de acuerdo con el anexo técnico"</t>
  </si>
  <si>
    <t xml:space="preserve">En el marco del contrato de prestación de servicios 928 de 2022 se relacionan, entre otras, las siguientes actividades:
1. Remisión del oficio 1-2023-018048 de fecha 20-10-2023 dirigido por la supervisión al contratista Feeling Company SAS relacionado la prórroga y valores para adicionar el Cto.928-2022 y respuesta de aceptación. (Anexo 1).
2. Remisión oficio 3-2023-004726 de fecha 31-10-2023 a la Dirección de Contratación de solicitud de adición y prórroga del Cto.928-22. (Anexo 2)
3. Revisión y aprobación de la hoja de vida del señor WILSON ORTIZ PEDRAZA, relevo de los conductores de las Unidades Móviles.  (Anexo 3)
4. Revisión y aprobación por parte de la supervisión del informe de actividades correspondiente al pago del mes de septiembre de 2023 presentado por el contratista Feeling Company SAS, el cual se encuentra publicado en secop ii.  </t>
  </si>
  <si>
    <t>17. Convocar y gestionar las sesiones de las Mesa de Unidades Móviles de Servicios del Cuidado</t>
  </si>
  <si>
    <t>Se convoco a la novena Mesa Local de Buses de Cuidado para la actual vigencia donde se abordó la siguiente agenda:
1. Verificación del quorum
2. Seguimiento a compromisos
3. Aprobación orden del día
4. Atenciones Buses del Cuidado Septiembre 2023  
5. Socialización tercer informe trimestral Buses del Cuidado, julio – septiembre 2023
6. Hitos Octubre 2023
7. Varios y compromisos</t>
  </si>
  <si>
    <t>FORMULACIÓN Y SEGUIMIENTO PLAN DE ACCIÓN</t>
  </si>
  <si>
    <t>Página 2 de 3</t>
  </si>
  <si>
    <t xml:space="preserve">PROGRAMACIÓN </t>
  </si>
  <si>
    <t>DESCRIPCIÓN CUALITATIVA DEL AVANCE MES</t>
  </si>
  <si>
    <t>DESCRIPCIÓN CUALITATIVA DEL AVANCE ACUMULADO</t>
  </si>
  <si>
    <t>RETRASOS Y FACTORES LIMITANTES PARA EL CUMPLIMIENTO</t>
  </si>
  <si>
    <t>SOLUCIONES PROPUESTAS PARA RESOLVER LOS RETRASOS Y FACTORES LIMITANTES PARA EL CUMPLIMIENTO</t>
  </si>
  <si>
    <t>PRODUCTO INSTITUCIONAL (PMR):</t>
  </si>
  <si>
    <t>OBJETIVO ESTRATEGICO:</t>
  </si>
  <si>
    <t>Gestionar la puesta en marcha y articulación de un Sistema Distrital de Cuidado, que, bajo un modelo de corresponsabilidad en conjunto con otros actores como el sector privado, las comunidades y los hogares, asegure el acceso al cuidado para personas que requieren un nivel alto de apoyo</t>
  </si>
  <si>
    <t>NIVEL</t>
  </si>
  <si>
    <t>INFORMACIÓN PLANES OPERATIVOS ANUALES</t>
  </si>
  <si>
    <t xml:space="preserve"> META</t>
  </si>
  <si>
    <t>INDICADOR</t>
  </si>
  <si>
    <t>TIPO DE ANUALIZACIÓN  (Según aplique)</t>
  </si>
  <si>
    <t xml:space="preserve">MAGNITUD CUATRIENIO  (Según aplique) </t>
  </si>
  <si>
    <t>UNIDAD DE MEDIDAD</t>
  </si>
  <si>
    <t xml:space="preserve">DESCRIPCIÓN DE LA MEDICIÓN </t>
  </si>
  <si>
    <t>PROGRAMACIÓN ANUAL</t>
  </si>
  <si>
    <t>PERIODICIDAD</t>
  </si>
  <si>
    <t xml:space="preserve">MEDIOS DE VERIFICACIÓN </t>
  </si>
  <si>
    <t>PROGRAMACIÓN</t>
  </si>
  <si>
    <t xml:space="preserve">AVANCE META </t>
  </si>
  <si>
    <t>Meta sectorial</t>
  </si>
  <si>
    <t>Meta trazadora</t>
  </si>
  <si>
    <t>Meta estratégica</t>
  </si>
  <si>
    <t>PMR</t>
  </si>
  <si>
    <t xml:space="preserve"> De actividad  </t>
  </si>
  <si>
    <t>Otro</t>
  </si>
  <si>
    <t xml:space="preserve"> Proceso</t>
  </si>
  <si>
    <t>Planes Decreto 612</t>
  </si>
  <si>
    <t>MAGNITUD EJECUTADA</t>
  </si>
  <si>
    <t>AVANCE %</t>
  </si>
  <si>
    <t>Formular e implementar una estrategia pedagógica para la valoración, la resignificación, el reconocimiento y la redistribución del trabajo de cuidado no remunerado que realizan las mujeres en Bogotá</t>
  </si>
  <si>
    <t>Estrategia pedagógica para la valoración, la resignificación, el reconocimiento y la redistribución del trabajo de cuidado no remunerado implementada</t>
  </si>
  <si>
    <t>Creciente</t>
  </si>
  <si>
    <t>Estrategia</t>
  </si>
  <si>
    <t>Avance en la  implementación de la estrategia pedagógica para la valoración, la resignificación, el reconocimiento y la redistribución del trabajo de cuidado no remunerado que realizan las mujeres en Bogotá.</t>
  </si>
  <si>
    <t>Trimestral</t>
  </si>
  <si>
    <t xml:space="preserve">Documento consolidado del Sistema Distrital de Cuidado </t>
  </si>
  <si>
    <t>Para el mes de octubre, por efecto de la periodicidad de la Meta, no se tiene programado avances a reportar</t>
  </si>
  <si>
    <t xml:space="preserve">Durante lo corrido del 2023, con relación al proceso de diseño y socialización de la caja de herramientas de la Estrategia Pedagógica de Cambio Cultural, se finalizó con la construcción y diseño de trece (13) documentos metodológicos y un (1) documento de instrucciones de uso; los cuales están dirigidos para un abordaje con enfoque diferencial atendiendo las necesidades poblacionales, así como, aportar al documento final de la Estrategia Pedagógica y de Cambio cultural “Caja de herramientas EPCC”. Adicionalmente, se cuenta con avances en un decimocuarto documento metodológico, el cual se encuentra enmarcado en la acción contra el cambio climático y el reconocimiento de la importancia de los trabajos de cuidados no remunerados en el cuidado del ambiente y quienes lo realizan.
Por otro lado, se han beneficiado a 5.655 personas con los talleres de cambio cultural. </t>
  </si>
  <si>
    <t>Ninguna</t>
  </si>
  <si>
    <t>Formular las bases técnicas y coordinar la implementación del sistema distrital del cuidado</t>
  </si>
  <si>
    <t>Porcentaje de avance en la definición técnica y coordinación para la implementación del sistema distrital de cuidado</t>
  </si>
  <si>
    <t>Suma</t>
  </si>
  <si>
    <t>Porcentaje</t>
  </si>
  <si>
    <t>Avance en la construcción del documento de lineamientos técnicos para la formulación de las bases del Sistema Distrital de Cuidado y los resultados de articulación con las entidades distritales que hacen parte del sistema</t>
  </si>
  <si>
    <t>Durante los meses de enero a octubre de 2023 se avanzó en: La retroalimentación del documento “Desarrollo técnico del Sistema Distrital de Cuidado”, entregado por el equipo consultor de la Fundación Barco – Open Society Fundación en diciembre de 2022,  la actualización de las delegaciones a la Unidad Técnica de Apoyo de la Comisión Intersectorial del Sistema Distrital de Cuidado para retomar el funcionamiento de la Mesa Intersectorial de Seguimiento al Convenio Marco Interadministrativo 913 de 2021, la publicación en SECOP II del Anexo Técnico II de la Manzana del Cuidado de Ciudad Bolívar - Manitas, correspondiente al Acuerdo de Coordinación con el Instituto Distrital para las Artes y la Secretaría General, la suscripción de los Anexos I y II del Convenio Marco Interadministrativo 913 de 2021 para las Manzanas del Cuidado de Fontibón y Teusaquillo, la terminación anticipada del Convenio 725 de 2020, con el objetivo de adoptar dentro del Convenio Marco Interadministrativo 913 de 2021 el funcionamiento de las Manzanas del Cuidado de Bosa - Porvenir, San Cristóbal - San Blas y Usme - Julio César Sánchez, la revisión y firma de los Anexos II de adhesión al Convenio Marco Interadministrativo 913 de 2021 para las Manzanas del Cuidado de San Cristóbal - San Blas, Usme y Bosa - Porvenir, en lo que respecta a la Secretaría Distrital de la Mujer, la realización de 95 jornadas de socialización del Sistema Distrital de Cuidado y sus lineamientos técnicos y la formulación e implementación de la estrategia "Pactos locales por las Manzanas del Cuidado", cuyo objetivo es la apropiación de las Manzanas del Cuidado por parte de la ciudadanía.</t>
  </si>
  <si>
    <t>Gestionar la implementación, en la ciudad y la ruralidad, de la estrategia de manzanas del cuidado y unidades móviles de servicios del cuidado para las personas que requieren cuidado y para los y las cuidadoras de personas y animales domésticos</t>
  </si>
  <si>
    <t>Estrategias de manzanas del cuidado y unidades móviles de servicios del cuidado implementadas</t>
  </si>
  <si>
    <t>Avances en la implementación de 1a estrategia para la adecuación de infraestructura de manzanas de 
cuidado</t>
  </si>
  <si>
    <t>Informes de gestión de las manzanas y unidades de cuidado implementadas</t>
  </si>
  <si>
    <t>Número de mujeres formadas en cuidados, en el marco de la estrategia cuidado a cuidadoras</t>
  </si>
  <si>
    <t>Mujeres formadas</t>
  </si>
  <si>
    <t>Mujeres únicas formadas (Incluye certificadas).</t>
  </si>
  <si>
    <t>Mensual</t>
  </si>
  <si>
    <t>SiMisional</t>
  </si>
  <si>
    <t>De acuerdo a la programación, a agosto se deberían retener 3.600 mujeres únicas formadas y certificadas. Sin embargo la ejecución acumulada es de 3.031 lo que representa un avance del 84% en relación con los 10 meses de ejecución. A nivel general, el avance es del 76%Este retraso se presenta por efecto de que los cursos son dictados y certificados por un tercero, lo que conlleva a que el proceso de validar la información de los beneficiarios toma un tiempo. No obstante, se está trabajando en agilizar el proceso en este sentido.</t>
  </si>
  <si>
    <t>Se están realizando las acciones pertinentes para agilizar los procesos de validación de las beneficiarias del curso por parte del SENA</t>
  </si>
  <si>
    <t>Número de personas vinculadas a los talleres de cambio cultural</t>
  </si>
  <si>
    <t>Personas vinculadas</t>
  </si>
  <si>
    <t xml:space="preserve">Número de personas vinculadas en talleres presenciales y virtual de cambio cultural.  </t>
  </si>
  <si>
    <t>Número de manzanas inauguradas</t>
  </si>
  <si>
    <t>Manzanas puestas en operación</t>
  </si>
  <si>
    <t>Número de manzanas del cuidado puestas en operación en Bogotá</t>
  </si>
  <si>
    <t xml:space="preserve">               -  </t>
  </si>
  <si>
    <t>A le fecha se encuentran en operación 20 manzanas de cuidado en el Distrito</t>
  </si>
  <si>
    <t>Ninguno</t>
  </si>
  <si>
    <t>Gestión del Sistema Distrital de Cuidado</t>
  </si>
  <si>
    <t/>
  </si>
  <si>
    <t>Implementar la estrategia territorial y los servicios que presta la Dirección del Sistema de Cuidado, así como liderar la coordinación intersectorial a nivel distrital.</t>
  </si>
  <si>
    <t xml:space="preserve">Porcentaje de cumplimiento de la programación para la implementación del Sistema Distrital de Cuidado durante la vigencia anual </t>
  </si>
  <si>
    <t xml:space="preserve">Constante </t>
  </si>
  <si>
    <t xml:space="preserve">Porcentaje </t>
  </si>
  <si>
    <t xml:space="preserve">Avance en la implementación del Sistema Distrital de Cuidado </t>
  </si>
  <si>
    <t xml:space="preserve">Matriz de programación mensual </t>
  </si>
  <si>
    <t xml:space="preserve">Durante el mes de octubre de 2023, se logró avanzar con los talleres de cambio cultural, a través de estos se logró atender 807 personas y frente a las orientaciones psicosociales y psico jurídicas, se logró atender a 1.375 personas. </t>
  </si>
  <si>
    <t xml:space="preserve">En el marco de implementación del Sistema Distrital de Cuidado durante la vigencia anual se ha obtenido un cumplimiento del 82% de la programación para la implementación del SIDICU dado el funcionamiento de las dos unidades móviles y las 20 Manzana del Cuidado que se encuentran en operación. Por otra parte, frente al componente de coordinación intersectorial, y en el marco de la actividad asociada a las orientaciones psicosociales y psicourídicas, en lo corrido del 2023 se lleva un acumulado de  10.226 beneficiarias y con relación a los talleres de cambio cultural, se ha logrado atender a 5.655 </t>
  </si>
  <si>
    <t>ELABORÓ</t>
  </si>
  <si>
    <t xml:space="preserve">Firma: </t>
  </si>
  <si>
    <t>APROBÓ (Según aplique Gerenta de proyecto, Lider técnica y responsable de proceso)</t>
  </si>
  <si>
    <t>Firma:</t>
  </si>
  <si>
    <t>REVISÓ OFICINA ASESORA DE PLANEACIÓN</t>
  </si>
  <si>
    <t xml:space="preserve">VoBo. </t>
  </si>
  <si>
    <t>Nombre:  Jacqueline Marín Pérez</t>
  </si>
  <si>
    <t>Nombre: Constanza Liliana Gomez Romero</t>
  </si>
  <si>
    <t>Nombre: Angie Paola Mesa Rojas</t>
  </si>
  <si>
    <t>Nombre:</t>
  </si>
  <si>
    <t>Nombre: Catalina Campos Romero</t>
  </si>
  <si>
    <t>Cargo:  Profesional Universitario</t>
  </si>
  <si>
    <t>Cargo: Directora del Sistema de Cuidado</t>
  </si>
  <si>
    <t xml:space="preserve">Cargo:  Subsecretaría del Cuidado y Políticas de Igualdad </t>
  </si>
  <si>
    <t xml:space="preserve">Cargo: </t>
  </si>
  <si>
    <t>Cargo: Jefa Oficina Asesora de Planeación</t>
  </si>
  <si>
    <t xml:space="preserve">FORMULACIÓN Y SEGUIMIENTO PLAN DE ACCIÓN </t>
  </si>
  <si>
    <t>ANEXO - TERRITORIALIZACIÓN</t>
  </si>
  <si>
    <t>Página 3 de 3</t>
  </si>
  <si>
    <t xml:space="preserve">SEGUIMIENTO </t>
  </si>
  <si>
    <t>PERIODO DE REPORTE:</t>
  </si>
  <si>
    <t>INDICADOR / META:</t>
  </si>
  <si>
    <t>Número de mujeres formadas en cuidados, en el marco de la Estrategia de Cuidado a Cuidadoras. La meta para el año 2023 son 4.000 cuidadoras</t>
  </si>
  <si>
    <t>LOCALIDAD</t>
  </si>
  <si>
    <t>TOTAL POR LOCALIDAD</t>
  </si>
  <si>
    <t xml:space="preserve">ENFOQUE DIFERENCIAL </t>
  </si>
  <si>
    <t>GRUPO ETARIO</t>
  </si>
  <si>
    <t>Magnitud</t>
  </si>
  <si>
    <t>Presupuesto</t>
  </si>
  <si>
    <t>Indigenas</t>
  </si>
  <si>
    <t>Afrodescendientes</t>
  </si>
  <si>
    <t>Raizales</t>
  </si>
  <si>
    <t>Rrom</t>
  </si>
  <si>
    <t>Discapacidad</t>
  </si>
  <si>
    <t>LGBTI</t>
  </si>
  <si>
    <t>Menor de 12</t>
  </si>
  <si>
    <t>Entre 12 y 14</t>
  </si>
  <si>
    <t>Entre 15 y 28</t>
  </si>
  <si>
    <t>Entre 29 y 59</t>
  </si>
  <si>
    <t xml:space="preserve">Igual o mayo a 60 </t>
  </si>
  <si>
    <t>No responde</t>
  </si>
  <si>
    <t xml:space="preserve">Bogotá Distrito Capital </t>
  </si>
  <si>
    <t xml:space="preserve"> $               -  </t>
  </si>
  <si>
    <t xml:space="preserve"> $             -  </t>
  </si>
  <si>
    <t>1. Usaquen</t>
  </si>
  <si>
    <t>2. Chapinero</t>
  </si>
  <si>
    <t>3. Santafe</t>
  </si>
  <si>
    <t>4. San Cristobal</t>
  </si>
  <si>
    <t>5. Usme</t>
  </si>
  <si>
    <t>6. Tunjuelito</t>
  </si>
  <si>
    <t>7. Bosa</t>
  </si>
  <si>
    <t>8. Kennedy</t>
  </si>
  <si>
    <t>9. Fontibon</t>
  </si>
  <si>
    <t>10. Engativa</t>
  </si>
  <si>
    <t>11. Suba</t>
  </si>
  <si>
    <t>12. Barrios Unidos</t>
  </si>
  <si>
    <t>13. Teusaquillo</t>
  </si>
  <si>
    <t>14. Los Martires</t>
  </si>
  <si>
    <t>15. Antonio Nariño</t>
  </si>
  <si>
    <t>16. Puente Aranda</t>
  </si>
  <si>
    <t>17. La Candelaria</t>
  </si>
  <si>
    <t>18. Rafael Uribe Uribe</t>
  </si>
  <si>
    <t>19. Ciudad Bolivar</t>
  </si>
  <si>
    <t>20. Sumapaz</t>
  </si>
  <si>
    <t>TOTAL POR MES</t>
  </si>
  <si>
    <t>$ 0,00</t>
  </si>
  <si>
    <t xml:space="preserve">Número de personas vinculadas a los talleres de cambio cultural. La meta para el año 2023 son 5.000 ciudadanas y ciudadanos
(Criterio de territorialización para este indicador: Se toma el territorio donde se desarrolló el taller de cambio cultural, para aquellos que no reportan localidad, se reportará en Bogotá Distrito Capital. </t>
  </si>
  <si>
    <t>PESTAÑA No. 1 METAS PA PROYECTO</t>
  </si>
  <si>
    <t>ITEM</t>
  </si>
  <si>
    <t xml:space="preserve">DESCRIPCIÓN </t>
  </si>
  <si>
    <t>En este campo se debe diligenciar la fecha en que es radicado el intrumento.</t>
  </si>
  <si>
    <r>
      <rPr>
        <sz val="11"/>
        <color indexed="8"/>
        <rFont val="Times New Roman"/>
        <family val="1"/>
      </rPr>
      <t>En este campo se selecciona según aplique.</t>
    </r>
    <r>
      <rPr>
        <b/>
        <sz val="11"/>
        <color indexed="8"/>
        <rFont val="Times New Roman"/>
        <family val="1"/>
      </rPr>
      <t xml:space="preserve">
Programación: </t>
    </r>
    <r>
      <rPr>
        <sz val="11"/>
        <color indexed="8"/>
        <rFont val="Times New Roman"/>
        <family val="1"/>
      </rPr>
      <t xml:space="preserve">Corresponde al proceso de formulación del plan de acción, el cual se realiza una vez por vigencia. </t>
    </r>
    <r>
      <rPr>
        <b/>
        <sz val="11"/>
        <color indexed="8"/>
        <rFont val="Times New Roman"/>
        <family val="1"/>
      </rPr>
      <t xml:space="preserve">
Actualización: </t>
    </r>
    <r>
      <rPr>
        <sz val="11"/>
        <color indexed="8"/>
        <rFont val="Times New Roman"/>
        <family val="1"/>
      </rPr>
      <t xml:space="preserve">Corresponde al proceso mediante el cual la gerencia del proyecto modifica o ajusta la información contenida en la formulación. 
</t>
    </r>
    <r>
      <rPr>
        <b/>
        <sz val="11"/>
        <color indexed="8"/>
        <rFont val="Times New Roman"/>
        <family val="1"/>
      </rPr>
      <t xml:space="preserve">Seguimiento: </t>
    </r>
    <r>
      <rPr>
        <sz val="11"/>
        <color indexed="8"/>
        <rFont val="Times New Roman"/>
        <family val="1"/>
      </rPr>
      <t xml:space="preserve">Corresponde al proceso de reporte de avance de las metas y actividades programadas. </t>
    </r>
  </si>
  <si>
    <t xml:space="preserve">En estos campos se debe diligenciar el detalle de la estructura Plan de Desarrollo vigente, bajo la cual se encuentra articulado el proyecto de inversión </t>
  </si>
  <si>
    <t>PROGRMA</t>
  </si>
  <si>
    <t>En este campo se debe diligenciar el mes de reporte de la información. Favor recordar que la información debe ser acumulada vigencia.</t>
  </si>
  <si>
    <t>En este campo se debe diligenciar la información correspondiente al presupuesto programado y recursos ejecutados, según aplique vigencia y reservas. (Cifras en pesos)</t>
  </si>
  <si>
    <t>En este campo se debe diligenciar el peso porcentual de la meta con relación al total de las metas (100%) del proyecto de inversión y la ponderacion vertical de las actividades, este peso debe estar directamente relacionado con la asignación presupuestal y la relevancia técnica.</t>
  </si>
  <si>
    <t>CRONOGRAMA</t>
  </si>
  <si>
    <t xml:space="preserve">En este campo se debe diligenciar la ponderación horizontal de las actividades a desarrollar para el cumplimiento de las metas durante la vigencia. </t>
  </si>
  <si>
    <t>META (PROGRAMACIÓN Y SEGUIMIENTO)</t>
  </si>
  <si>
    <t xml:space="preserve">En este campo se debe diligenciar la magnitud física de la meta programada y ejecutada de acuerdo con la unidad de medida de la meta, según aplique vigencia o reserva. </t>
  </si>
  <si>
    <t>REPORTE METAS VIGENCIA ANTERIOR
DESCRIPCIÓN CUALITATIVA DEL AVANCE POR META
(Logros y beneficios, y retrasos y alternativas de solución (2.000 caracteres))</t>
  </si>
  <si>
    <t xml:space="preserve">En este campo se debe diligenciar la información correspondiente a las reservas presupuestales, se debe relacionar si aporta al cumplimiento de la magnitud física de la meta. </t>
  </si>
  <si>
    <t xml:space="preserve">REPORTE METAS VIGENCIA
DESCRIPCIÓN CUALITATIVA DEL AVANCE POR META </t>
  </si>
  <si>
    <r>
      <t xml:space="preserve">Avances y Logros (2.000 caracteres): </t>
    </r>
    <r>
      <rPr>
        <sz val="11"/>
        <color indexed="8"/>
        <rFont val="Times New Roman"/>
        <family val="1"/>
      </rPr>
      <t>En este campo se debe diligenciar lo relacionando a los logros y avances de la meta de forma acumulada e integrada.</t>
    </r>
    <r>
      <rPr>
        <b/>
        <sz val="11"/>
        <color indexed="8"/>
        <rFont val="Times New Roman"/>
        <family val="1"/>
      </rPr>
      <t xml:space="preserve">
Retrasos y Alternativas de solución (1.000 caracteres): </t>
    </r>
    <r>
      <rPr>
        <sz val="11"/>
        <color indexed="8"/>
        <rFont val="Times New Roman"/>
        <family val="1"/>
      </rPr>
      <t xml:space="preserve">En este campo se debe diligenciar lo relacionando a las dificultades y alternativas de solución presentadas de forma acumulada e integrada. En el caso de no presentarse retrasos en el periodo de reporte, incluir una nota indicando que las cifras son acordes con la programación. </t>
    </r>
    <r>
      <rPr>
        <b/>
        <sz val="11"/>
        <color indexed="8"/>
        <rFont val="Times New Roman"/>
        <family val="1"/>
      </rPr>
      <t xml:space="preserve">
Beneficios (2.000 caracteres): </t>
    </r>
    <r>
      <rPr>
        <sz val="11"/>
        <color indexed="8"/>
        <rFont val="Times New Roman"/>
        <family val="1"/>
      </rPr>
      <t xml:space="preserve">En este campo se debe diligenciar lo relacionando a los beneficios de forma acumulada e integrada.
</t>
    </r>
    <r>
      <rPr>
        <b/>
        <sz val="11"/>
        <color indexed="8"/>
        <rFont val="Times New Roman"/>
        <family val="1"/>
      </rPr>
      <t xml:space="preserve">
Nota:</t>
    </r>
    <r>
      <rPr>
        <sz val="11"/>
        <color indexed="8"/>
        <rFont val="Times New Roman"/>
        <family val="1"/>
      </rPr>
      <t xml:space="preserve"> El número límite de cartarteres se establece t</t>
    </r>
    <r>
      <rPr>
        <sz val="11"/>
        <color indexed="8"/>
        <rFont val="Times New Roman"/>
        <family val="1"/>
      </rPr>
      <t xml:space="preserve">eniendo en cuenta lo permitido en el sistema SEGPLAN, se recomienda dejar la información que se considere estratégica desde el área misional y de mayor relevancia. </t>
    </r>
  </si>
  <si>
    <t>PESTAÑA No. 2 INDICADORES PA</t>
  </si>
  <si>
    <r>
      <rPr>
        <sz val="11"/>
        <color indexed="8"/>
        <rFont val="Times New Roman"/>
        <family val="1"/>
      </rPr>
      <t>En este campo se selecciona según aplique.</t>
    </r>
    <r>
      <rPr>
        <b/>
        <sz val="11"/>
        <color indexed="8"/>
        <rFont val="Times New Roman"/>
        <family val="1"/>
      </rPr>
      <t xml:space="preserve">
Programación: </t>
    </r>
    <r>
      <rPr>
        <sz val="11"/>
        <color indexed="8"/>
        <rFont val="Times New Roman"/>
        <family val="1"/>
      </rPr>
      <t xml:space="preserve">Corresponde al proceso de formulación del plan de acción, el cual se realiza una ves por vigencia. </t>
    </r>
    <r>
      <rPr>
        <b/>
        <sz val="11"/>
        <color indexed="8"/>
        <rFont val="Times New Roman"/>
        <family val="1"/>
      </rPr>
      <t xml:space="preserve">
Actualización: </t>
    </r>
    <r>
      <rPr>
        <sz val="11"/>
        <color indexed="8"/>
        <rFont val="Times New Roman"/>
        <family val="1"/>
      </rPr>
      <t xml:space="preserve">Corresponde al proceso mediante el cual la gerencia del proyecto modifica o ajusta la información contenida en la formulación. 
</t>
    </r>
    <r>
      <rPr>
        <b/>
        <sz val="11"/>
        <color indexed="8"/>
        <rFont val="Times New Roman"/>
        <family val="1"/>
      </rPr>
      <t xml:space="preserve">Seguimiento: </t>
    </r>
    <r>
      <rPr>
        <sz val="11"/>
        <color indexed="8"/>
        <rFont val="Times New Roman"/>
        <family val="1"/>
      </rPr>
      <t xml:space="preserve">Corresponde al proceso de reporte de avance de las metas y actividades programadas. </t>
    </r>
  </si>
  <si>
    <t xml:space="preserve">PRODUCTO INSTITUCIONAL </t>
  </si>
  <si>
    <t>En este campo se debe diligenciar la descripción del Producto, meta, resultado - PMR al cual aportan las acciones e indicadores que se van a medir</t>
  </si>
  <si>
    <t xml:space="preserve">OBJETIVO ESTRATÉGICO </t>
  </si>
  <si>
    <t>En este campo se debe diligenciar la descripción del objetivo estratégico que se detalla en el Plan Estratégico intitucional al cual aportan las acciones e indicadores que se van a medir</t>
  </si>
  <si>
    <t xml:space="preserve">NIVEL </t>
  </si>
  <si>
    <t>En este campo se debe seleccionar el instrumento de planeación del cual hace parte la acción e indicador a medir según aplique (Seleccionar el nivel del indicador a reportar, así como relacionar el código asignado del indicador a medir segun aplique: SEGPLAN, PMR, número de actividad, etc). Consultar en la pestaña de  generalidades.</t>
  </si>
  <si>
    <t>PROCESO</t>
  </si>
  <si>
    <t>En este campo se debe relacionar la descripción del proceso en coherencia con el mapa de procesos  vigente</t>
  </si>
  <si>
    <t>PLANES DECRETO 612</t>
  </si>
  <si>
    <t>Este campo solo aplica para los planes relacionados con el Decreto 612.</t>
  </si>
  <si>
    <t xml:space="preserve">META </t>
  </si>
  <si>
    <t xml:space="preserve">En este campo se debe diligenciar la descripción de la meta PDD o meta proyecto articulada con la acción e indicador a medir.
Así mismo se podrá establecer una meta operativa nueva en caso de evidenciar la necesidad. </t>
  </si>
  <si>
    <r>
      <t xml:space="preserve">En este campo se debe detallar la expresión cualitativa del indicador.
Objeto + condición deseada del objeto (verbo conjugado) + elementos adicionales de contexto descriptivo
</t>
    </r>
    <r>
      <rPr>
        <i/>
        <sz val="11"/>
        <rFont val="Times New Roman"/>
        <family val="1"/>
      </rPr>
      <t>Ejemplo: Niños y niñas alimentados balanceadamente para su crecimiento integral.</t>
    </r>
  </si>
  <si>
    <t>TIPO DE ANUALIZACIÓN (según aplique)</t>
  </si>
  <si>
    <t>Este campo no es obligatorio, se diligencia según aplique
En este campo se debe relacionar el tipo de anualizacioón en coherencia con los mediciones establecidas por la SDH: Suma, Creciente, Decreciente y Constante.</t>
  </si>
  <si>
    <t>MAGNITUD</t>
  </si>
  <si>
    <r>
      <t xml:space="preserve">En este campo se debe relacionar la meta programada de acuerdo al indicador formulado Parámetro de referencia para determinar la magnitud. </t>
    </r>
    <r>
      <rPr>
        <i/>
        <sz val="11"/>
        <rFont val="Times New Roman"/>
        <family val="1"/>
      </rPr>
      <t>Ejemplo: 600, 100, 4.000.</t>
    </r>
  </si>
  <si>
    <t>UNIDAD DE MEDIDA</t>
  </si>
  <si>
    <r>
      <t xml:space="preserve">En este campo se debe relacionar el producto, servicio, porcentaje que se afectará con la intervención de acuerdo con el indicador propuesto. Parámetro de referencia para determinar el tipo de unidad del indicador. </t>
    </r>
    <r>
      <rPr>
        <i/>
        <sz val="11"/>
        <rFont val="Times New Roman"/>
        <family val="1"/>
      </rPr>
      <t>Ejemplo: mujeres, %, atenciones</t>
    </r>
  </si>
  <si>
    <t>DESCRIPCIÓN DE LA MEDICIÓN</t>
  </si>
  <si>
    <r>
      <t xml:space="preserve">En este campo se debe diligenciar:
</t>
    </r>
    <r>
      <rPr>
        <b/>
        <sz val="11"/>
        <rFont val="Times New Roman"/>
        <family val="1"/>
      </rPr>
      <t>1.La descripción detallada de la medición del indicador.</t>
    </r>
    <r>
      <rPr>
        <sz val="11"/>
        <rFont val="Times New Roman"/>
        <family val="1"/>
      </rPr>
      <t xml:space="preserve">
</t>
    </r>
    <r>
      <rPr>
        <i/>
        <sz val="11"/>
        <rFont val="Times New Roman"/>
        <family val="1"/>
      </rPr>
      <t xml:space="preserve">De acuerdo a la meta programada, se debe realizar una descripción cualitativa de a que se refiere cada avance programado para cada trimestre desde la programación. (Si aplica)
Ejemplo 1: 
Programación actividad Trimestre 1: 40% Trimestre 2: 60%
40% Fase I - Diseño de ...
60% Fase II - Socialización y ejecución de ...
</t>
    </r>
    <r>
      <rPr>
        <b/>
        <sz val="11"/>
        <rFont val="Times New Roman"/>
        <family val="1"/>
      </rPr>
      <t xml:space="preserve">2.La representación matemática del cálculo del indicador.
</t>
    </r>
    <r>
      <rPr>
        <i/>
        <sz val="11"/>
        <rFont val="Times New Roman"/>
        <family val="1"/>
      </rPr>
      <t>Ejemplo 2: No. Capacitaciones realizadas / No. Capacitaciones programadas *100</t>
    </r>
  </si>
  <si>
    <t xml:space="preserve">PERIODICIDAD </t>
  </si>
  <si>
    <t xml:space="preserve">En este campo se debe establecer la periodicidad de la medicicion del indicador y del reporte del seguimiento </t>
  </si>
  <si>
    <t>MEDIOS DE VERIFICACIÓN</t>
  </si>
  <si>
    <t xml:space="preserve">En este campo se deben relacionar los soportes en los cuales se puede revisar el cumplimiento de las acciones e indicadores programados y ejecutatos. </t>
  </si>
  <si>
    <t>PROGRAMACIÓN META</t>
  </si>
  <si>
    <t>En este campo se debe relacionar la programación horizontal del desarrollo de las acciones de acuerdo a la medicición del indicador</t>
  </si>
  <si>
    <t>AVANCE META</t>
  </si>
  <si>
    <t>En este campo se debe reportar el avance del desarrollo de acciones de acuerdo a la medición del indicador</t>
  </si>
  <si>
    <t>SEGUIMIENTO TOTAL</t>
  </si>
  <si>
    <t>Este campo contiene dos columnas:
- MAGNITUD EJECUTADA: Correspondiente al avance acumulado de la meta a la fecha del reporte.
- % AVANCE: Formula que calcula el avance de la magnitud ejecutada a la fecha del reporte sobre la meta de la vigencia.</t>
  </si>
  <si>
    <t>En este campo se debe relacionar el avance mensual del indicador.</t>
  </si>
  <si>
    <t>DESCRIPCIÓN CUALITATIVA DEL AVANCE ACUMULADA</t>
  </si>
  <si>
    <t>En este campo se debe registrar el avance del indicador a la fecha del reporte de forma acumulada e integrada.</t>
  </si>
  <si>
    <t xml:space="preserve">RETRASOS Y FACTORES LIMITANTES PARA EL CUMPLIMIENTO </t>
  </si>
  <si>
    <t>En este campo se debe relacionar en caso de retraso, las razones por las cuales se esta generando un retraso en coherencia con la programación de cada periodo. De presentarse esta situación es obligatorio diligenciar este campo.</t>
  </si>
  <si>
    <t xml:space="preserve">En este campo se debe relacionar la descripción de las alternativas de solución </t>
  </si>
  <si>
    <t>PESTAÑA No. 3 TERRITORIALIZACIÓN</t>
  </si>
  <si>
    <t>DESCRIPCIÓN</t>
  </si>
  <si>
    <t xml:space="preserve">Este anexo, responde a la necesidad de plasmar la información correspondiente que las acciones (derivadas de metas PDD, metas proyecto de inversión, indicadores PMR, actividades) que se territorializan incluyendo el enfoque diferencial y según grupo etario, así como las reportadas a nivel distrital.
De ser necesario las celdas correspondientes a enfoque diferencial, especificamente población en discapacidad (Sordociega, auditiva,, visual, multiple, mental, física, cognitiva, otro) y población LGBTI (Lesbianas, gays, bisexuales, hererosexuales, No responde...)  se puede establecer mayor desagregue de ser necesario en la misma celda. </t>
  </si>
  <si>
    <t>En este campo se debe relacionar la magnitud programada y ejecutada de manera mensual, para cada localidad.</t>
  </si>
  <si>
    <t>PRESUPUESTO</t>
  </si>
  <si>
    <t>En este campo se debe relacionar el presupuesto programado y ejecutado de manera trimestral, para cada localidad, por temas de reporte en el sistema SEGPLAN.</t>
  </si>
  <si>
    <t>PRODUCTO INSTITUCIONAL</t>
  </si>
  <si>
    <t xml:space="preserve">PROCESO ASOCIADO - PLAN OPERATIVO </t>
  </si>
  <si>
    <t xml:space="preserve">NOMBRE PROYECTO DE INVERSIÓN </t>
  </si>
  <si>
    <t>NOMBRE META / INDICADOR</t>
  </si>
  <si>
    <t xml:space="preserve">TIPO DE ANUALIZACIÓN </t>
  </si>
  <si>
    <t xml:space="preserve">GRUPO ETARIO </t>
  </si>
  <si>
    <t>1. Vida libre de Violencias y justicia con enfoque de género para las mujeres</t>
  </si>
  <si>
    <t>DIRECCIONAMIENTO ESTRATÉGICO</t>
  </si>
  <si>
    <t>7662.Fortalecimiento a la gestión institucional de la SDMujer en Bogotá</t>
  </si>
  <si>
    <t>INDICADORES PMR</t>
  </si>
  <si>
    <t>MUJERES</t>
  </si>
  <si>
    <t xml:space="preserve">CRECIENTE </t>
  </si>
  <si>
    <t>Infancia (Menor de 12 años)</t>
  </si>
  <si>
    <t xml:space="preserve">Discapacidad </t>
  </si>
  <si>
    <t>Plan institucional de archivos - PINAR</t>
  </si>
  <si>
    <t>2. Gestión del conocimiento e información para la toma de decisiones y garantía de derechos de las mujeres</t>
  </si>
  <si>
    <t xml:space="preserve">PLANEACIÓN Y GESTIÓN </t>
  </si>
  <si>
    <t>7668.Levantamiento y análisis de información para la garantía de derechos de las mujeres en Bogotá</t>
  </si>
  <si>
    <t>35.Mujeres atendidas en Casas de Justicia, escenarios de Fiscalía y Sede Central</t>
  </si>
  <si>
    <t>MUJERES, HIJOS E HIJAS</t>
  </si>
  <si>
    <t>DECRECIENTE</t>
  </si>
  <si>
    <t>Juventud (Entre 12 y 14 años)</t>
  </si>
  <si>
    <t>Plan Anual de Adquisiciones</t>
  </si>
  <si>
    <t>3. Igualdad de oportunidades y desarrollo de capacidades para las mujeres</t>
  </si>
  <si>
    <t xml:space="preserve">COMUNICACIÓN ESTRATÉGICA </t>
  </si>
  <si>
    <t>7671.Implementación de acciones afirmativas dirigidas a las mujeres con enfoque diferencial y de género en Bogotá</t>
  </si>
  <si>
    <t xml:space="preserve">31.Casos nuevos de violencias contra las mujeres con representación jurídica en instancias judiciales y administrativas </t>
  </si>
  <si>
    <t>INTERVENCIONES</t>
  </si>
  <si>
    <t xml:space="preserve">CONSTANTE </t>
  </si>
  <si>
    <t>Juventud (Entre 15 y 28 años)</t>
  </si>
  <si>
    <t>Plan anticorrupción y de atención al ciudadano</t>
  </si>
  <si>
    <t>4. Inclusión y equidad de género en la participación y la representación de las mujeres</t>
  </si>
  <si>
    <t>GESTIÓN DEL CONOCIMIENTO</t>
  </si>
  <si>
    <t>7672.Contribución acceso efectivo de las mujeres a la justicia con enfoque de género y de la ruta integral de atención para el acceso a la justicia de las mujeres en Bogotá</t>
  </si>
  <si>
    <t>36.Número de mujeres víctimas de violencias y su sistema familiar, acogidas y atendidas a través del modelo de Casas Refugio incluyendo modalidad intermedia de acogida y ruralidad</t>
  </si>
  <si>
    <t>CONSULTAS</t>
  </si>
  <si>
    <t>SUMA</t>
  </si>
  <si>
    <t>Adultez (Entre 29 y 59 años)</t>
  </si>
  <si>
    <t xml:space="preserve">Plan de incentivos institucionales </t>
  </si>
  <si>
    <t>5. Sistema Distrital de Cuidado</t>
  </si>
  <si>
    <t>PREVENCIÓN Y ATENCIÓN INTEGRAL A MUJERES VÍCTIMAS DE VIOLENCIA</t>
  </si>
  <si>
    <t>7673.Desarrollo de capacidades para aumentar la autonomía y empoderamiento de las mujeres en toda su diversidad en Bogotá</t>
  </si>
  <si>
    <t>37.Número de atenciones a mujeres víctimas de violencias, a través de las Duplas de atención psicosocial</t>
  </si>
  <si>
    <t>CASAS</t>
  </si>
  <si>
    <t>Mayores (Igual o superior a 60 años)</t>
  </si>
  <si>
    <t>Plan de previsión de recursos humanos</t>
  </si>
  <si>
    <t>PROMOCIÓN DEL ACCESO A LA JUSTICICA PARA LAS MUJERES</t>
  </si>
  <si>
    <t>7675.Implementación de la Estrategia de Territorialización de la Política Pública de Mujeres y Equidad de Género a través de las Casas de Igualdad de Oportunidades para las Mujeres en Bogotá</t>
  </si>
  <si>
    <t xml:space="preserve">18.Número de mujeres participantes en las actividades implementadas en el marco de los Planes Locales de Seguridad para las Mujeres </t>
  </si>
  <si>
    <t>PERSONAS</t>
  </si>
  <si>
    <t>Plan institucional de capacitación - PIC</t>
  </si>
  <si>
    <t xml:space="preserve">PROMOCIÓN DE LA PARTICIPACIÓN Y REPRESENTACIÓN DE LAS MUJERES </t>
  </si>
  <si>
    <t>7676.Fortalecimiento a los liderazgos para la inclusión y equidad de género en la participación y la representación política en Bogotá</t>
  </si>
  <si>
    <t>32.Atenciones efectivas a través de la Línea Púrpura Distrital</t>
  </si>
  <si>
    <t>ATENCIONES</t>
  </si>
  <si>
    <t xml:space="preserve">Plan estrategico de Talento Humano </t>
  </si>
  <si>
    <t>TRANSVERSALIZACIÓN DEL ENFOQUE DE GÉNERO Y DIFERENCIAL PARA MUJERES</t>
  </si>
  <si>
    <t>7718.Implementación del Sistema Distrital de Cuidado en Bogotá</t>
  </si>
  <si>
    <t xml:space="preserve">38.Número de ciudadanos y ciudadanas informados a partir de la implementación de estrategias de divulgación pedagógica con enfoques de género y de derechos </t>
  </si>
  <si>
    <t>ORIENTACIONES Y ASESORÍAS</t>
  </si>
  <si>
    <t>Plan Anual de vacantes</t>
  </si>
  <si>
    <t>TERRITORIALIZACIÓN DE LA POLÍTICA PÚBLICA</t>
  </si>
  <si>
    <t>7734.Fortalecimiento a la implementación del Sistema Distrital de Protección integral a las mujeres víctimas de violencias - SOFIA en Bogotá</t>
  </si>
  <si>
    <t>34.Estudios y/o investigaciones producidas y divulgadas por el Observatorio de Mujer y Equidad de Género, con relación a situaciones y derechos de las mujeres en Bogotá</t>
  </si>
  <si>
    <t>ORIENTACIONES</t>
  </si>
  <si>
    <t xml:space="preserve">Plan trabajo anual en seguridad y salud en el trabajo </t>
  </si>
  <si>
    <t xml:space="preserve">GESTIÓN DE LAS POLÍTICAS PÚBLICAS </t>
  </si>
  <si>
    <t>7738.Implementación de Políticas Públicas lideradas por la Secretaria de la Mujer y Transversalización de género para promover igualdad, desarrollo de capacidades y reconocimiento de las mujeres de Bogotá</t>
  </si>
  <si>
    <t>12.Número de mujeres vinculadas a procesos de las Casas de Igualdad de Oportunidades</t>
  </si>
  <si>
    <t>ESTUDIOS Y/O INVESTIGACIONES</t>
  </si>
  <si>
    <t xml:space="preserve">Plan estrategico de tecnología de la información y privacidad de la información </t>
  </si>
  <si>
    <t xml:space="preserve">DESARROLLO DE CAPACIDADES PARA LA VIDA DE LAS MUJERES </t>
  </si>
  <si>
    <t>7739.Implementación de estrategia de divulgación pedagógica con enfoques de género y de derechos Bogotá</t>
  </si>
  <si>
    <t>39.Atenciones socio jurídicas brindadas a través de la Estrategia Casa de Todas, a mujeres que realizan actividades sexuales pagadas (asesorias, seguimientos y valoraciones iniciales)</t>
  </si>
  <si>
    <t>CONTENIDOS</t>
  </si>
  <si>
    <t xml:space="preserve">Plan de seguridad y privacidad de la información </t>
  </si>
  <si>
    <t>GESTIÓN DEL SISTEMA DISTRITAL DE CUIDADO</t>
  </si>
  <si>
    <t>40.Atenciones psicosociales brindadas a través de la Estrategia Casa de Todas, a mujeres que realizan actividades sexuales pagadas (asesorias, seguimientos y valoraciones iniciales)</t>
  </si>
  <si>
    <t>CASOS NUEVOS</t>
  </si>
  <si>
    <t>Plan de participación ciudadana</t>
  </si>
  <si>
    <t>GESTIÓN  TALENTO HUMANO</t>
  </si>
  <si>
    <t>41.Atenciones en trabajo social brindadas a través de la Estrategia Casa de Todas, a mujeres que realizan actividades sexuales pagadas (asesorias, seguimientos y valoraciones iniciales)</t>
  </si>
  <si>
    <t>CIUDADANOS Y CIUDADANAS</t>
  </si>
  <si>
    <t>GESTIÓN CONTRACTUAL</t>
  </si>
  <si>
    <t xml:space="preserve">42.Número de contenidos diseñados para el desarrollo de capacidades socioemocionales, ocupacionales, técnicas y educación financiera para las mujeres (Módulos y diplomados) </t>
  </si>
  <si>
    <t>PORCIENTO</t>
  </si>
  <si>
    <t>GESTIÓN ADMINISTRATIVA</t>
  </si>
  <si>
    <t>29.Mujeres formadas en derechos a través de procesos de desarrollo de capacidades en los Centros de Inclusión Digital</t>
  </si>
  <si>
    <t>GESTIÓN FINANCIERA</t>
  </si>
  <si>
    <t xml:space="preserve">30.Número de orientaciones y asesorías socio jurídicas con enfoque de derechos de las mujeres y enfoque de género a través de las Casas de Igualdad de Oportunidades para las Mujeres </t>
  </si>
  <si>
    <t>GESTIÓN DOCUMENTAL</t>
  </si>
  <si>
    <t xml:space="preserve">108.Número de orientaciones  y acompañamientos psicosociales a mujeres a través de las Casas de Igualdad de Oportunidades para las Mujeres </t>
  </si>
  <si>
    <t>GESTIÓN JURÍDICA</t>
  </si>
  <si>
    <t xml:space="preserve">33.Número de mujeres vinculadas a procesos formativos para el desarrollo de capacidades de incidencia, liderazgo, empoderamiento y participación política </t>
  </si>
  <si>
    <t xml:space="preserve">GESTIÓN TECNOLÓGICA </t>
  </si>
  <si>
    <t>43.Número de mujeres formadas en cuidados, en el marco de la estrategia cuidado a cuidadoras</t>
  </si>
  <si>
    <t>ATENCIÓN A LA CIUDADANÍA</t>
  </si>
  <si>
    <t>44.Número de atenciones brindadas a través de Espacios respiro, en el marco de la estrategia cuidado a cuidadoras</t>
  </si>
  <si>
    <t xml:space="preserve">SEGUIMIENTO, EVALUACIÓN Y CONTROL </t>
  </si>
  <si>
    <t>45.Número de atenciones de relevo de cuidado en casa, en el marco de la estrategia cuidado a cuidadoras</t>
  </si>
  <si>
    <t>GESTIÓN DISCIPLINARIA</t>
  </si>
  <si>
    <t>46.Número de personas vinculadas a los talleres de cambio cultural</t>
  </si>
  <si>
    <t>METAS SECTORIALES</t>
  </si>
  <si>
    <t>INDICADORES PDD</t>
  </si>
  <si>
    <t>9. Aumentar en un 30% el número de mujeres formadas en los centros de inclusión digital.</t>
  </si>
  <si>
    <t>9. Número de mujeres formadas en los Centros de Inclusión Digital</t>
  </si>
  <si>
    <t>10. Diseñar y acompañar la estrategia de emprendimiento y empleabilidad para la autonomía económica de las mujeres</t>
  </si>
  <si>
    <t>10. Porcentaje de avance en el diseño y acompañamiento de la estrategia de emprendimiento y empleabilidad para la autonomía económica de las mujeres</t>
  </si>
  <si>
    <t>11. Territorializar la política pública de mujeres y equidad de género a través de las Casas de Igualdad de Oportunidades en las 20 localidades</t>
  </si>
  <si>
    <t>11. Número de localidades con el modelo de atención Casas de Igualdad de Oportunidades para las mujeres implementado</t>
  </si>
  <si>
    <t>667. Número de mujeres vinculadas a procesos de información, sensibilización y campañas de difusión de sus derechos</t>
  </si>
  <si>
    <t>668. Número de orientaciones y acompañamientos psicosociales a mujeres</t>
  </si>
  <si>
    <t>669. Número de orientaciones y asesorías socio jurídicas a mujeres víctimas de violencias</t>
  </si>
  <si>
    <t>37. Diseñar acciones afirmativas con enfoque diferencial, para desarrollar capacidades y promover el bienestar socio emocional y los derechos de las mujeres en todas sus diversidades, en los sectores de la administración distrital y en las localidades</t>
  </si>
  <si>
    <t>39. Número de sectores que implementan acciones afirmativas con enfoque diferencial para desarrollar capacidades y promover los derechos de las mujeres en todas sus diversidades</t>
  </si>
  <si>
    <t xml:space="preserve">38. Implementar la política pública de mujeres y equidad de género en los sectores responsables del cumplimiento de su plan de acción </t>
  </si>
  <si>
    <t>40. Política Pública de Mujeres y Equidad de Género implementada en articulación con los sectores responsables en su Plan de Acción</t>
  </si>
  <si>
    <t>39. Incorporar de manera transversal, en los 15 sectores de la administración distrital y en las localidades, el enfoque de género y de derechos de las mujeres</t>
  </si>
  <si>
    <t>41. Estrategia de transversalización implementada en los 15 sectores de la Administración Distrital</t>
  </si>
  <si>
    <t>52. Formular e implementar una estrategia pedagógica para la valoración, la resignificación, el reconocimiento y la redistribución del trabajo de cuidado no remunerado que realizan las mujeres en Bogotá</t>
  </si>
  <si>
    <t>54. Estrategia pedagógica para la valoración, la resignificación, el reconocimiento y la redistribución del trabajo de cuidado no remunerado implementada</t>
  </si>
  <si>
    <t>53. Formular las bases técnicas y coordinar la implementación del sistema distrital del cuidado</t>
  </si>
  <si>
    <t>55. Porcentaje de avance en la definición técnica y coordinación para la implementación del sistema distrital de cuidado</t>
  </si>
  <si>
    <t>56. Gestionar la implementación, en la ciudad y la ruralidad, de la estrategia de manzanas del cuidado y unidades móviles de servicios del cuidado para las personas que requieren cuidado y para los y las cuidadoras de personas y animales domésticos</t>
  </si>
  <si>
    <t>58. Estrategias de manzanas del cuidado y unidades móviles de servicios del cuidado implementadas</t>
  </si>
  <si>
    <t>304. Alcanzar al menos el 80% de efectividad (respuesta inmediata, llamadas devueltas y contactos por chat) en la atención de la linea purpura  “Mujeres escuchan mujeres” integrando un equipo de la misma a la linea de emergencias 123</t>
  </si>
  <si>
    <t>324. Efectividad en la atención de la Línea Púrpura</t>
  </si>
  <si>
    <t>305. Ampliar a 6 el modelo de operación de Casa refugio priorizando la ruralidad (Acuerdo 631/2015) y modalidad intermedia.</t>
  </si>
  <si>
    <t>325. Número de Casas Refugio en operación</t>
  </si>
  <si>
    <t>306. Diseñar e implementar estrategias de divulgación pedagógica y de transformación cultural para el cambio social con enfoques de género, diferencial, de derechos de las mujeres e interseccional que articulen la oferta institucional con el ejercicio pleno de los derechos de las mujeres</t>
  </si>
  <si>
    <t>326. Número de estrategias de comunicación y divulgación con enfoque de género, diferencial e interseccional diseñadas e implementadas</t>
  </si>
  <si>
    <t>307. Implementar en 7 casas de justicia priorizadas un modelo de atención con ruta integral para mujeres y Garantizar en 8 casas de justicia y CAPIV - CENTROS DE ATENCIÓN PENAL INTEGRAL PARA VICTIMAS y CAIVAS - CENTROS DE ATENCIÓN INTEGRAL A VICTIMAS DE ABUSO SEXUAL la estrategia de justicia de género</t>
  </si>
  <si>
    <t>327. Número de mujeres atendidas con perspectiva de género y derechos de las mujeres a través de Casas de Justicia y espacios de atención integral de la Fiscalía (CAPIV, CAIVAS)</t>
  </si>
  <si>
    <t>308. Implementar una estrategia semi permanente para la protección de las mujeres víctimas de violencia y su acceso a la justicia en 3 Unidades de Reacción Inmediata - URI de la Fiscalía General de la Nación y articulada a la línea 123 y Línea púrpura</t>
  </si>
  <si>
    <t>328. Número de URIs con estrategia de atención semi permanente para la protección de las mujeres víctimas de violencia y acceso a la justicia implementada</t>
  </si>
  <si>
    <t>309. Implementar el protocolo de prevención, atención, y sanción a la violencia contra las mujeres en el transporte público que garantice la atención del 100% de los casos y promueva su disminución.</t>
  </si>
  <si>
    <t>329. Acciones estratégicas realizadas en el marco de los componentes del Sistema SOFIA</t>
  </si>
  <si>
    <t>452. Crear y fortalecer la infraestructura tecnológica del Observatorio de Mujer y Equidad de Género que permita la articulación con los sectores distritales pertinentes</t>
  </si>
  <si>
    <t>487. Porcentaje de avance en la creación y fortalecimiento de infraestructura tecnológica del OMEG para la articulación con los sectores distritales</t>
  </si>
  <si>
    <t>454. Diseñar e implementar investigaciones  para diagnosticar y divulgar la situación de los derechos de las mujeres y transversalizar el enfoque de género y diferencial metodológicamente</t>
  </si>
  <si>
    <t>489. Investigaciones realizadas</t>
  </si>
  <si>
    <t>404. Alcanzar la paridad en al menos el 50% de las instancias de participación del Distrito Capital</t>
  </si>
  <si>
    <t>431. Porcentaje de instancias con participación paritaria en el Distrito</t>
  </si>
  <si>
    <t>426. Implementar una estrategia de formación para el desarrollo de capacidades de incidencia, liderazgo, empoderamiento y participación política de las Mujeres</t>
  </si>
  <si>
    <t>459. Número de mujeres vinculadas a procesos de formación para el desarrollo de capacidades de incidencia, liderazgo, empoderamiento y participación política de las mujeres</t>
  </si>
  <si>
    <t>428. Incorporar e implementar el enfoque de género y diferencial en los ejercicios de los presupuestos participativos.</t>
  </si>
  <si>
    <t>461. Documento de lineamiento de presupuesto participativo sensible al género, formulado y adoptado</t>
  </si>
  <si>
    <t>518. Implementar buenas prácticas de gestión administrativa y organizacional para el cumplimiento de las metas misionales a cargo de la Secretaría Distrital de la Mujer</t>
  </si>
  <si>
    <t>567. Número de buenas prácticas de gestión administrativa y organizacionales implementadas</t>
  </si>
  <si>
    <t>METAS ESTRATEGICAS</t>
  </si>
  <si>
    <t>Número de acciones estratégicas realizadas para la prevención, atención y sanción de las violencias contra las mujeres en el marco de los componente del Sistema Sofía</t>
  </si>
  <si>
    <t>Porcentaje (%) de Implementación de la estrategia para enfrentar y prevenir el acoso contra la mujer dentro del sistema Transmilenio</t>
  </si>
  <si>
    <t>METAS TRAZADORAS</t>
  </si>
  <si>
    <t>Disminuir el porcentaje de percepción de las mujeres que consideran que las mujeres son mejores para el trabajo doméstico que los hombres</t>
  </si>
  <si>
    <t>Disminuir el porcentaje de percepción de los hombres que consideran que las mujeres son mejores para el trabajo doméstico que los hombres</t>
  </si>
  <si>
    <t>Número de registros por presunto delito sexual</t>
  </si>
  <si>
    <t>Reducir el porcentaje de aceptación social a las violencias contra las mujeres</t>
  </si>
  <si>
    <t xml:space="preserve">ACTIVIDAD </t>
  </si>
  <si>
    <t xml:space="preserve">PRIMER TRI </t>
  </si>
  <si>
    <t xml:space="preserve">SEGUNDO TRIM </t>
  </si>
  <si>
    <t xml:space="preserve">TERCER TRIM </t>
  </si>
  <si>
    <t xml:space="preserve">TOTAL </t>
  </si>
  <si>
    <t>META 1</t>
  </si>
  <si>
    <t>META 2</t>
  </si>
  <si>
    <t>META 3</t>
  </si>
  <si>
    <t>META 4</t>
  </si>
  <si>
    <t>META 5</t>
  </si>
  <si>
    <t>META 6</t>
  </si>
  <si>
    <t>META 7</t>
  </si>
  <si>
    <t>META 10</t>
  </si>
  <si>
    <t>META 11</t>
  </si>
  <si>
    <t>META 12</t>
  </si>
  <si>
    <t>META 14</t>
  </si>
  <si>
    <t>META 15</t>
  </si>
  <si>
    <t>Durante el mes de Octubre de 2023, se logro la operacion de 20 manzanas de cuidado en el distrito; asi mismo se avanzo en el desarrollo de 18 sesiones de mesas locales en las manzanas de cuidado que permitieron realizar el monitoreo y seguimiento a la operacion e  implementacion de servicios segun las fichas tecnicas, ademas se desarrollaron socializaciones en las 19 localidades urbanas promoviendo la consolidacion y  la apropiación de las Manzanas del Cuidado por parte de las personas cuidadoras, posicionar las Manzanas del Cuidado con actores sociales, comunitarios y ciudadanía en general, con el objetivo de beneficiar mas personas cuidadoras y  mas personas que requieren cuidados en las localidades con manznas de cuidado inauguradas.</t>
  </si>
  <si>
    <t xml:space="preserve">Durante lo corrido de enero a octubre del 2023, en el marco de la gestión de las manzanas y unidades de cuidado se ha logrado que Bogotá tenga en operación 20 Manzanas. Por otra parte. en el marco de los procesos realizados por el Sistema Distrital del Cuidado - SIDICU en la vigencia referida al reporte, se han beneficiado del servicio de orientación y asesoría psicojurídica psicosocial a: 10.226 cuidadoras. </t>
  </si>
  <si>
    <t xml:space="preserve">En el mes de octubre de 2023 se obtuvieron los siguientes logros en el proceso de formación de la Estrategia Cuidado a Cuidadoras: 
1) Formación Complementaria: 496 cuidadoras graduadas. 
2) Homologación de Saberes: 87 cuidadoras certificadas.
3) Número de Espacios Respiro: 4 espacios
4) Atención Espacios Respiros: 91 atenciones
5) Orientación y asesoría psico jurídica: 
(714 atención jurídica y 661 atención psicosocial).	</t>
  </si>
  <si>
    <t xml:space="preserve">Durante el mes de octubre se programaron y realizaron 29 cursos de Formación Complementaria para mujeres cuidadoras, en "Herramientas para cuidadoras en el reconocimiento de su trabajo de cuidado" programa de 10 horas cuyos contenidos fueron elaborados por la Universidad Nacional de Colombia en la vigencia 2021 y a los que se accede a través del Aula Virtual de la Secretaría Distrital de la Mujer. Adicionalmente, en formación complementaria ofrecida por el Servicio Nacional de Aprendizaje con contenidos en Ofimática e Inglés, con duración de 40 horas e implementación por parte de tutores SENA con acompañamiento de las formadoras SDMujer.
El número total de cuidadoras graduadas en el mes de octubre fue de 496. La distribución por localidad de prestación del servicio expresa el siguiente comportamiento: Kennedy: 30; Suba: 28; San Cristóbal La Felicidad: 34; Puente Aranda: 20; Usaquén: 15; CB Manitas: 24; Rafael Uribe: 30; Engativá: 11; Los Mártires: 9; Teusaquillo: 29; CB Mochuelo: 34; Chapinero: 20; Tunjuelito: 26; Bosa: 36; Barrios Unidos: 27; Fontibón: 22; La Candelaria: 9; Santa Fé: 22 y Antonio Nariño: 8. Respecto de la dinámica de los buses, se logró en Bus del Cuidado Urbano: 36 y Bus del Cuidado Rural: 26.
En cuanto al proceso de Homologación de Saberes, se certificaron 87 cuidadoras certificadas en el mes de octubre. 
Lo anterior da como balance acumulado de 2.554 cuidadoras graduadas y en homologación de saberes, 471 certificadas (3.025 en total). 
</t>
  </si>
  <si>
    <t>Tener un documento que abarque la implementación de la Estrategia Pedagógica y de Cambio Cultural para la valoración, resignificación, reconocimiento y redistribución del trabajo de cuidado no remunerado que realizan las mujeres en Bogotá</t>
  </si>
  <si>
    <t>En el mes de octubre se implementaron 68 talleres de Cambio Cultural, a través de los cuales se vincularon 811 beneficiarias (acumulado 5.659) de la siguiente manera:
Nivel Distrital 37 personas;  Usaquén 27 personas; Chapinero 19 personas;  Santa Fe 44 personas;  San Cristobal 28 personas; Usme 90 personas; Tunjuelito 109 personas;  Bosa 50 personas;  Kennedy 96 personas;  Fontibón 4 personas;  Engativá 32 personas; Suba 59 personas; Barrios Unidos 12 personas; Teusaquillo 1 personas; Antonio Nariño 23 personas; Mártires 10 personas; Puente Aranda 27 personas;  La Candelaria 7 personas; Rafael Uribe Uribe 24 personas; Ciudad Bolívar 85 personas; y Sumapaz 27 personas.</t>
  </si>
  <si>
    <t>En el mes de octubre se beneficiaron 811 personas en los talleres de cambio cultural. 
Para el mes de octubre, se lograron realizar cinco talleres de amplificación con miembros de la Red de Alianzas del Cuidado: la Universidad Nacional Abierta y a Distancia (UNAD), la Universidad Nacional, un taller relacionado con ¿Cómo abordar el género? Dirigido para la organización Propace y aliados RAC, un taller para la Empresa de Telecomunicaciones de Bogotá y el Taller mensual virtual “ A Cuidar se Aprende”. Teniendo un alcance de 83 hombres y 110 mujeres. Adicionalmente se dió inicio a las acciones de seguimiento a la concreción de acciones de amplificación.  Se mantienen las ocho actas que cumplen con la totalidad de gestiones administrativas de vinculación a la RAC y se encuentran en gestión al interior de la entidad siete actas más.
Finalmente se realizó la Quinta Mesa de Trabajo de Transformación Cultural en la que se expusieron los resultados del taller para el fortalecimiento de la Mesa de Transformación Cultural y se solicitó el informe operativo de cada entidad parte de la Mesa.</t>
  </si>
  <si>
    <t xml:space="preserve">Al corte del mes de octubre se beneficiaron a 5.659 personas en los talleres de cambio cultural. Se hace la salvedad de que el reporte del mes de septiembre no tiene los filtros correspondientes realizados por el equipo de la Dirección de Gestión del conocimiento, sino que es el reporte directo de Simisional. 
A la fecha se establecieron acciones de socialización de la Red de Alianzas del cuidado con miembros de setenta y dos organizaciones organizaciones, de las cuales veintiocho son empresas del sector privado, siete son entidades del sector público, veinte son fundaciones, asociaciones, corporaciones y cooperativas y diecisiete son instituciones educativas.  Se cuenta con ocho  miembros activos que cumplieron con las gestiones administrativas de firma del Acta RAc y con ocho miembros que hacen parte de la estrategia Sello En Igualdad, se ha tenido impacto directo sobre 507 personas a través de talleres presenciales, virtuales y socializaciones.
Finalmente, se han organizado y ejecutado cinco Mesas de transformación cultural en el 2023.
</t>
  </si>
  <si>
    <t>En el mes de octubre se implementaron 68 talleres de Cambio Cultural, a través de los cuales se vincularon 811 beneficiarias</t>
  </si>
  <si>
    <t>Durante lo corrido del año, se han vinculado en talleres de cambio cultural a 5.659 beneficiarios.</t>
  </si>
  <si>
    <r>
      <t xml:space="preserve">Con la implementación del proceso de formación de la Estrategia Cuidado a Cuidadoras, en lo corrido de la vigencia 2023 se han desarrollado 186 cursos de formación complementaria graduando </t>
    </r>
    <r>
      <rPr>
        <b/>
        <sz val="11"/>
        <rFont val="Times New Roman"/>
        <family val="1"/>
      </rPr>
      <t>a 2.554</t>
    </r>
    <r>
      <rPr>
        <sz val="11"/>
        <rFont val="Times New Roman"/>
        <family val="1"/>
      </rPr>
      <t xml:space="preserve"> mujeres en "Herramientas para Cuidadoras en el Reconocimiento de su Trabajo de Cuidado" a través del Aula Virtual de la SDMujer y en Ofimática e Inglés a través de los procesos de Formación Complementaria implementados por los tutores/as SENA. En ambos casos, se cuenta con el apoyo de 20 formadoras en todas las localidades del Distrito Capital, quienes prestan su servicio en las Manzanas del Cuidado y Buses del Cuidado.
Respecto de los procesos de Homologación de Saberes, el acumulado de la vigencia 2023 es de 471 cuidadoras certificadas en el Distrito Capital a través de 19 grupos conformados, uno (1) en marzo, uno (1) en abril, cinco (5) en mayo, cuatro (4) en junio, dos (2) en julio, cuatro (4) en agosto, dos (2) en septiembre de 2023 y cinco (5) en octubre de 2023.
En el marco de los procesos realizados por el SIDICU en la vigencia referida al reporte, se han beneficiado del servicio de orientación y asesoría psico jurídica a 10.226 personas cuidadoras.
Respecto de los espacios respiro adelantados entre febrero y octubre de 2023, se ha logrado la realización de cincuenta y ocho (58) espacios respiro, con participación de trescientas sesenta y nueve (369) cuidadoras pertenecientes a la comunidad étnica Afro y Negra; ciento dieciocho (118) que hacen parte de los Pueblos Indígenas que integran el proceso 612 de 2015, ciento ochenta y siete (187) pertenecientes a la comunidad Raizal y doscientos noventa (290) pertenecientes al pueblo Gitano. Las atenciones registradas en el marco del desarrollo del Plan Integral de Acciones Afirmativas ascienden en acumulado a novecientas sesenta y cuatro (964).  
</t>
    </r>
  </si>
  <si>
    <t xml:space="preserve">Para el mes de octubre, el número total de cuidadoras graduadas fue de 496 y 
en cuanto al proceso de Homologación de Saberes, se certificaron 87 cuidadoras certificadas </t>
  </si>
  <si>
    <t>Durante lo corrido del año, se ha logrado que 2.554 cuidadoras se gradúen en cursos de formación complementaria. y en cuanto al proceso de Homologación de Saberes, se han certificado a 471 cuidadoras. En este sentido, el balance total es de 3.025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</si>
</sst>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1" formatCode="_-* #,##0_-;\-* #,##0_-;_-* &quot;-&quot;_-;_-@_-"/>
    <numFmt numFmtId="44" formatCode="_-&quot;$&quot;* #,##0.00_-;\-&quot;$&quot;* #,##0.00_-;_-&quot;$&quot;* &quot;-&quot;??_-;_-@_-"/>
    <numFmt numFmtId="164" formatCode="#,##0\ &quot;€&quot;;\-#,##0\ &quot;€&quot;"/>
    <numFmt numFmtId="165" formatCode="_-* #,##0\ &quot;€&quot;_-;\-* #,##0\ &quot;€&quot;_-;_-* &quot;-&quot;\ &quot;€&quot;_-;_-@_-"/>
    <numFmt numFmtId="166" formatCode="_-* #,##0.00\ &quot;€&quot;_-;\-* #,##0.00\ &quot;€&quot;_-;_-* &quot;-&quot;??\ &quot;€&quot;_-;_-@_-"/>
    <numFmt numFmtId="167" formatCode="_-* #,##0\ _€_-;\-* #,##0\ _€_-;_-* &quot;-&quot;\ _€_-;_-@_-"/>
    <numFmt numFmtId="168" formatCode="_-* #,##0.00\ _€_-;\-* #,##0.00\ _€_-;_-* &quot;-&quot;??\ _€_-;_-@_-"/>
    <numFmt numFmtId="169" formatCode="_(&quot;$&quot;\ * #,##0.00_);_(&quot;$&quot;\ * \(#,##0.00\);_(&quot;$&quot;\ * &quot;-&quot;??_);_(@_)"/>
    <numFmt numFmtId="170" formatCode="_ &quot;$&quot;\ * #,##0.00_ ;_ &quot;$&quot;\ * \-#,##0.00_ ;_ &quot;$&quot;\ * &quot;-&quot;??_ ;_ @_ "/>
    <numFmt numFmtId="171" formatCode="&quot;$&quot;\ #,##0"/>
    <numFmt numFmtId="172" formatCode="_-* #,##0\ _€_-;\-* #,##0\ _€_-;_-* &quot;-&quot;??\ _€_-;_-@_-"/>
    <numFmt numFmtId="173" formatCode="0.0%"/>
    <numFmt numFmtId="174" formatCode="[$$-240A]\ #,##0;[Red][$$-240A]\ #,##0"/>
    <numFmt numFmtId="175" formatCode="#,##0;[Red]#,##0"/>
    <numFmt numFmtId="176" formatCode="_-* #,##0_-;\-* #,##0_-;_-* &quot;-&quot;_-;_-@"/>
    <numFmt numFmtId="177" formatCode="_-* #,##0.00\ _€_-;\-* #,##0.00\ _€_-;_-* &quot;-&quot;\ _€_-;_-@"/>
    <numFmt numFmtId="178" formatCode="_-* #,##0\ _€_-;\-* #,##0\ _€_-;_-* &quot;-&quot;\ _€_-;_-@"/>
    <numFmt numFmtId="179" formatCode="#,##0_ ;\-#,##0\ "/>
    <numFmt numFmtId="180" formatCode="#,##0.0"/>
    <numFmt numFmtId="181" formatCode="0.000"/>
    <numFmt numFmtId="182" formatCode="0.00000"/>
    <numFmt numFmtId="183" formatCode="0.0000"/>
    <numFmt numFmtId="184" formatCode="#,##0.000"/>
    <numFmt numFmtId="185" formatCode="_-* #,##0_-;\-* #,##0_-;_-* &quot;-&quot;??_-;_-@_-"/>
  </numFmts>
  <fonts count="61" x14ac:knownFonts="1">
    <font>
      <sz val="11"/>
      <color theme="1"/>
      <name val="Calibri"/>
      <family val="2"/>
      <scheme val="minor"/>
    </font>
    <font>
      <sz val="11"/>
      <color indexed="8"/>
      <name val="Calibri"/>
      <family val="2"/>
    </font>
    <font>
      <sz val="10"/>
      <name val="Arial"/>
      <family val="2"/>
    </font>
    <font>
      <b/>
      <sz val="10"/>
      <name val="Times New Roman"/>
      <family val="1"/>
    </font>
    <font>
      <sz val="10"/>
      <name val="Times New Roman"/>
      <family val="1"/>
    </font>
    <font>
      <sz val="10"/>
      <name val="Arial Narrow"/>
      <family val="2"/>
    </font>
    <font>
      <sz val="10"/>
      <name val="Arial Narrow"/>
      <family val="2"/>
    </font>
    <font>
      <b/>
      <sz val="10"/>
      <color indexed="8"/>
      <name val="Tahoma"/>
      <family val="2"/>
    </font>
    <font>
      <sz val="10"/>
      <color indexed="8"/>
      <name val="Tahoma"/>
      <family val="2"/>
    </font>
    <font>
      <b/>
      <sz val="9"/>
      <color indexed="8"/>
      <name val="Tahoma"/>
      <family val="2"/>
    </font>
    <font>
      <sz val="9"/>
      <color indexed="8"/>
      <name val="Tahoma"/>
      <family val="2"/>
    </font>
    <font>
      <sz val="11"/>
      <name val="Times New Roman"/>
      <family val="1"/>
    </font>
    <font>
      <b/>
      <sz val="11"/>
      <name val="Times New Roman"/>
      <family val="1"/>
    </font>
    <font>
      <b/>
      <sz val="11"/>
      <color indexed="8"/>
      <name val="Times New Roman"/>
      <family val="1"/>
    </font>
    <font>
      <b/>
      <sz val="11"/>
      <color indexed="10"/>
      <name val="Times New Roman"/>
      <family val="1"/>
    </font>
    <font>
      <b/>
      <i/>
      <sz val="11"/>
      <name val="Times New Roman"/>
      <family val="1"/>
    </font>
    <font>
      <b/>
      <sz val="11"/>
      <name val="Arial Narrow"/>
      <family val="2"/>
    </font>
    <font>
      <sz val="11"/>
      <color indexed="8"/>
      <name val="Times New Roman"/>
      <family val="1"/>
    </font>
    <font>
      <i/>
      <sz val="11"/>
      <name val="Times New Roman"/>
      <family val="1"/>
    </font>
    <font>
      <b/>
      <sz val="12"/>
      <name val="Times New Roman"/>
      <family val="1"/>
    </font>
    <font>
      <sz val="11"/>
      <name val="Calibri"/>
      <family val="2"/>
    </font>
    <font>
      <sz val="9"/>
      <color indexed="81"/>
      <name val="Tahoma"/>
      <family val="2"/>
    </font>
    <font>
      <b/>
      <sz val="9"/>
      <color indexed="81"/>
      <name val="Tahoma"/>
      <family val="2"/>
    </font>
    <font>
      <sz val="10"/>
      <color indexed="81"/>
      <name val="Tahoma"/>
      <family val="2"/>
    </font>
    <font>
      <b/>
      <sz val="8"/>
      <name val="Times New Roman"/>
      <family val="1"/>
    </font>
    <font>
      <sz val="8"/>
      <name val="Times New Roman"/>
      <family val="1"/>
    </font>
    <font>
      <sz val="7"/>
      <name val="Times New Roman"/>
      <family val="1"/>
    </font>
    <font>
      <sz val="11"/>
      <color theme="1"/>
      <name val="Calibri"/>
      <family val="2"/>
      <scheme val="minor"/>
    </font>
    <font>
      <sz val="11"/>
      <color theme="0"/>
      <name val="Calibri"/>
      <family val="2"/>
      <scheme val="minor"/>
    </font>
    <font>
      <sz val="10"/>
      <color theme="1"/>
      <name val="Verdana"/>
      <family val="2"/>
    </font>
    <font>
      <sz val="11"/>
      <color theme="1"/>
      <name val="Calibri"/>
      <family val="2"/>
    </font>
    <font>
      <b/>
      <sz val="11"/>
      <color theme="0"/>
      <name val="Calibri"/>
      <family val="2"/>
      <scheme val="minor"/>
    </font>
    <font>
      <sz val="17"/>
      <color theme="0"/>
      <name val="Calibri"/>
      <family val="2"/>
      <scheme val="minor"/>
    </font>
    <font>
      <sz val="11"/>
      <color rgb="FF0B744D"/>
      <name val="Calibri"/>
      <family val="2"/>
      <scheme val="minor"/>
    </font>
    <font>
      <sz val="11"/>
      <name val="Calibri"/>
      <family val="2"/>
      <scheme val="minor"/>
    </font>
    <font>
      <b/>
      <sz val="10"/>
      <color theme="1"/>
      <name val="Verdana"/>
      <family val="2"/>
    </font>
    <font>
      <sz val="11"/>
      <color rgb="FF9C5700"/>
      <name val="Calibri"/>
      <family val="2"/>
      <scheme val="minor"/>
    </font>
    <font>
      <sz val="42"/>
      <color theme="0"/>
      <name val="Segoe UI"/>
      <family val="2"/>
      <charset val="1"/>
    </font>
    <font>
      <b/>
      <sz val="11"/>
      <color theme="1"/>
      <name val="Calibri"/>
      <family val="2"/>
      <scheme val="minor"/>
    </font>
    <font>
      <sz val="11"/>
      <color theme="1"/>
      <name val="Times New Roman"/>
      <family val="1"/>
    </font>
    <font>
      <sz val="11"/>
      <color rgb="FFFF0000"/>
      <name val="Times New Roman"/>
      <family val="1"/>
    </font>
    <font>
      <b/>
      <sz val="11"/>
      <color theme="1"/>
      <name val="Times New Roman"/>
      <family val="1"/>
    </font>
    <font>
      <b/>
      <sz val="11"/>
      <color rgb="FF000000"/>
      <name val="Times New Roman"/>
      <family val="1"/>
    </font>
    <font>
      <sz val="11"/>
      <color rgb="FF000000"/>
      <name val="Times New Roman"/>
      <family val="1"/>
    </font>
    <font>
      <b/>
      <sz val="11"/>
      <color theme="0" tint="-0.34998626667073579"/>
      <name val="Calibri"/>
      <family val="2"/>
      <scheme val="minor"/>
    </font>
    <font>
      <b/>
      <sz val="18"/>
      <color theme="0" tint="-0.34998626667073579"/>
      <name val="Calibri"/>
      <family val="2"/>
      <scheme val="minor"/>
    </font>
    <font>
      <b/>
      <sz val="12"/>
      <color theme="1"/>
      <name val="Times New Roman"/>
      <family val="1"/>
    </font>
    <font>
      <b/>
      <sz val="11"/>
      <color theme="0" tint="-0.34998626667073579"/>
      <name val="Times New Roman"/>
      <family val="1"/>
    </font>
    <font>
      <sz val="11"/>
      <color rgb="FFFFFFFF"/>
      <name val="Times New Roman"/>
      <family val="1"/>
    </font>
    <font>
      <sz val="11"/>
      <color rgb="FF000000"/>
      <name val="Calibri"/>
      <family val="2"/>
    </font>
    <font>
      <sz val="10"/>
      <color rgb="FF000000"/>
      <name val="Times New Roman"/>
      <family val="1"/>
    </font>
    <font>
      <sz val="12"/>
      <color rgb="FF000000"/>
      <name val="Times New Roman"/>
      <family val="1"/>
    </font>
    <font>
      <sz val="12"/>
      <name val="Times New Roman"/>
      <family val="1"/>
    </font>
    <font>
      <sz val="11"/>
      <color theme="1"/>
      <name val="Times New Roman"/>
      <family val="1"/>
    </font>
    <font>
      <sz val="11"/>
      <color rgb="FF000000"/>
      <name val="Times New Roman"/>
      <family val="1"/>
    </font>
    <font>
      <b/>
      <sz val="12"/>
      <color rgb="FF000000"/>
      <name val="Tahoma"/>
      <family val="2"/>
    </font>
    <font>
      <sz val="12"/>
      <color rgb="FF000000"/>
      <name val="Tahoma"/>
      <family val="2"/>
    </font>
    <font>
      <b/>
      <sz val="11"/>
      <color rgb="FF000000"/>
      <name val="Tahoma"/>
      <family val="2"/>
    </font>
    <font>
      <sz val="11"/>
      <color rgb="FF000000"/>
      <name val="Tahoma"/>
      <family val="2"/>
    </font>
    <font>
      <sz val="14"/>
      <color rgb="FF000000"/>
      <name val="Tahoma"/>
      <family val="2"/>
    </font>
    <font>
      <b/>
      <sz val="14"/>
      <color rgb="FF000000"/>
      <name val="Tahoma"/>
      <family val="2"/>
    </font>
  </fonts>
  <fills count="34">
    <fill>
      <patternFill patternType="none"/>
    </fill>
    <fill>
      <patternFill patternType="gray125"/>
    </fill>
    <fill>
      <patternFill patternType="solid">
        <fgColor indexed="9"/>
        <bgColor indexed="64"/>
      </patternFill>
    </fill>
    <fill>
      <patternFill patternType="solid">
        <fgColor theme="9" tint="0.79998168889431442"/>
        <bgColor indexed="65"/>
      </patternFill>
    </fill>
    <fill>
      <patternFill patternType="solid">
        <fgColor theme="9" tint="0.79998168889431442"/>
        <bgColor theme="9" tint="0.79998168889431442"/>
      </patternFill>
    </fill>
    <fill>
      <patternFill patternType="solid">
        <fgColor rgb="FF217346"/>
        <bgColor indexed="64"/>
      </patternFill>
    </fill>
    <fill>
      <patternFill patternType="solid">
        <fgColor theme="9"/>
      </patternFill>
    </fill>
    <fill>
      <patternFill patternType="solid">
        <fgColor rgb="FFDBE5F1"/>
        <bgColor indexed="64"/>
      </patternFill>
    </fill>
    <fill>
      <patternFill patternType="solid">
        <fgColor rgb="FFFFEB9C"/>
      </patternFill>
    </fill>
    <fill>
      <patternFill patternType="solid">
        <fgColor theme="7" tint="0.59999389629810485"/>
        <bgColor indexed="64"/>
      </patternFill>
    </fill>
    <fill>
      <patternFill patternType="solid">
        <fgColor theme="4" tint="0.59999389629810485"/>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3" tint="0.59999389629810485"/>
        <bgColor indexed="64"/>
      </patternFill>
    </fill>
    <fill>
      <patternFill patternType="solid">
        <fgColor theme="8" tint="0.59999389629810485"/>
        <bgColor indexed="64"/>
      </patternFill>
    </fill>
    <fill>
      <patternFill patternType="solid">
        <fgColor rgb="FF92D050"/>
        <bgColor indexed="64"/>
      </patternFill>
    </fill>
    <fill>
      <patternFill patternType="solid">
        <fgColor theme="0"/>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rgb="FFFFFFCC"/>
        <bgColor rgb="FFFFFFCC"/>
      </patternFill>
    </fill>
    <fill>
      <patternFill patternType="solid">
        <fgColor rgb="FFFF6699"/>
        <bgColor indexed="64"/>
      </patternFill>
    </fill>
    <fill>
      <patternFill patternType="solid">
        <fgColor rgb="FFC6D9F0"/>
        <bgColor rgb="FFC6D9F0"/>
      </patternFill>
    </fill>
    <fill>
      <patternFill patternType="solid">
        <fgColor rgb="FFFDE9D9"/>
        <bgColor rgb="FFFDE9D9"/>
      </patternFill>
    </fill>
    <fill>
      <patternFill patternType="solid">
        <fgColor rgb="FFF79646"/>
        <bgColor rgb="FFF79646"/>
      </patternFill>
    </fill>
    <fill>
      <patternFill patternType="solid">
        <fgColor rgb="FFFFFF00"/>
        <bgColor indexed="64"/>
      </patternFill>
    </fill>
    <fill>
      <patternFill patternType="solid">
        <fgColor rgb="FFCCC0DA"/>
        <bgColor rgb="FF000000"/>
      </patternFill>
    </fill>
    <fill>
      <patternFill patternType="solid">
        <fgColor rgb="FFFFFFFF"/>
        <bgColor rgb="FF000000"/>
      </patternFill>
    </fill>
    <fill>
      <patternFill patternType="solid">
        <fgColor rgb="FFD9D9D9"/>
        <bgColor rgb="FF000000"/>
      </patternFill>
    </fill>
    <fill>
      <patternFill patternType="solid">
        <fgColor rgb="FFDDDDDD"/>
        <bgColor rgb="FF000000"/>
      </patternFill>
    </fill>
    <fill>
      <patternFill patternType="solid">
        <fgColor theme="6" tint="0.79998168889431442"/>
        <bgColor indexed="64"/>
      </patternFill>
    </fill>
    <fill>
      <patternFill patternType="solid">
        <fgColor rgb="FFFFFF00"/>
        <bgColor rgb="FF000000"/>
      </patternFill>
    </fill>
  </fills>
  <borders count="1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bottom/>
      <diagonal/>
    </border>
    <border>
      <left style="medium">
        <color indexed="64"/>
      </left>
      <right style="thin">
        <color indexed="64"/>
      </right>
      <top/>
      <bottom style="medium">
        <color indexed="64"/>
      </bottom>
      <diagonal/>
    </border>
    <border>
      <left/>
      <right/>
      <top style="thin">
        <color theme="9" tint="0.39994506668294322"/>
      </top>
      <bottom style="thin">
        <color theme="9" tint="0.39994506668294322"/>
      </bottom>
      <diagonal/>
    </border>
    <border>
      <left/>
      <right style="thin">
        <color theme="9" tint="0.39991454817346722"/>
      </right>
      <top/>
      <bottom style="thin">
        <color theme="9" tint="0.39991454817346722"/>
      </bottom>
      <diagonal/>
    </border>
    <border>
      <left style="thin">
        <color theme="9" tint="0.39994506668294322"/>
      </left>
      <right/>
      <top/>
      <bottom style="thin">
        <color theme="9" tint="0.39991454817346722"/>
      </bottom>
      <diagonal/>
    </border>
    <border>
      <left style="medium">
        <color indexed="64"/>
      </left>
      <right style="medium">
        <color theme="0"/>
      </right>
      <top style="medium">
        <color indexed="64"/>
      </top>
      <bottom style="medium">
        <color theme="0"/>
      </bottom>
      <diagonal/>
    </border>
    <border>
      <left style="medium">
        <color theme="0"/>
      </left>
      <right/>
      <top style="medium">
        <color indexed="64"/>
      </top>
      <bottom style="medium">
        <color theme="0"/>
      </bottom>
      <diagonal/>
    </border>
    <border>
      <left style="medium">
        <color theme="0"/>
      </left>
      <right/>
      <top style="medium">
        <color indexed="64"/>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medium">
        <color theme="0"/>
      </left>
      <right/>
      <top style="medium">
        <color indexed="64"/>
      </top>
      <bottom style="medium">
        <color indexed="64"/>
      </bottom>
      <diagonal/>
    </border>
    <border>
      <left style="medium">
        <color theme="0"/>
      </left>
      <right/>
      <top/>
      <bottom style="medium">
        <color theme="0"/>
      </bottom>
      <diagonal/>
    </border>
    <border>
      <left style="medium">
        <color theme="0"/>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style="thin">
        <color rgb="FF000000"/>
      </top>
      <bottom style="thin">
        <color rgb="FF000000"/>
      </bottom>
      <diagonal/>
    </border>
    <border>
      <left/>
      <right style="thin">
        <color rgb="FF000000"/>
      </right>
      <top style="thin">
        <color indexed="64"/>
      </top>
      <bottom/>
      <diagonal/>
    </border>
    <border>
      <left/>
      <right style="thin">
        <color rgb="FF000000"/>
      </right>
      <top/>
      <bottom/>
      <diagonal/>
    </border>
    <border>
      <left style="thin">
        <color indexed="64"/>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indexed="64"/>
      </top>
      <bottom style="thin">
        <color indexed="64"/>
      </bottom>
      <diagonal/>
    </border>
    <border>
      <left style="thin">
        <color indexed="64"/>
      </left>
      <right style="thin">
        <color indexed="64"/>
      </right>
      <top/>
      <bottom style="thin">
        <color rgb="FF000000"/>
      </bottom>
      <diagonal/>
    </border>
    <border>
      <left style="thin">
        <color indexed="64"/>
      </left>
      <right style="thin">
        <color indexed="64"/>
      </right>
      <top style="thin">
        <color rgb="FF000000"/>
      </top>
      <bottom style="medium">
        <color rgb="FF000000"/>
      </bottom>
      <diagonal/>
    </border>
    <border>
      <left style="thin">
        <color indexed="64"/>
      </left>
      <right style="thin">
        <color indexed="64"/>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indexed="64"/>
      </left>
      <right style="thin">
        <color indexed="64"/>
      </right>
      <top style="thin">
        <color rgb="FF000000"/>
      </top>
      <bottom style="medium">
        <color rgb="FF000000"/>
      </bottom>
      <diagonal/>
    </border>
    <border>
      <left style="medium">
        <color indexed="64"/>
      </left>
      <right/>
      <top style="thin">
        <color rgb="FF000000"/>
      </top>
      <bottom style="medium">
        <color rgb="FF000000"/>
      </bottom>
      <diagonal/>
    </border>
    <border>
      <left style="medium">
        <color rgb="FF000000"/>
      </left>
      <right style="thin">
        <color indexed="64"/>
      </right>
      <top style="medium">
        <color rgb="FF000000"/>
      </top>
      <bottom style="medium">
        <color rgb="FF000000"/>
      </bottom>
      <diagonal/>
    </border>
    <border>
      <left style="thin">
        <color indexed="64"/>
      </left>
      <right style="medium">
        <color rgb="FF000000"/>
      </right>
      <top style="medium">
        <color rgb="FF000000"/>
      </top>
      <bottom style="medium">
        <color rgb="FF000000"/>
      </bottom>
      <diagonal/>
    </border>
    <border>
      <left/>
      <right style="thin">
        <color rgb="FF000000"/>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indexed="64"/>
      </top>
      <bottom/>
      <diagonal/>
    </border>
    <border>
      <left style="thin">
        <color indexed="64"/>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right style="medium">
        <color rgb="FF000000"/>
      </right>
      <top/>
      <bottom style="medium">
        <color rgb="FF000000"/>
      </bottom>
      <diagonal/>
    </border>
    <border>
      <left style="medium">
        <color indexed="64"/>
      </left>
      <right style="thin">
        <color rgb="FF000000"/>
      </right>
      <top style="thin">
        <color rgb="FF000000"/>
      </top>
      <bottom style="thin">
        <color rgb="FF000000"/>
      </bottom>
      <diagonal/>
    </border>
    <border>
      <left style="thin">
        <color rgb="FF000000"/>
      </left>
      <right/>
      <top/>
      <bottom/>
      <diagonal/>
    </border>
    <border>
      <left style="thin">
        <color rgb="FF000000"/>
      </left>
      <right style="medium">
        <color indexed="64"/>
      </right>
      <top style="thin">
        <color rgb="FF000000"/>
      </top>
      <bottom style="thin">
        <color rgb="FF000000"/>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diagonal/>
    </border>
  </borders>
  <cellStyleXfs count="34">
    <xf numFmtId="0" fontId="0" fillId="0" borderId="0"/>
    <xf numFmtId="0" fontId="27" fillId="3" borderId="68" applyNumberFormat="0" applyAlignment="0" applyProtection="0"/>
    <xf numFmtId="49" fontId="29" fillId="0" borderId="0" applyFill="0" applyBorder="0" applyProtection="0">
      <alignment horizontal="left" vertical="center"/>
    </xf>
    <xf numFmtId="0" fontId="30" fillId="4" borderId="69" applyNumberFormat="0" applyFont="0" applyFill="0" applyAlignment="0"/>
    <xf numFmtId="0" fontId="30" fillId="4" borderId="70" applyNumberFormat="0" applyFont="0" applyFill="0" applyAlignment="0"/>
    <xf numFmtId="0" fontId="32" fillId="5" borderId="0" applyNumberFormat="0" applyProtection="0">
      <alignment horizontal="left" wrapText="1" indent="4"/>
    </xf>
    <xf numFmtId="0" fontId="33" fillId="5" borderId="0" applyNumberFormat="0" applyProtection="0">
      <alignment horizontal="left" wrapText="1" indent="4"/>
    </xf>
    <xf numFmtId="0" fontId="31" fillId="6" borderId="0" applyNumberFormat="0" applyBorder="0" applyAlignment="0" applyProtection="0"/>
    <xf numFmtId="16" fontId="34" fillId="0" borderId="0" applyFont="0" applyFill="0" applyBorder="0" applyAlignment="0">
      <alignment horizontal="left"/>
    </xf>
    <xf numFmtId="0" fontId="35" fillId="7" borderId="0" applyNumberFormat="0" applyBorder="0" applyProtection="0">
      <alignment horizontal="center" vertical="center"/>
    </xf>
    <xf numFmtId="168" fontId="27" fillId="0" borderId="0" applyFont="0" applyFill="0" applyBorder="0" applyAlignment="0" applyProtection="0"/>
    <xf numFmtId="167" fontId="27" fillId="0" borderId="0" applyFont="0" applyFill="0" applyBorder="0" applyAlignment="0" applyProtection="0"/>
    <xf numFmtId="41" fontId="27" fillId="0" borderId="0" applyFont="0" applyFill="0" applyBorder="0" applyAlignment="0" applyProtection="0"/>
    <xf numFmtId="168" fontId="5" fillId="0" borderId="0" applyFont="0" applyFill="0" applyBorder="0" applyAlignment="0" applyProtection="0"/>
    <xf numFmtId="166" fontId="27" fillId="0" borderId="0" applyFont="0" applyFill="0" applyBorder="0" applyAlignment="0" applyProtection="0"/>
    <xf numFmtId="165" fontId="27" fillId="0" borderId="0" applyFont="0" applyFill="0" applyBorder="0" applyAlignment="0" applyProtection="0"/>
    <xf numFmtId="44" fontId="27" fillId="0" borderId="0" applyFont="0" applyFill="0" applyBorder="0" applyAlignment="0" applyProtection="0"/>
    <xf numFmtId="170" fontId="2" fillId="0" borderId="0" applyFont="0" applyFill="0" applyBorder="0" applyAlignment="0" applyProtection="0"/>
    <xf numFmtId="169" fontId="27" fillId="0" borderId="0" applyFont="0" applyFill="0" applyBorder="0" applyAlignment="0" applyProtection="0"/>
    <xf numFmtId="44" fontId="1" fillId="0" borderId="0" applyFont="0" applyFill="0" applyBorder="0" applyAlignment="0" applyProtection="0"/>
    <xf numFmtId="164" fontId="30" fillId="0" borderId="0" applyFont="0" applyFill="0" applyBorder="0" applyAlignment="0" applyProtection="0"/>
    <xf numFmtId="0" fontId="36" fillId="8" borderId="0" applyNumberFormat="0" applyBorder="0" applyAlignment="0" applyProtection="0"/>
    <xf numFmtId="0" fontId="2" fillId="0" borderId="0"/>
    <xf numFmtId="0" fontId="2" fillId="0" borderId="0"/>
    <xf numFmtId="0" fontId="30" fillId="0" borderId="0"/>
    <xf numFmtId="0" fontId="6" fillId="0" borderId="0"/>
    <xf numFmtId="0" fontId="5" fillId="0" borderId="0"/>
    <xf numFmtId="0" fontId="2" fillId="0" borderId="0"/>
    <xf numFmtId="9" fontId="27"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0" fontId="33" fillId="0" borderId="0" applyFill="0" applyBorder="0">
      <alignment wrapText="1"/>
    </xf>
    <xf numFmtId="0" fontId="28" fillId="0" borderId="0"/>
    <xf numFmtId="0" fontId="37" fillId="5" borderId="0" applyNumberFormat="0" applyBorder="0" applyProtection="0">
      <alignment horizontal="left" indent="1"/>
    </xf>
  </cellStyleXfs>
  <cellXfs count="963">
    <xf numFmtId="0" fontId="0" fillId="0" borderId="0" xfId="0"/>
    <xf numFmtId="9" fontId="4" fillId="9" borderId="1" xfId="28" applyFont="1" applyFill="1" applyBorder="1" applyAlignment="1" applyProtection="1">
      <alignment horizontal="center" vertical="center" wrapText="1"/>
      <protection locked="0"/>
    </xf>
    <xf numFmtId="9" fontId="3" fillId="0" borderId="2" xfId="22" applyNumberFormat="1" applyFont="1" applyBorder="1" applyAlignment="1">
      <alignment horizontal="center" vertical="center" wrapText="1"/>
    </xf>
    <xf numFmtId="175" fontId="27" fillId="0" borderId="0" xfId="14" applyNumberFormat="1" applyFont="1" applyBorder="1" applyAlignment="1">
      <alignment vertical="center"/>
    </xf>
    <xf numFmtId="0" fontId="0" fillId="0" borderId="3" xfId="0" applyBorder="1" applyAlignment="1">
      <alignment horizontal="center"/>
    </xf>
    <xf numFmtId="0" fontId="0" fillId="10" borderId="1" xfId="0" applyFill="1" applyBorder="1"/>
    <xf numFmtId="9" fontId="4" fillId="10" borderId="1" xfId="28" applyFont="1" applyFill="1" applyBorder="1" applyAlignment="1" applyProtection="1">
      <alignment horizontal="center" vertical="center" wrapText="1"/>
      <protection locked="0"/>
    </xf>
    <xf numFmtId="9" fontId="3" fillId="10" borderId="2" xfId="22" applyNumberFormat="1" applyFont="1" applyFill="1" applyBorder="1" applyAlignment="1">
      <alignment horizontal="center" vertical="center" wrapText="1"/>
    </xf>
    <xf numFmtId="0" fontId="0" fillId="11" borderId="1" xfId="0" applyFill="1" applyBorder="1"/>
    <xf numFmtId="0" fontId="0" fillId="12" borderId="1" xfId="0" applyFill="1" applyBorder="1"/>
    <xf numFmtId="9" fontId="4" fillId="12" borderId="1" xfId="28" applyFont="1" applyFill="1" applyBorder="1" applyAlignment="1" applyProtection="1">
      <alignment horizontal="center" vertical="center" wrapText="1"/>
      <protection locked="0"/>
    </xf>
    <xf numFmtId="9" fontId="3" fillId="12" borderId="2" xfId="22" applyNumberFormat="1" applyFont="1" applyFill="1" applyBorder="1" applyAlignment="1">
      <alignment horizontal="center" vertical="center" wrapText="1"/>
    </xf>
    <xf numFmtId="0" fontId="0" fillId="13" borderId="1" xfId="0" applyFill="1" applyBorder="1"/>
    <xf numFmtId="0" fontId="0" fillId="14" borderId="1" xfId="0" applyFill="1" applyBorder="1"/>
    <xf numFmtId="0" fontId="0" fillId="15" borderId="1" xfId="0" applyFill="1" applyBorder="1"/>
    <xf numFmtId="0" fontId="0" fillId="9" borderId="1" xfId="0" applyFill="1" applyBorder="1"/>
    <xf numFmtId="0" fontId="0" fillId="16" borderId="1" xfId="0" applyFill="1" applyBorder="1"/>
    <xf numFmtId="0" fontId="0" fillId="15" borderId="4" xfId="0" applyFill="1" applyBorder="1"/>
    <xf numFmtId="0" fontId="0" fillId="17" borderId="1" xfId="0" applyFill="1" applyBorder="1"/>
    <xf numFmtId="0" fontId="0" fillId="12" borderId="2" xfId="0" applyFill="1" applyBorder="1"/>
    <xf numFmtId="0" fontId="0" fillId="15" borderId="2" xfId="0" applyFill="1" applyBorder="1"/>
    <xf numFmtId="0" fontId="0" fillId="9" borderId="2" xfId="0" applyFill="1" applyBorder="1"/>
    <xf numFmtId="0" fontId="0" fillId="17" borderId="2" xfId="0" applyFill="1" applyBorder="1"/>
    <xf numFmtId="0" fontId="0" fillId="14" borderId="2" xfId="0" applyFill="1" applyBorder="1"/>
    <xf numFmtId="0" fontId="0" fillId="10" borderId="5" xfId="0" applyFill="1" applyBorder="1"/>
    <xf numFmtId="0" fontId="0" fillId="12" borderId="5" xfId="0" applyFill="1" applyBorder="1"/>
    <xf numFmtId="0" fontId="0" fillId="15" borderId="5" xfId="0" applyFill="1" applyBorder="1"/>
    <xf numFmtId="0" fontId="0" fillId="9" borderId="5" xfId="0" applyFill="1" applyBorder="1"/>
    <xf numFmtId="0" fontId="0" fillId="17" borderId="5" xfId="0" applyFill="1" applyBorder="1"/>
    <xf numFmtId="0" fontId="0" fillId="14" borderId="5" xfId="0" applyFill="1" applyBorder="1"/>
    <xf numFmtId="0" fontId="0" fillId="0" borderId="6" xfId="0" applyBorder="1" applyAlignment="1">
      <alignment horizontal="center"/>
    </xf>
    <xf numFmtId="0" fontId="0" fillId="0" borderId="7" xfId="0" applyBorder="1" applyAlignment="1">
      <alignment horizontal="center"/>
    </xf>
    <xf numFmtId="9" fontId="4" fillId="10" borderId="8" xfId="28" applyFont="1" applyFill="1" applyBorder="1" applyAlignment="1" applyProtection="1">
      <alignment horizontal="center" vertical="center" wrapText="1"/>
      <protection locked="0"/>
    </xf>
    <xf numFmtId="9" fontId="3" fillId="10" borderId="9" xfId="22" applyNumberFormat="1" applyFont="1" applyFill="1" applyBorder="1" applyAlignment="1">
      <alignment horizontal="center" vertical="center" wrapText="1"/>
    </xf>
    <xf numFmtId="9" fontId="3" fillId="12" borderId="8" xfId="22" applyNumberFormat="1" applyFont="1" applyFill="1" applyBorder="1" applyAlignment="1">
      <alignment horizontal="center" vertical="center" wrapText="1"/>
    </xf>
    <xf numFmtId="0" fontId="0" fillId="12" borderId="9" xfId="0" applyFill="1" applyBorder="1"/>
    <xf numFmtId="0" fontId="0" fillId="12" borderId="8" xfId="0" applyFill="1" applyBorder="1"/>
    <xf numFmtId="0" fontId="0" fillId="15" borderId="8" xfId="0" applyFill="1" applyBorder="1"/>
    <xf numFmtId="0" fontId="0" fillId="15" borderId="9" xfId="0" applyFill="1" applyBorder="1"/>
    <xf numFmtId="0" fontId="0" fillId="9" borderId="8" xfId="0" applyFill="1" applyBorder="1"/>
    <xf numFmtId="0" fontId="0" fillId="9" borderId="9" xfId="0" applyFill="1" applyBorder="1"/>
    <xf numFmtId="0" fontId="0" fillId="17" borderId="8" xfId="0" applyFill="1" applyBorder="1"/>
    <xf numFmtId="0" fontId="0" fillId="17" borderId="9" xfId="0" applyFill="1" applyBorder="1"/>
    <xf numFmtId="0" fontId="0" fillId="14" borderId="8" xfId="0" applyFill="1" applyBorder="1"/>
    <xf numFmtId="0" fontId="0" fillId="14" borderId="9" xfId="0" applyFill="1" applyBorder="1"/>
    <xf numFmtId="0" fontId="0" fillId="15" borderId="10" xfId="0" applyFill="1" applyBorder="1"/>
    <xf numFmtId="0" fontId="0" fillId="18" borderId="4" xfId="0" applyFill="1" applyBorder="1"/>
    <xf numFmtId="0" fontId="0" fillId="18" borderId="1" xfId="0" applyFill="1" applyBorder="1"/>
    <xf numFmtId="0" fontId="0" fillId="18" borderId="10" xfId="0" applyFill="1" applyBorder="1"/>
    <xf numFmtId="9" fontId="38" fillId="0" borderId="0" xfId="28" applyFont="1" applyBorder="1" applyAlignment="1">
      <alignment horizontal="center" vertical="center"/>
    </xf>
    <xf numFmtId="0" fontId="0" fillId="0" borderId="0" xfId="0" applyAlignment="1">
      <alignment vertical="center"/>
    </xf>
    <xf numFmtId="0" fontId="12" fillId="19" borderId="71" xfId="22" applyFont="1" applyFill="1" applyBorder="1" applyAlignment="1">
      <alignment vertical="center" wrapText="1"/>
    </xf>
    <xf numFmtId="0" fontId="12" fillId="19" borderId="72" xfId="22" applyFont="1" applyFill="1" applyBorder="1" applyAlignment="1">
      <alignment vertical="center" wrapText="1"/>
    </xf>
    <xf numFmtId="0" fontId="12" fillId="19" borderId="73" xfId="22" applyFont="1" applyFill="1" applyBorder="1" applyAlignment="1">
      <alignment vertical="center" wrapText="1"/>
    </xf>
    <xf numFmtId="0" fontId="12" fillId="19" borderId="0" xfId="22" applyFont="1" applyFill="1" applyAlignment="1">
      <alignment vertical="center" wrapText="1"/>
    </xf>
    <xf numFmtId="0" fontId="14" fillId="19" borderId="0" xfId="22" applyFont="1" applyFill="1" applyAlignment="1">
      <alignment vertical="center" wrapText="1"/>
    </xf>
    <xf numFmtId="0" fontId="12" fillId="19" borderId="11" xfId="22" applyFont="1" applyFill="1" applyBorder="1" applyAlignment="1">
      <alignment vertical="center" wrapText="1"/>
    </xf>
    <xf numFmtId="0" fontId="11" fillId="19" borderId="11" xfId="22" applyFont="1" applyFill="1" applyBorder="1" applyAlignment="1">
      <alignment vertical="center" wrapText="1"/>
    </xf>
    <xf numFmtId="0" fontId="11" fillId="19" borderId="12" xfId="22" applyFont="1" applyFill="1" applyBorder="1" applyAlignment="1">
      <alignment vertical="center" wrapText="1"/>
    </xf>
    <xf numFmtId="0" fontId="12" fillId="19" borderId="13" xfId="22" applyFont="1" applyFill="1" applyBorder="1" applyAlignment="1">
      <alignment vertical="center" wrapText="1"/>
    </xf>
    <xf numFmtId="0" fontId="11" fillId="19" borderId="0" xfId="22" applyFont="1" applyFill="1" applyAlignment="1">
      <alignment vertical="center" wrapText="1"/>
    </xf>
    <xf numFmtId="0" fontId="11" fillId="19" borderId="14" xfId="22" applyFont="1" applyFill="1" applyBorder="1" applyAlignment="1">
      <alignment vertical="center" wrapText="1"/>
    </xf>
    <xf numFmtId="0" fontId="0" fillId="0" borderId="74" xfId="0" applyBorder="1" applyAlignment="1">
      <alignment vertical="center"/>
    </xf>
    <xf numFmtId="0" fontId="0" fillId="0" borderId="75" xfId="0" applyBorder="1" applyAlignment="1">
      <alignment vertical="center"/>
    </xf>
    <xf numFmtId="0" fontId="0" fillId="0" borderId="76" xfId="0" applyBorder="1" applyAlignment="1">
      <alignment vertical="center"/>
    </xf>
    <xf numFmtId="0" fontId="12" fillId="0" borderId="0" xfId="22" applyFont="1" applyAlignment="1">
      <alignment horizontal="center" vertical="center" wrapText="1"/>
    </xf>
    <xf numFmtId="0" fontId="12" fillId="0" borderId="14" xfId="22" applyFont="1" applyBorder="1" applyAlignment="1">
      <alignment horizontal="center" vertical="center" wrapText="1"/>
    </xf>
    <xf numFmtId="0" fontId="12" fillId="19" borderId="13" xfId="22" applyFont="1" applyFill="1" applyBorder="1" applyAlignment="1">
      <alignment horizontal="center" vertical="center" wrapText="1"/>
    </xf>
    <xf numFmtId="0" fontId="12" fillId="19" borderId="77" xfId="22" applyFont="1" applyFill="1" applyBorder="1" applyAlignment="1">
      <alignment horizontal="center" vertical="center" wrapText="1"/>
    </xf>
    <xf numFmtId="0" fontId="15" fillId="19" borderId="0" xfId="22" applyFont="1" applyFill="1" applyAlignment="1">
      <alignment horizontal="center" vertical="center" wrapText="1"/>
    </xf>
    <xf numFmtId="0" fontId="12" fillId="19" borderId="0" xfId="22" applyFont="1" applyFill="1" applyAlignment="1">
      <alignment horizontal="center" vertical="center" wrapText="1"/>
    </xf>
    <xf numFmtId="0" fontId="15" fillId="0" borderId="0" xfId="22" applyFont="1" applyAlignment="1">
      <alignment horizontal="center" vertical="center" wrapText="1"/>
    </xf>
    <xf numFmtId="0" fontId="0" fillId="0" borderId="0" xfId="0" applyAlignment="1">
      <alignment horizontal="center" vertical="center" wrapText="1"/>
    </xf>
    <xf numFmtId="0" fontId="11" fillId="19" borderId="15" xfId="22" applyFont="1" applyFill="1" applyBorder="1" applyAlignment="1">
      <alignment vertical="center" wrapText="1"/>
    </xf>
    <xf numFmtId="0" fontId="11" fillId="19" borderId="16" xfId="22" applyFont="1" applyFill="1" applyBorder="1" applyAlignment="1">
      <alignment vertical="center" wrapText="1"/>
    </xf>
    <xf numFmtId="9" fontId="12" fillId="0" borderId="17" xfId="28" applyFont="1" applyFill="1" applyBorder="1" applyAlignment="1" applyProtection="1">
      <alignment horizontal="center" vertical="center" wrapText="1"/>
    </xf>
    <xf numFmtId="0" fontId="16" fillId="2" borderId="0" xfId="22" applyFont="1" applyFill="1" applyAlignment="1">
      <alignment vertical="center" wrapText="1"/>
    </xf>
    <xf numFmtId="0" fontId="39" fillId="19" borderId="13" xfId="0" applyFont="1" applyFill="1" applyBorder="1" applyAlignment="1">
      <alignment vertical="center"/>
    </xf>
    <xf numFmtId="0" fontId="39" fillId="19" borderId="0" xfId="0" applyFont="1" applyFill="1" applyAlignment="1">
      <alignment vertical="center"/>
    </xf>
    <xf numFmtId="0" fontId="39" fillId="19" borderId="14" xfId="0" applyFont="1" applyFill="1" applyBorder="1" applyAlignment="1">
      <alignment vertical="center"/>
    </xf>
    <xf numFmtId="0" fontId="12" fillId="19" borderId="0" xfId="22" applyFont="1" applyFill="1" applyAlignment="1">
      <alignment horizontal="left" vertical="center" wrapText="1"/>
    </xf>
    <xf numFmtId="0" fontId="0" fillId="19" borderId="0" xfId="0" applyFill="1" applyAlignment="1">
      <alignment vertical="center"/>
    </xf>
    <xf numFmtId="0" fontId="11" fillId="19" borderId="13" xfId="22" applyFont="1" applyFill="1" applyBorder="1" applyAlignment="1">
      <alignment vertical="center" wrapText="1"/>
    </xf>
    <xf numFmtId="175" fontId="0" fillId="0" borderId="0" xfId="0" applyNumberFormat="1" applyAlignment="1">
      <alignment vertical="center"/>
    </xf>
    <xf numFmtId="174" fontId="0" fillId="19" borderId="0" xfId="0" applyNumberFormat="1" applyFill="1" applyAlignment="1">
      <alignment vertical="center"/>
    </xf>
    <xf numFmtId="0" fontId="11" fillId="0" borderId="18" xfId="22" applyFont="1" applyBorder="1" applyAlignment="1">
      <alignment horizontal="left" vertical="center" wrapText="1"/>
    </xf>
    <xf numFmtId="167" fontId="12" fillId="0" borderId="10" xfId="11" applyFont="1" applyFill="1" applyBorder="1" applyAlignment="1" applyProtection="1">
      <alignment horizontal="center" vertical="center" wrapText="1"/>
    </xf>
    <xf numFmtId="165" fontId="27" fillId="0" borderId="0" xfId="15" applyFont="1" applyAlignment="1">
      <alignment vertical="center"/>
    </xf>
    <xf numFmtId="0" fontId="12" fillId="20" borderId="1" xfId="22" applyFont="1" applyFill="1" applyBorder="1" applyAlignment="1">
      <alignment horizontal="center" vertical="center" wrapText="1"/>
    </xf>
    <xf numFmtId="0" fontId="12" fillId="0" borderId="10" xfId="22" applyFont="1" applyBorder="1" applyAlignment="1">
      <alignment horizontal="center" vertical="center" wrapText="1"/>
    </xf>
    <xf numFmtId="0" fontId="12" fillId="0" borderId="4" xfId="22" applyFont="1" applyBorder="1" applyAlignment="1">
      <alignment horizontal="left" vertical="center" wrapText="1"/>
    </xf>
    <xf numFmtId="0" fontId="12" fillId="9" borderId="19" xfId="22" applyFont="1" applyFill="1" applyBorder="1" applyAlignment="1">
      <alignment horizontal="left" vertical="center" wrapText="1"/>
    </xf>
    <xf numFmtId="9" fontId="40" fillId="9" borderId="19" xfId="30" applyFont="1" applyFill="1" applyBorder="1" applyAlignment="1" applyProtection="1">
      <alignment vertical="center" wrapText="1"/>
    </xf>
    <xf numFmtId="173" fontId="12" fillId="9" borderId="19" xfId="28" applyNumberFormat="1" applyFont="1" applyFill="1" applyBorder="1" applyAlignment="1" applyProtection="1">
      <alignment vertical="center" wrapText="1"/>
    </xf>
    <xf numFmtId="165" fontId="38" fillId="0" borderId="0" xfId="15" applyFont="1" applyAlignment="1">
      <alignment vertical="center"/>
    </xf>
    <xf numFmtId="9" fontId="11" fillId="0" borderId="4" xfId="29" applyFont="1" applyFill="1" applyBorder="1" applyAlignment="1" applyProtection="1">
      <alignment horizontal="center" vertical="center" wrapText="1"/>
      <protection locked="0"/>
    </xf>
    <xf numFmtId="9" fontId="12" fillId="0" borderId="20" xfId="22" applyNumberFormat="1" applyFont="1" applyBorder="1" applyAlignment="1">
      <alignment horizontal="center" vertical="center" wrapText="1"/>
    </xf>
    <xf numFmtId="9" fontId="12" fillId="0" borderId="0" xfId="22" applyNumberFormat="1" applyFont="1" applyAlignment="1">
      <alignment vertical="center" wrapText="1"/>
    </xf>
    <xf numFmtId="0" fontId="38" fillId="0" borderId="0" xfId="0" applyFont="1" applyAlignment="1">
      <alignment vertical="center"/>
    </xf>
    <xf numFmtId="0" fontId="12" fillId="9" borderId="1" xfId="22" applyFont="1" applyFill="1" applyBorder="1" applyAlignment="1">
      <alignment horizontal="left" vertical="center" wrapText="1"/>
    </xf>
    <xf numFmtId="9" fontId="11" fillId="9" borderId="1" xfId="28" applyFont="1" applyFill="1" applyBorder="1" applyAlignment="1" applyProtection="1">
      <alignment horizontal="center" vertical="center" wrapText="1"/>
      <protection locked="0"/>
    </xf>
    <xf numFmtId="9" fontId="12" fillId="0" borderId="2" xfId="22" applyNumberFormat="1" applyFont="1" applyBorder="1" applyAlignment="1">
      <alignment horizontal="center" vertical="center" wrapText="1"/>
    </xf>
    <xf numFmtId="0" fontId="12" fillId="0" borderId="1" xfId="22" applyFont="1" applyBorder="1" applyAlignment="1">
      <alignment horizontal="left" vertical="center" wrapText="1"/>
    </xf>
    <xf numFmtId="9" fontId="11" fillId="0" borderId="1" xfId="29" applyFont="1" applyFill="1" applyBorder="1" applyAlignment="1" applyProtection="1">
      <alignment horizontal="center" vertical="center" wrapText="1"/>
      <protection locked="0"/>
    </xf>
    <xf numFmtId="9" fontId="11" fillId="9" borderId="2" xfId="28" applyFont="1" applyFill="1" applyBorder="1" applyAlignment="1" applyProtection="1">
      <alignment horizontal="center" vertical="center" wrapText="1"/>
      <protection locked="0"/>
    </xf>
    <xf numFmtId="9" fontId="11" fillId="9" borderId="19" xfId="28" applyFont="1" applyFill="1" applyBorder="1" applyAlignment="1" applyProtection="1">
      <alignment horizontal="center" vertical="center" wrapText="1"/>
      <protection locked="0"/>
    </xf>
    <xf numFmtId="9" fontId="11" fillId="9" borderId="21" xfId="28" applyFont="1" applyFill="1" applyBorder="1" applyAlignment="1" applyProtection="1">
      <alignment horizontal="center" vertical="center" wrapText="1"/>
      <protection locked="0"/>
    </xf>
    <xf numFmtId="9" fontId="12" fillId="0" borderId="21" xfId="22" applyNumberFormat="1" applyFont="1" applyBorder="1" applyAlignment="1">
      <alignment horizontal="center" vertical="center" wrapText="1"/>
    </xf>
    <xf numFmtId="0" fontId="39" fillId="0" borderId="0" xfId="0" applyFont="1" applyAlignment="1">
      <alignment vertical="center"/>
    </xf>
    <xf numFmtId="0" fontId="41" fillId="9" borderId="22" xfId="0" applyFont="1" applyFill="1" applyBorder="1" applyAlignment="1">
      <alignment vertical="center"/>
    </xf>
    <xf numFmtId="0" fontId="41" fillId="9" borderId="23" xfId="0" applyFont="1" applyFill="1" applyBorder="1" applyAlignment="1">
      <alignment vertical="center"/>
    </xf>
    <xf numFmtId="0" fontId="41" fillId="9" borderId="0" xfId="0" applyFont="1" applyFill="1" applyAlignment="1">
      <alignment vertical="center"/>
    </xf>
    <xf numFmtId="0" fontId="41" fillId="9" borderId="24" xfId="0" applyFont="1" applyFill="1" applyBorder="1" applyAlignment="1">
      <alignment vertical="center"/>
    </xf>
    <xf numFmtId="0" fontId="41" fillId="9" borderId="3" xfId="0" applyFont="1" applyFill="1" applyBorder="1" applyAlignment="1">
      <alignment vertical="center"/>
    </xf>
    <xf numFmtId="0" fontId="41" fillId="9" borderId="25" xfId="0" applyFont="1" applyFill="1" applyBorder="1" applyAlignment="1">
      <alignment vertical="center"/>
    </xf>
    <xf numFmtId="0" fontId="41" fillId="9" borderId="1" xfId="0" applyFont="1" applyFill="1" applyBorder="1" applyAlignment="1">
      <alignment horizontal="center" vertical="center" wrapText="1"/>
    </xf>
    <xf numFmtId="0" fontId="39" fillId="0" borderId="1" xfId="0" applyFont="1" applyBorder="1" applyAlignment="1">
      <alignment horizontal="center" vertical="center" wrapText="1"/>
    </xf>
    <xf numFmtId="0" fontId="39" fillId="0" borderId="1" xfId="0" applyFont="1" applyBorder="1" applyAlignment="1">
      <alignment vertical="center"/>
    </xf>
    <xf numFmtId="0" fontId="39" fillId="0" borderId="1" xfId="0" applyFont="1" applyBorder="1" applyAlignment="1">
      <alignment horizontal="center" vertical="center"/>
    </xf>
    <xf numFmtId="0" fontId="12" fillId="9" borderId="10" xfId="0" applyFont="1" applyFill="1" applyBorder="1" applyAlignment="1">
      <alignment horizontal="center" vertical="center" wrapText="1"/>
    </xf>
    <xf numFmtId="0" fontId="42" fillId="9" borderId="1" xfId="0" applyFont="1" applyFill="1" applyBorder="1" applyAlignment="1">
      <alignment horizontal="center" vertical="center"/>
    </xf>
    <xf numFmtId="0" fontId="39" fillId="0" borderId="0" xfId="0" applyFont="1" applyAlignment="1">
      <alignment horizontal="center" vertical="center"/>
    </xf>
    <xf numFmtId="0" fontId="43" fillId="0" borderId="1" xfId="0" applyFont="1" applyBorder="1" applyAlignment="1">
      <alignment vertical="center"/>
    </xf>
    <xf numFmtId="0" fontId="42" fillId="9" borderId="1" xfId="0" applyFont="1" applyFill="1" applyBorder="1" applyAlignment="1">
      <alignment horizontal="left" vertical="center"/>
    </xf>
    <xf numFmtId="0" fontId="39" fillId="0" borderId="1" xfId="0" applyFont="1" applyBorder="1" applyAlignment="1">
      <alignment horizontal="left" vertical="center"/>
    </xf>
    <xf numFmtId="0" fontId="39" fillId="0" borderId="2" xfId="0" applyFont="1" applyBorder="1" applyAlignment="1">
      <alignment horizontal="left" vertical="center"/>
    </xf>
    <xf numFmtId="41" fontId="39" fillId="0" borderId="1" xfId="12" applyFont="1" applyFill="1" applyBorder="1" applyAlignment="1">
      <alignment vertical="center"/>
    </xf>
    <xf numFmtId="0" fontId="43" fillId="0" borderId="0" xfId="0" applyFont="1" applyAlignment="1">
      <alignment vertical="center"/>
    </xf>
    <xf numFmtId="0" fontId="41" fillId="0" borderId="0" xfId="0" applyFont="1" applyAlignment="1">
      <alignment horizontal="left" vertical="center"/>
    </xf>
    <xf numFmtId="0" fontId="41" fillId="9" borderId="1" xfId="0" applyFont="1" applyFill="1" applyBorder="1" applyAlignment="1">
      <alignment vertical="center"/>
    </xf>
    <xf numFmtId="41" fontId="39" fillId="0" borderId="2" xfId="12" applyFont="1" applyFill="1" applyBorder="1" applyAlignment="1">
      <alignment vertical="center"/>
    </xf>
    <xf numFmtId="49" fontId="39" fillId="0" borderId="2" xfId="12" applyNumberFormat="1" applyFont="1" applyFill="1" applyBorder="1" applyAlignment="1">
      <alignment vertical="center"/>
    </xf>
    <xf numFmtId="49" fontId="39" fillId="0" borderId="1" xfId="12" applyNumberFormat="1" applyFont="1" applyFill="1" applyBorder="1" applyAlignment="1">
      <alignment vertical="center"/>
    </xf>
    <xf numFmtId="0" fontId="39" fillId="0" borderId="0" xfId="0" applyFont="1" applyAlignment="1">
      <alignment horizontal="left" vertical="center"/>
    </xf>
    <xf numFmtId="0" fontId="41" fillId="21" borderId="1" xfId="0" applyFont="1" applyFill="1" applyBorder="1" applyAlignment="1">
      <alignment horizontal="center" vertical="center"/>
    </xf>
    <xf numFmtId="0" fontId="39" fillId="0" borderId="4" xfId="0" applyFont="1" applyBorder="1" applyAlignment="1">
      <alignment horizontal="left" vertical="center" wrapText="1"/>
    </xf>
    <xf numFmtId="0" fontId="39" fillId="0" borderId="1" xfId="0" applyFont="1" applyBorder="1" applyAlignment="1">
      <alignment horizontal="left" vertical="center" wrapText="1"/>
    </xf>
    <xf numFmtId="0" fontId="39" fillId="0" borderId="1" xfId="0" applyFont="1" applyBorder="1" applyAlignment="1">
      <alignment vertical="center" wrapText="1"/>
    </xf>
    <xf numFmtId="0" fontId="41" fillId="0" borderId="1" xfId="0" applyFont="1" applyBorder="1" applyAlignment="1">
      <alignment vertical="center" wrapText="1"/>
    </xf>
    <xf numFmtId="0" fontId="11" fillId="19" borderId="1" xfId="0" applyFont="1" applyFill="1" applyBorder="1" applyAlignment="1">
      <alignment horizontal="left" vertical="center" wrapText="1"/>
    </xf>
    <xf numFmtId="0" fontId="41" fillId="0" borderId="10" xfId="0" applyFont="1" applyBorder="1" applyAlignment="1">
      <alignment horizontal="left" vertical="center" wrapText="1"/>
    </xf>
    <xf numFmtId="0" fontId="39" fillId="0" borderId="10" xfId="0" applyFont="1" applyBorder="1" applyAlignment="1">
      <alignment horizontal="left" vertical="center"/>
    </xf>
    <xf numFmtId="0" fontId="12" fillId="19" borderId="2" xfId="22" applyFont="1" applyFill="1" applyBorder="1" applyAlignment="1">
      <alignment horizontal="center" vertical="center" wrapText="1"/>
    </xf>
    <xf numFmtId="0" fontId="12" fillId="19" borderId="5" xfId="22" applyFont="1" applyFill="1" applyBorder="1" applyAlignment="1">
      <alignment horizontal="center" vertical="center" wrapText="1"/>
    </xf>
    <xf numFmtId="0" fontId="12" fillId="0" borderId="2" xfId="22" applyFont="1" applyBorder="1" applyAlignment="1">
      <alignment horizontal="center" vertical="center" wrapText="1"/>
    </xf>
    <xf numFmtId="0" fontId="12" fillId="0" borderId="26" xfId="22" applyFont="1" applyBorder="1" applyAlignment="1">
      <alignment horizontal="center" vertical="center" wrapText="1"/>
    </xf>
    <xf numFmtId="0" fontId="12" fillId="20" borderId="27" xfId="22" applyFont="1" applyFill="1" applyBorder="1" applyAlignment="1">
      <alignment horizontal="center" vertical="center" wrapText="1"/>
    </xf>
    <xf numFmtId="0" fontId="12" fillId="20" borderId="28" xfId="22" applyFont="1" applyFill="1" applyBorder="1" applyAlignment="1">
      <alignment horizontal="center" vertical="center" wrapText="1"/>
    </xf>
    <xf numFmtId="0" fontId="12" fillId="20" borderId="29" xfId="22" applyFont="1" applyFill="1" applyBorder="1" applyAlignment="1">
      <alignment horizontal="center" vertical="center" wrapText="1"/>
    </xf>
    <xf numFmtId="9" fontId="12" fillId="0" borderId="10" xfId="28" applyFont="1" applyFill="1" applyBorder="1" applyAlignment="1" applyProtection="1">
      <alignment horizontal="center" vertical="center" wrapText="1"/>
    </xf>
    <xf numFmtId="9" fontId="12" fillId="9" borderId="19" xfId="28" applyFont="1" applyFill="1" applyBorder="1" applyAlignment="1" applyProtection="1">
      <alignment horizontal="center" vertical="center" wrapText="1"/>
    </xf>
    <xf numFmtId="0" fontId="12" fillId="19" borderId="30" xfId="22" applyFont="1" applyFill="1" applyBorder="1" applyAlignment="1">
      <alignment horizontal="center" vertical="center" wrapText="1"/>
    </xf>
    <xf numFmtId="0" fontId="12" fillId="19" borderId="22" xfId="22" applyFont="1" applyFill="1" applyBorder="1" applyAlignment="1">
      <alignment horizontal="center" vertical="center" wrapText="1"/>
    </xf>
    <xf numFmtId="0" fontId="12" fillId="19" borderId="23" xfId="22" applyFont="1" applyFill="1" applyBorder="1" applyAlignment="1">
      <alignment horizontal="center" vertical="center" wrapText="1"/>
    </xf>
    <xf numFmtId="0" fontId="44" fillId="0" borderId="0" xfId="0" applyFont="1" applyAlignment="1">
      <alignment horizontal="center" vertical="center"/>
    </xf>
    <xf numFmtId="0" fontId="38" fillId="0" borderId="0" xfId="0" applyFont="1" applyAlignment="1">
      <alignment horizontal="center" vertical="center" wrapText="1"/>
    </xf>
    <xf numFmtId="0" fontId="0" fillId="0" borderId="0" xfId="0" applyAlignment="1">
      <alignment horizontal="center" vertical="center"/>
    </xf>
    <xf numFmtId="0" fontId="12" fillId="0" borderId="13" xfId="22" applyFont="1" applyBorder="1" applyAlignment="1">
      <alignment vertical="center" wrapText="1"/>
    </xf>
    <xf numFmtId="0" fontId="12" fillId="0" borderId="0" xfId="22" applyFont="1" applyAlignment="1">
      <alignment vertical="center" wrapText="1"/>
    </xf>
    <xf numFmtId="0" fontId="14" fillId="0" borderId="0" xfId="22" applyFont="1" applyAlignment="1">
      <alignment vertical="center" wrapText="1"/>
    </xf>
    <xf numFmtId="0" fontId="11" fillId="0" borderId="0" xfId="22" applyFont="1" applyAlignment="1">
      <alignment vertical="center" wrapText="1"/>
    </xf>
    <xf numFmtId="0" fontId="11" fillId="0" borderId="14" xfId="22" applyFont="1" applyBorder="1" applyAlignment="1">
      <alignment vertical="center" wrapText="1"/>
    </xf>
    <xf numFmtId="172" fontId="27" fillId="0" borderId="1" xfId="10" applyNumberFormat="1" applyFont="1" applyBorder="1" applyAlignment="1">
      <alignment vertical="center"/>
    </xf>
    <xf numFmtId="172" fontId="27" fillId="0" borderId="8" xfId="10" applyNumberFormat="1" applyFont="1" applyBorder="1" applyAlignment="1">
      <alignment vertical="center"/>
    </xf>
    <xf numFmtId="172" fontId="27" fillId="0" borderId="31" xfId="10" applyNumberFormat="1" applyFont="1" applyBorder="1" applyAlignment="1">
      <alignment vertical="center"/>
    </xf>
    <xf numFmtId="172" fontId="27" fillId="0" borderId="19" xfId="10" applyNumberFormat="1" applyFont="1" applyBorder="1" applyAlignment="1">
      <alignment vertical="center"/>
    </xf>
    <xf numFmtId="172" fontId="27" fillId="0" borderId="4" xfId="10" applyNumberFormat="1" applyFont="1" applyBorder="1" applyAlignment="1">
      <alignment vertical="center"/>
    </xf>
    <xf numFmtId="172" fontId="27" fillId="0" borderId="2" xfId="10" applyNumberFormat="1" applyFont="1" applyBorder="1" applyAlignment="1">
      <alignment vertical="center"/>
    </xf>
    <xf numFmtId="172" fontId="27" fillId="0" borderId="32" xfId="10" applyNumberFormat="1" applyFont="1" applyBorder="1" applyAlignment="1">
      <alignment vertical="center"/>
    </xf>
    <xf numFmtId="172" fontId="27" fillId="0" borderId="20" xfId="10" applyNumberFormat="1" applyFont="1" applyBorder="1" applyAlignment="1">
      <alignment vertical="center"/>
    </xf>
    <xf numFmtId="9" fontId="27" fillId="0" borderId="21" xfId="28" applyFont="1" applyBorder="1" applyAlignment="1">
      <alignment vertical="center"/>
    </xf>
    <xf numFmtId="9" fontId="27" fillId="0" borderId="9" xfId="28" applyFont="1" applyBorder="1" applyAlignment="1">
      <alignment vertical="center"/>
    </xf>
    <xf numFmtId="9" fontId="27" fillId="0" borderId="33" xfId="28" applyFont="1" applyBorder="1" applyAlignment="1">
      <alignment vertical="center"/>
    </xf>
    <xf numFmtId="9" fontId="27" fillId="0" borderId="34" xfId="28" applyFont="1" applyBorder="1" applyAlignment="1">
      <alignment vertical="center"/>
    </xf>
    <xf numFmtId="9" fontId="27" fillId="0" borderId="2" xfId="28" applyFont="1" applyBorder="1" applyAlignment="1">
      <alignment vertical="center"/>
    </xf>
    <xf numFmtId="9" fontId="39" fillId="0" borderId="0" xfId="28" applyFont="1" applyAlignment="1">
      <alignment vertical="center"/>
    </xf>
    <xf numFmtId="0" fontId="41" fillId="21" borderId="1" xfId="0" applyFont="1" applyFill="1" applyBorder="1" applyAlignment="1">
      <alignment horizontal="left" vertical="center"/>
    </xf>
    <xf numFmtId="0" fontId="41" fillId="0" borderId="1" xfId="0" applyFont="1" applyBorder="1" applyAlignment="1">
      <alignment horizontal="left" vertical="center"/>
    </xf>
    <xf numFmtId="0" fontId="41" fillId="0" borderId="1" xfId="0" applyFont="1" applyBorder="1" applyAlignment="1">
      <alignment horizontal="left" vertical="center" wrapText="1"/>
    </xf>
    <xf numFmtId="0" fontId="13" fillId="0" borderId="10" xfId="0" applyFont="1" applyBorder="1" applyAlignment="1">
      <alignment horizontal="left" vertical="center" wrapText="1"/>
    </xf>
    <xf numFmtId="0" fontId="12" fillId="19" borderId="78" xfId="22" applyFont="1" applyFill="1" applyBorder="1" applyAlignment="1">
      <alignment vertical="center" wrapText="1"/>
    </xf>
    <xf numFmtId="0" fontId="12" fillId="19" borderId="79" xfId="22" applyFont="1" applyFill="1" applyBorder="1" applyAlignment="1">
      <alignment vertical="center" wrapText="1"/>
    </xf>
    <xf numFmtId="0" fontId="11" fillId="19" borderId="36" xfId="22" applyFont="1" applyFill="1" applyBorder="1" applyAlignment="1">
      <alignment vertical="center" wrapText="1"/>
    </xf>
    <xf numFmtId="0" fontId="11" fillId="19" borderId="37" xfId="22" applyFont="1" applyFill="1" applyBorder="1" applyAlignment="1">
      <alignment vertical="center" wrapText="1"/>
    </xf>
    <xf numFmtId="172" fontId="27" fillId="0" borderId="1" xfId="10" applyNumberFormat="1" applyFont="1" applyFill="1" applyBorder="1" applyAlignment="1">
      <alignment vertical="center"/>
    </xf>
    <xf numFmtId="0" fontId="12" fillId="20" borderId="9" xfId="22" applyFont="1" applyFill="1" applyBorder="1" applyAlignment="1">
      <alignment horizontal="center" vertical="center" wrapText="1"/>
    </xf>
    <xf numFmtId="0" fontId="12" fillId="20" borderId="5" xfId="22" applyFont="1" applyFill="1" applyBorder="1" applyAlignment="1">
      <alignment horizontal="center" vertical="center" wrapText="1"/>
    </xf>
    <xf numFmtId="0" fontId="12" fillId="20" borderId="18" xfId="22" applyFont="1" applyFill="1" applyBorder="1" applyAlignment="1">
      <alignment horizontal="center" vertical="center" wrapText="1"/>
    </xf>
    <xf numFmtId="0" fontId="12" fillId="0" borderId="25" xfId="22" applyFont="1" applyBorder="1" applyAlignment="1">
      <alignment horizontal="left" vertical="center" wrapText="1"/>
    </xf>
    <xf numFmtId="0" fontId="12" fillId="9" borderId="5" xfId="22" applyFont="1" applyFill="1" applyBorder="1" applyAlignment="1">
      <alignment horizontal="left" vertical="center" wrapText="1"/>
    </xf>
    <xf numFmtId="0" fontId="12" fillId="0" borderId="5" xfId="22" applyFont="1" applyBorder="1" applyAlignment="1">
      <alignment horizontal="left" vertical="center" wrapText="1"/>
    </xf>
    <xf numFmtId="0" fontId="25" fillId="0" borderId="0" xfId="0" applyFont="1" applyAlignment="1">
      <alignment horizontal="justify" vertical="center" wrapText="1"/>
    </xf>
    <xf numFmtId="0" fontId="0" fillId="0" borderId="0" xfId="0" applyAlignment="1">
      <alignment horizontal="justify" vertical="center" wrapText="1"/>
    </xf>
    <xf numFmtId="0" fontId="24" fillId="22" borderId="80" xfId="0" applyFont="1" applyFill="1" applyBorder="1" applyAlignment="1">
      <alignment horizontal="center" vertical="center" wrapText="1"/>
    </xf>
    <xf numFmtId="0" fontId="24" fillId="0" borderId="80" xfId="0" applyFont="1" applyBorder="1" applyAlignment="1">
      <alignment horizontal="center" vertical="center" wrapText="1"/>
    </xf>
    <xf numFmtId="9" fontId="25" fillId="0" borderId="0" xfId="0" applyNumberFormat="1" applyFont="1" applyAlignment="1">
      <alignment horizontal="center" vertical="center"/>
    </xf>
    <xf numFmtId="181" fontId="24" fillId="23" borderId="0" xfId="0" applyNumberFormat="1" applyFont="1" applyFill="1" applyAlignment="1">
      <alignment horizontal="center" vertical="center"/>
    </xf>
    <xf numFmtId="0" fontId="39" fillId="0" borderId="0" xfId="0" applyFont="1" applyAlignment="1">
      <alignment horizontal="justify" vertical="center" wrapText="1"/>
    </xf>
    <xf numFmtId="181" fontId="25" fillId="0" borderId="0" xfId="0" applyNumberFormat="1" applyFont="1" applyAlignment="1">
      <alignment horizontal="justify" vertical="center" wrapText="1"/>
    </xf>
    <xf numFmtId="0" fontId="24" fillId="24" borderId="80" xfId="0" applyFont="1" applyFill="1" applyBorder="1" applyAlignment="1">
      <alignment horizontal="center" vertical="center" wrapText="1"/>
    </xf>
    <xf numFmtId="181" fontId="25" fillId="24" borderId="0" xfId="0" applyNumberFormat="1" applyFont="1" applyFill="1" applyAlignment="1">
      <alignment horizontal="center" vertical="center"/>
    </xf>
    <xf numFmtId="181" fontId="24" fillId="24" borderId="0" xfId="0" applyNumberFormat="1" applyFont="1" applyFill="1" applyAlignment="1">
      <alignment horizontal="center" vertical="center"/>
    </xf>
    <xf numFmtId="181" fontId="39" fillId="0" borderId="0" xfId="0" applyNumberFormat="1" applyFont="1" applyAlignment="1">
      <alignment horizontal="justify" vertical="center" wrapText="1"/>
    </xf>
    <xf numFmtId="0" fontId="24" fillId="24" borderId="81" xfId="0" applyFont="1" applyFill="1" applyBorder="1" applyAlignment="1">
      <alignment horizontal="center" vertical="center" wrapText="1"/>
    </xf>
    <xf numFmtId="9" fontId="26" fillId="0" borderId="0" xfId="0" applyNumberFormat="1" applyFont="1" applyAlignment="1">
      <alignment horizontal="justify" vertical="center" wrapText="1"/>
    </xf>
    <xf numFmtId="173" fontId="25" fillId="0" borderId="0" xfId="0" applyNumberFormat="1" applyFont="1" applyAlignment="1">
      <alignment horizontal="center" vertical="center" wrapText="1"/>
    </xf>
    <xf numFmtId="0" fontId="24" fillId="0" borderId="0" xfId="0" applyFont="1" applyAlignment="1">
      <alignment horizontal="center" vertical="center" wrapText="1"/>
    </xf>
    <xf numFmtId="181" fontId="24" fillId="0" borderId="0" xfId="0" applyNumberFormat="1" applyFont="1" applyAlignment="1">
      <alignment horizontal="center" vertical="center"/>
    </xf>
    <xf numFmtId="0" fontId="26" fillId="0" borderId="0" xfId="0" applyFont="1" applyAlignment="1">
      <alignment horizontal="justify" vertical="center" wrapText="1"/>
    </xf>
    <xf numFmtId="173" fontId="11" fillId="0" borderId="0" xfId="0" applyNumberFormat="1" applyFont="1" applyAlignment="1">
      <alignment vertical="center"/>
    </xf>
    <xf numFmtId="181" fontId="25" fillId="0" borderId="0" xfId="0" applyNumberFormat="1" applyFont="1" applyAlignment="1">
      <alignment horizontal="center" vertical="center"/>
    </xf>
    <xf numFmtId="0" fontId="25" fillId="0" borderId="0" xfId="0" applyFont="1" applyAlignment="1">
      <alignment horizontal="center" vertical="center"/>
    </xf>
    <xf numFmtId="0" fontId="25" fillId="25" borderId="0" xfId="0" applyFont="1" applyFill="1" applyAlignment="1">
      <alignment horizontal="center" vertical="center"/>
    </xf>
    <xf numFmtId="182" fontId="24" fillId="25" borderId="0" xfId="0" applyNumberFormat="1" applyFont="1" applyFill="1" applyAlignment="1">
      <alignment horizontal="center" vertical="center"/>
    </xf>
    <xf numFmtId="0" fontId="25" fillId="0" borderId="0" xfId="0" applyFont="1" applyAlignment="1">
      <alignment vertical="center"/>
    </xf>
    <xf numFmtId="0" fontId="24" fillId="26" borderId="0" xfId="0" applyFont="1" applyFill="1" applyAlignment="1">
      <alignment vertical="center"/>
    </xf>
    <xf numFmtId="183" fontId="25" fillId="26" borderId="0" xfId="0" applyNumberFormat="1" applyFont="1" applyFill="1" applyAlignment="1">
      <alignment horizontal="center" vertical="center"/>
    </xf>
    <xf numFmtId="181" fontId="25" fillId="26" borderId="0" xfId="0" applyNumberFormat="1" applyFont="1" applyFill="1" applyAlignment="1">
      <alignment horizontal="center" vertical="center"/>
    </xf>
    <xf numFmtId="0" fontId="4" fillId="0" borderId="0" xfId="0" applyFont="1" applyAlignment="1">
      <alignment horizontal="justify" vertical="center" wrapText="1"/>
    </xf>
    <xf numFmtId="0" fontId="4" fillId="0" borderId="0" xfId="0" applyFont="1" applyAlignment="1">
      <alignment vertical="center"/>
    </xf>
    <xf numFmtId="4" fontId="12" fillId="0" borderId="35" xfId="28" applyNumberFormat="1" applyFont="1" applyFill="1" applyBorder="1" applyAlignment="1" applyProtection="1">
      <alignment horizontal="center" vertical="center" wrapText="1"/>
    </xf>
    <xf numFmtId="4" fontId="12" fillId="9" borderId="19" xfId="28" applyNumberFormat="1" applyFont="1" applyFill="1" applyBorder="1" applyAlignment="1" applyProtection="1">
      <alignment horizontal="center" vertical="center" wrapText="1"/>
    </xf>
    <xf numFmtId="4" fontId="12" fillId="9" borderId="33" xfId="28" applyNumberFormat="1" applyFont="1" applyFill="1" applyBorder="1" applyAlignment="1" applyProtection="1">
      <alignment horizontal="center" vertical="center" wrapText="1"/>
    </xf>
    <xf numFmtId="9" fontId="12" fillId="0" borderId="34" xfId="22" applyNumberFormat="1" applyFont="1" applyBorder="1" applyAlignment="1">
      <alignment horizontal="center" vertical="center" wrapText="1"/>
    </xf>
    <xf numFmtId="9" fontId="12" fillId="0" borderId="9" xfId="22" applyNumberFormat="1" applyFont="1" applyBorder="1" applyAlignment="1">
      <alignment horizontal="center" vertical="center" wrapText="1"/>
    </xf>
    <xf numFmtId="9" fontId="12" fillId="0" borderId="33" xfId="22" applyNumberFormat="1" applyFont="1" applyBorder="1" applyAlignment="1">
      <alignment horizontal="center" vertical="center" wrapText="1"/>
    </xf>
    <xf numFmtId="0" fontId="12" fillId="20" borderId="19" xfId="22" applyFont="1" applyFill="1" applyBorder="1" applyAlignment="1">
      <alignment horizontal="center" vertical="center" wrapText="1"/>
    </xf>
    <xf numFmtId="0" fontId="12" fillId="20" borderId="33" xfId="22" applyFont="1" applyFill="1" applyBorder="1" applyAlignment="1">
      <alignment horizontal="center" vertical="center" wrapText="1"/>
    </xf>
    <xf numFmtId="4" fontId="12" fillId="9" borderId="39" xfId="28" applyNumberFormat="1" applyFont="1" applyFill="1" applyBorder="1" applyAlignment="1" applyProtection="1">
      <alignment horizontal="center" vertical="center" wrapText="1"/>
    </xf>
    <xf numFmtId="0" fontId="12" fillId="9" borderId="33" xfId="22" applyFont="1" applyFill="1" applyBorder="1" applyAlignment="1">
      <alignment horizontal="left" vertical="center" wrapText="1"/>
    </xf>
    <xf numFmtId="4" fontId="12" fillId="0" borderId="25" xfId="28" applyNumberFormat="1" applyFont="1" applyFill="1" applyBorder="1" applyAlignment="1" applyProtection="1">
      <alignment horizontal="center" vertical="center" wrapText="1"/>
    </xf>
    <xf numFmtId="4" fontId="12" fillId="0" borderId="4" xfId="28" applyNumberFormat="1" applyFont="1" applyFill="1" applyBorder="1" applyAlignment="1" applyProtection="1">
      <alignment horizontal="center" vertical="center" wrapText="1"/>
    </xf>
    <xf numFmtId="0" fontId="12" fillId="20" borderId="39" xfId="22" applyFont="1" applyFill="1" applyBorder="1" applyAlignment="1">
      <alignment horizontal="center" vertical="center" wrapText="1"/>
    </xf>
    <xf numFmtId="0" fontId="12" fillId="0" borderId="39" xfId="22" applyFont="1" applyBorder="1" applyAlignment="1">
      <alignment horizontal="left" vertical="center" wrapText="1"/>
    </xf>
    <xf numFmtId="0" fontId="12" fillId="9" borderId="42" xfId="22" applyFont="1" applyFill="1" applyBorder="1" applyAlignment="1">
      <alignment horizontal="left" vertical="center" wrapText="1"/>
    </xf>
    <xf numFmtId="0" fontId="12" fillId="0" borderId="9" xfId="22" applyFont="1" applyBorder="1" applyAlignment="1">
      <alignment horizontal="left" vertical="center" wrapText="1"/>
    </xf>
    <xf numFmtId="4" fontId="12" fillId="0" borderId="24" xfId="28" applyNumberFormat="1" applyFont="1" applyFill="1" applyBorder="1" applyAlignment="1" applyProtection="1">
      <alignment horizontal="center" vertical="center" wrapText="1"/>
    </xf>
    <xf numFmtId="0" fontId="41" fillId="0" borderId="1" xfId="0" applyFont="1" applyBorder="1" applyAlignment="1">
      <alignment horizontal="center" vertical="center"/>
    </xf>
    <xf numFmtId="0" fontId="12" fillId="9" borderId="39" xfId="22" applyFont="1" applyFill="1" applyBorder="1" applyAlignment="1">
      <alignment horizontal="left" vertical="center" wrapText="1"/>
    </xf>
    <xf numFmtId="3" fontId="12" fillId="0" borderId="25" xfId="28" applyNumberFormat="1" applyFont="1" applyFill="1" applyBorder="1" applyAlignment="1" applyProtection="1">
      <alignment horizontal="center" vertical="center" wrapText="1"/>
    </xf>
    <xf numFmtId="3" fontId="12" fillId="0" borderId="4" xfId="28" applyNumberFormat="1" applyFont="1" applyFill="1" applyBorder="1" applyAlignment="1" applyProtection="1">
      <alignment horizontal="center" vertical="center" wrapText="1"/>
    </xf>
    <xf numFmtId="0" fontId="17" fillId="0" borderId="1" xfId="0" applyFont="1" applyBorder="1" applyAlignment="1">
      <alignment horizontal="center" vertical="center" wrapText="1"/>
    </xf>
    <xf numFmtId="0" fontId="11" fillId="28" borderId="5" xfId="0" applyFont="1" applyFill="1" applyBorder="1" applyAlignment="1">
      <alignment wrapText="1"/>
    </xf>
    <xf numFmtId="0" fontId="11" fillId="28" borderId="41" xfId="0" applyFont="1" applyFill="1" applyBorder="1" applyAlignment="1">
      <alignment wrapText="1"/>
    </xf>
    <xf numFmtId="0" fontId="12" fillId="28" borderId="5" xfId="0" applyFont="1" applyFill="1" applyBorder="1" applyAlignment="1">
      <alignment horizontal="center" vertical="center" wrapText="1"/>
    </xf>
    <xf numFmtId="9" fontId="11" fillId="28" borderId="5" xfId="0" applyNumberFormat="1" applyFont="1" applyFill="1" applyBorder="1" applyAlignment="1">
      <alignment horizontal="center" vertical="center" wrapText="1"/>
    </xf>
    <xf numFmtId="0" fontId="12" fillId="0" borderId="25" xfId="0" applyFont="1" applyBorder="1" applyAlignment="1">
      <alignment horizontal="center" vertical="center" wrapText="1"/>
    </xf>
    <xf numFmtId="9" fontId="11" fillId="29" borderId="25" xfId="0" applyNumberFormat="1" applyFont="1" applyFill="1" applyBorder="1" applyAlignment="1">
      <alignment horizontal="center" vertical="center" wrapText="1"/>
    </xf>
    <xf numFmtId="0" fontId="12" fillId="28" borderId="42" xfId="0" applyFont="1" applyFill="1" applyBorder="1" applyAlignment="1">
      <alignment horizontal="center" vertical="center" wrapText="1"/>
    </xf>
    <xf numFmtId="9" fontId="11" fillId="28" borderId="42" xfId="0" applyNumberFormat="1" applyFont="1" applyFill="1" applyBorder="1" applyAlignment="1">
      <alignment horizontal="center" vertical="center" wrapText="1"/>
    </xf>
    <xf numFmtId="173" fontId="11" fillId="29" borderId="25" xfId="0" applyNumberFormat="1" applyFont="1" applyFill="1" applyBorder="1" applyAlignment="1">
      <alignment horizontal="center" vertical="center" wrapText="1"/>
    </xf>
    <xf numFmtId="173" fontId="11" fillId="28" borderId="4" xfId="0" applyNumberFormat="1" applyFont="1" applyFill="1" applyBorder="1" applyAlignment="1">
      <alignment horizontal="center" vertical="center" wrapText="1"/>
    </xf>
    <xf numFmtId="173" fontId="11" fillId="28" borderId="25" xfId="0" applyNumberFormat="1" applyFont="1" applyFill="1" applyBorder="1" applyAlignment="1">
      <alignment horizontal="center" vertical="center" wrapText="1"/>
    </xf>
    <xf numFmtId="173" fontId="11" fillId="28" borderId="40" xfId="0" applyNumberFormat="1" applyFont="1" applyFill="1" applyBorder="1" applyAlignment="1">
      <alignment horizontal="center" vertical="center" wrapText="1"/>
    </xf>
    <xf numFmtId="173" fontId="11" fillId="28" borderId="42" xfId="0" applyNumberFormat="1" applyFont="1" applyFill="1" applyBorder="1" applyAlignment="1">
      <alignment horizontal="center" vertical="center" wrapText="1"/>
    </xf>
    <xf numFmtId="9" fontId="11" fillId="0" borderId="52" xfId="0" applyNumberFormat="1" applyFont="1" applyBorder="1" applyAlignment="1">
      <alignment horizontal="center" vertical="center" wrapText="1"/>
    </xf>
    <xf numFmtId="9" fontId="11" fillId="0" borderId="51" xfId="0" applyNumberFormat="1" applyFont="1" applyBorder="1" applyAlignment="1">
      <alignment horizontal="center" vertical="center" wrapText="1"/>
    </xf>
    <xf numFmtId="9" fontId="11" fillId="28" borderId="4" xfId="0" applyNumberFormat="1" applyFont="1" applyFill="1" applyBorder="1" applyAlignment="1">
      <alignment horizontal="center" vertical="center" wrapText="1"/>
    </xf>
    <xf numFmtId="9" fontId="11" fillId="28" borderId="25" xfId="0" applyNumberFormat="1" applyFont="1" applyFill="1" applyBorder="1" applyAlignment="1">
      <alignment horizontal="center" vertical="center" wrapText="1"/>
    </xf>
    <xf numFmtId="9" fontId="11" fillId="0" borderId="4" xfId="0" applyNumberFormat="1" applyFont="1" applyBorder="1" applyAlignment="1">
      <alignment horizontal="center" vertical="center" wrapText="1"/>
    </xf>
    <xf numFmtId="9" fontId="11" fillId="0" borderId="25" xfId="0" applyNumberFormat="1" applyFont="1" applyBorder="1" applyAlignment="1">
      <alignment horizontal="center" vertical="center" wrapText="1"/>
    </xf>
    <xf numFmtId="9" fontId="43" fillId="28" borderId="25" xfId="0" applyNumberFormat="1" applyFont="1" applyFill="1" applyBorder="1" applyAlignment="1">
      <alignment horizontal="center" vertical="center" wrapText="1"/>
    </xf>
    <xf numFmtId="9" fontId="11" fillId="28" borderId="40" xfId="0" applyNumberFormat="1" applyFont="1" applyFill="1" applyBorder="1" applyAlignment="1">
      <alignment horizontal="center" vertical="center" wrapText="1"/>
    </xf>
    <xf numFmtId="9" fontId="11" fillId="29" borderId="52" xfId="0" applyNumberFormat="1" applyFont="1" applyFill="1" applyBorder="1" applyAlignment="1">
      <alignment horizontal="center" vertical="center" wrapText="1"/>
    </xf>
    <xf numFmtId="9" fontId="11" fillId="29" borderId="4" xfId="0" applyNumberFormat="1" applyFont="1" applyFill="1" applyBorder="1" applyAlignment="1">
      <alignment horizontal="center" vertical="center" wrapText="1"/>
    </xf>
    <xf numFmtId="173" fontId="11" fillId="29" borderId="52" xfId="0" applyNumberFormat="1" applyFont="1" applyFill="1" applyBorder="1" applyAlignment="1">
      <alignment horizontal="center" vertical="center" wrapText="1"/>
    </xf>
    <xf numFmtId="173" fontId="11" fillId="29" borderId="51" xfId="0" applyNumberFormat="1" applyFont="1" applyFill="1" applyBorder="1" applyAlignment="1">
      <alignment horizontal="center" vertical="center" wrapText="1"/>
    </xf>
    <xf numFmtId="173" fontId="43" fillId="29" borderId="51" xfId="0" applyNumberFormat="1" applyFont="1" applyFill="1" applyBorder="1" applyAlignment="1">
      <alignment horizontal="center" vertical="center" wrapText="1"/>
    </xf>
    <xf numFmtId="173" fontId="11" fillId="29" borderId="4" xfId="0" applyNumberFormat="1" applyFont="1" applyFill="1" applyBorder="1" applyAlignment="1">
      <alignment horizontal="center" vertical="center" wrapText="1"/>
    </xf>
    <xf numFmtId="173" fontId="43" fillId="29" borderId="25" xfId="0" applyNumberFormat="1" applyFont="1" applyFill="1" applyBorder="1" applyAlignment="1">
      <alignment horizontal="center" vertical="center" wrapText="1"/>
    </xf>
    <xf numFmtId="9" fontId="11" fillId="29" borderId="51" xfId="0" applyNumberFormat="1" applyFont="1" applyFill="1" applyBorder="1" applyAlignment="1">
      <alignment horizontal="center" vertical="center" wrapText="1"/>
    </xf>
    <xf numFmtId="9" fontId="43" fillId="29" borderId="25" xfId="0" applyNumberFormat="1" applyFont="1" applyFill="1" applyBorder="1" applyAlignment="1">
      <alignment horizontal="center" vertical="center" wrapText="1"/>
    </xf>
    <xf numFmtId="0" fontId="43" fillId="0" borderId="0" xfId="0" applyFont="1"/>
    <xf numFmtId="0" fontId="48" fillId="0" borderId="0" xfId="0" applyFont="1"/>
    <xf numFmtId="0" fontId="12" fillId="28" borderId="19" xfId="0" applyFont="1" applyFill="1" applyBorder="1" applyAlignment="1">
      <alignment horizontal="center" vertical="center" wrapText="1"/>
    </xf>
    <xf numFmtId="0" fontId="12" fillId="28" borderId="39" xfId="0" applyFont="1" applyFill="1" applyBorder="1" applyAlignment="1">
      <alignment horizontal="center" vertical="center" wrapText="1"/>
    </xf>
    <xf numFmtId="0" fontId="12" fillId="28" borderId="23" xfId="0" applyFont="1" applyFill="1" applyBorder="1" applyAlignment="1">
      <alignment horizontal="center" vertical="center" wrapText="1"/>
    </xf>
    <xf numFmtId="0" fontId="12" fillId="20" borderId="61" xfId="22" applyFont="1" applyFill="1" applyBorder="1" applyAlignment="1">
      <alignment horizontal="center" vertical="center" wrapText="1"/>
    </xf>
    <xf numFmtId="0" fontId="12" fillId="28" borderId="4" xfId="0" applyFont="1" applyFill="1" applyBorder="1" applyAlignment="1">
      <alignment wrapText="1"/>
    </xf>
    <xf numFmtId="0" fontId="12" fillId="28" borderId="59" xfId="0" applyFont="1" applyFill="1" applyBorder="1" applyAlignment="1">
      <alignment wrapText="1"/>
    </xf>
    <xf numFmtId="0" fontId="43" fillId="29" borderId="0" xfId="0" applyFont="1" applyFill="1"/>
    <xf numFmtId="0" fontId="12" fillId="28" borderId="2" xfId="0" applyFont="1" applyFill="1" applyBorder="1" applyAlignment="1">
      <alignment wrapText="1"/>
    </xf>
    <xf numFmtId="0" fontId="12" fillId="28" borderId="24" xfId="0" applyFont="1" applyFill="1" applyBorder="1" applyAlignment="1">
      <alignment wrapText="1"/>
    </xf>
    <xf numFmtId="0" fontId="3" fillId="28" borderId="24" xfId="0" applyFont="1" applyFill="1" applyBorder="1" applyAlignment="1">
      <alignment wrapText="1"/>
    </xf>
    <xf numFmtId="0" fontId="3" fillId="28" borderId="25" xfId="0" applyFont="1" applyFill="1" applyBorder="1" applyAlignment="1">
      <alignment wrapText="1"/>
    </xf>
    <xf numFmtId="0" fontId="43" fillId="0" borderId="4" xfId="0" applyFont="1" applyBorder="1"/>
    <xf numFmtId="0" fontId="43" fillId="0" borderId="5" xfId="0" applyFont="1" applyBorder="1"/>
    <xf numFmtId="0" fontId="43" fillId="29" borderId="5" xfId="0" applyFont="1" applyFill="1" applyBorder="1"/>
    <xf numFmtId="0" fontId="43" fillId="30" borderId="5" xfId="0" applyFont="1" applyFill="1" applyBorder="1"/>
    <xf numFmtId="0" fontId="42" fillId="31" borderId="5" xfId="0" applyFont="1" applyFill="1" applyBorder="1"/>
    <xf numFmtId="0" fontId="42" fillId="0" borderId="5" xfId="0" applyFont="1" applyBorder="1"/>
    <xf numFmtId="0" fontId="42" fillId="0" borderId="25" xfId="0" applyFont="1" applyBorder="1"/>
    <xf numFmtId="0" fontId="42" fillId="0" borderId="5" xfId="0" applyFont="1" applyBorder="1" applyAlignment="1">
      <alignment wrapText="1"/>
    </xf>
    <xf numFmtId="0" fontId="43" fillId="0" borderId="25" xfId="0" applyFont="1" applyBorder="1"/>
    <xf numFmtId="0" fontId="43" fillId="29" borderId="25" xfId="0" applyFont="1" applyFill="1" applyBorder="1"/>
    <xf numFmtId="0" fontId="43" fillId="30" borderId="25" xfId="0" applyFont="1" applyFill="1" applyBorder="1"/>
    <xf numFmtId="0" fontId="42" fillId="31" borderId="25" xfId="0" applyFont="1" applyFill="1" applyBorder="1"/>
    <xf numFmtId="0" fontId="42" fillId="31" borderId="4" xfId="0" applyFont="1" applyFill="1" applyBorder="1"/>
    <xf numFmtId="0" fontId="42" fillId="30" borderId="25" xfId="0" applyFont="1" applyFill="1" applyBorder="1"/>
    <xf numFmtId="0" fontId="12" fillId="28" borderId="1" xfId="0" applyFont="1" applyFill="1" applyBorder="1" applyAlignment="1">
      <alignment wrapText="1"/>
    </xf>
    <xf numFmtId="0" fontId="49" fillId="0" borderId="39" xfId="0" applyFont="1" applyBorder="1"/>
    <xf numFmtId="172" fontId="27" fillId="0" borderId="96" xfId="10" applyNumberFormat="1" applyFont="1" applyBorder="1" applyAlignment="1">
      <alignment vertical="center"/>
    </xf>
    <xf numFmtId="172" fontId="27" fillId="0" borderId="18" xfId="10" applyNumberFormat="1" applyFont="1" applyBorder="1" applyAlignment="1">
      <alignment vertical="center"/>
    </xf>
    <xf numFmtId="172" fontId="27" fillId="0" borderId="10" xfId="10" applyNumberFormat="1" applyFont="1" applyBorder="1" applyAlignment="1">
      <alignment vertical="center"/>
    </xf>
    <xf numFmtId="0" fontId="49" fillId="0" borderId="1" xfId="0" applyFont="1" applyBorder="1"/>
    <xf numFmtId="172" fontId="27" fillId="0" borderId="80" xfId="10" applyNumberFormat="1" applyFont="1" applyBorder="1" applyAlignment="1">
      <alignment vertical="center"/>
    </xf>
    <xf numFmtId="172" fontId="27" fillId="0" borderId="58" xfId="10" applyNumberFormat="1" applyFont="1" applyBorder="1" applyAlignment="1">
      <alignment vertical="center"/>
    </xf>
    <xf numFmtId="172" fontId="27" fillId="0" borderId="5" xfId="10" applyNumberFormat="1" applyFont="1" applyBorder="1" applyAlignment="1">
      <alignment vertical="center"/>
    </xf>
    <xf numFmtId="172" fontId="27" fillId="0" borderId="97" xfId="10" applyNumberFormat="1" applyFont="1" applyBorder="1" applyAlignment="1">
      <alignment vertical="center"/>
    </xf>
    <xf numFmtId="172" fontId="27" fillId="0" borderId="6" xfId="10" applyNumberFormat="1" applyFont="1" applyBorder="1" applyAlignment="1">
      <alignment vertical="center"/>
    </xf>
    <xf numFmtId="172" fontId="27" fillId="0" borderId="35" xfId="10" applyNumberFormat="1" applyFont="1" applyBorder="1" applyAlignment="1">
      <alignment vertical="center"/>
    </xf>
    <xf numFmtId="172" fontId="27" fillId="0" borderId="98" xfId="10" applyNumberFormat="1" applyFont="1" applyBorder="1" applyAlignment="1">
      <alignment vertical="center"/>
    </xf>
    <xf numFmtId="172" fontId="27" fillId="0" borderId="99" xfId="10" applyNumberFormat="1" applyFont="1" applyBorder="1" applyAlignment="1">
      <alignment vertical="center"/>
    </xf>
    <xf numFmtId="172" fontId="27" fillId="0" borderId="100" xfId="10" applyNumberFormat="1" applyFont="1" applyBorder="1" applyAlignment="1">
      <alignment vertical="center"/>
    </xf>
    <xf numFmtId="172" fontId="27" fillId="0" borderId="103" xfId="10" applyNumberFormat="1" applyFont="1" applyBorder="1" applyAlignment="1">
      <alignment vertical="center"/>
    </xf>
    <xf numFmtId="172" fontId="27" fillId="0" borderId="104" xfId="10" applyNumberFormat="1" applyFont="1" applyBorder="1" applyAlignment="1">
      <alignment vertical="center"/>
    </xf>
    <xf numFmtId="172" fontId="27" fillId="0" borderId="39" xfId="10" applyNumberFormat="1" applyFont="1" applyBorder="1" applyAlignment="1">
      <alignment vertical="center"/>
    </xf>
    <xf numFmtId="172" fontId="27" fillId="0" borderId="25" xfId="10" applyNumberFormat="1" applyFont="1" applyBorder="1" applyAlignment="1">
      <alignment vertical="center"/>
    </xf>
    <xf numFmtId="172" fontId="27" fillId="0" borderId="81" xfId="10" applyNumberFormat="1" applyFont="1" applyBorder="1" applyAlignment="1">
      <alignment vertical="center"/>
    </xf>
    <xf numFmtId="9" fontId="27" fillId="0" borderId="31" xfId="10" applyNumberFormat="1" applyFont="1" applyBorder="1" applyAlignment="1">
      <alignment vertical="center"/>
    </xf>
    <xf numFmtId="9" fontId="11" fillId="32" borderId="5" xfId="0" applyNumberFormat="1" applyFont="1" applyFill="1" applyBorder="1" applyAlignment="1">
      <alignment horizontal="center" vertical="center" wrapText="1"/>
    </xf>
    <xf numFmtId="173" fontId="11" fillId="32" borderId="42" xfId="0" applyNumberFormat="1" applyFont="1" applyFill="1" applyBorder="1" applyAlignment="1">
      <alignment horizontal="center" vertical="center" wrapText="1"/>
    </xf>
    <xf numFmtId="10" fontId="11" fillId="29" borderId="52" xfId="0" applyNumberFormat="1" applyFont="1" applyFill="1" applyBorder="1" applyAlignment="1">
      <alignment horizontal="center" vertical="center" wrapText="1"/>
    </xf>
    <xf numFmtId="10" fontId="11" fillId="29" borderId="51" xfId="0" applyNumberFormat="1" applyFont="1" applyFill="1" applyBorder="1" applyAlignment="1">
      <alignment horizontal="center" vertical="center" wrapText="1"/>
    </xf>
    <xf numFmtId="10" fontId="11" fillId="28" borderId="4" xfId="0" applyNumberFormat="1" applyFont="1" applyFill="1" applyBorder="1" applyAlignment="1">
      <alignment horizontal="center" vertical="center" wrapText="1"/>
    </xf>
    <xf numFmtId="10" fontId="11" fillId="28" borderId="25" xfId="0" applyNumberFormat="1" applyFont="1" applyFill="1" applyBorder="1" applyAlignment="1">
      <alignment horizontal="center" vertical="center" wrapText="1"/>
    </xf>
    <xf numFmtId="173" fontId="12" fillId="0" borderId="34" xfId="22" applyNumberFormat="1" applyFont="1" applyBorder="1" applyAlignment="1">
      <alignment horizontal="center" vertical="center" wrapText="1"/>
    </xf>
    <xf numFmtId="173" fontId="12" fillId="0" borderId="9" xfId="22" applyNumberFormat="1" applyFont="1" applyBorder="1" applyAlignment="1">
      <alignment horizontal="center" vertical="center" wrapText="1"/>
    </xf>
    <xf numFmtId="173" fontId="11" fillId="32" borderId="25" xfId="0" applyNumberFormat="1" applyFont="1" applyFill="1" applyBorder="1" applyAlignment="1">
      <alignment horizontal="center" vertical="center" wrapText="1"/>
    </xf>
    <xf numFmtId="10" fontId="11" fillId="29" borderId="4" xfId="0" applyNumberFormat="1" applyFont="1" applyFill="1" applyBorder="1" applyAlignment="1">
      <alignment horizontal="center" vertical="center" wrapText="1"/>
    </xf>
    <xf numFmtId="10" fontId="11" fillId="29" borderId="25" xfId="0" applyNumberFormat="1" applyFont="1" applyFill="1" applyBorder="1" applyAlignment="1">
      <alignment horizontal="center" vertical="center" wrapText="1"/>
    </xf>
    <xf numFmtId="10" fontId="43" fillId="29" borderId="25" xfId="0" applyNumberFormat="1" applyFont="1" applyFill="1" applyBorder="1" applyAlignment="1">
      <alignment horizontal="center" vertical="center" wrapText="1"/>
    </xf>
    <xf numFmtId="10" fontId="11" fillId="28" borderId="40" xfId="0" applyNumberFormat="1" applyFont="1" applyFill="1" applyBorder="1" applyAlignment="1">
      <alignment horizontal="center" vertical="center" wrapText="1"/>
    </xf>
    <xf numFmtId="10" fontId="11" fillId="28" borderId="42" xfId="0" applyNumberFormat="1" applyFont="1" applyFill="1" applyBorder="1" applyAlignment="1">
      <alignment horizontal="center" vertical="center" wrapText="1"/>
    </xf>
    <xf numFmtId="173" fontId="12" fillId="0" borderId="33" xfId="22" applyNumberFormat="1" applyFont="1" applyBorder="1" applyAlignment="1">
      <alignment horizontal="center" vertical="center" wrapText="1"/>
    </xf>
    <xf numFmtId="10" fontId="12" fillId="0" borderId="41" xfId="22" applyNumberFormat="1" applyFont="1" applyBorder="1" applyAlignment="1">
      <alignment horizontal="center" vertical="center" wrapText="1"/>
    </xf>
    <xf numFmtId="9" fontId="0" fillId="0" borderId="0" xfId="0" applyNumberFormat="1" applyAlignment="1">
      <alignment vertical="center"/>
    </xf>
    <xf numFmtId="173" fontId="0" fillId="0" borderId="0" xfId="0" applyNumberFormat="1" applyAlignment="1">
      <alignment vertical="center"/>
    </xf>
    <xf numFmtId="10" fontId="11" fillId="32" borderId="40" xfId="0" applyNumberFormat="1" applyFont="1" applyFill="1" applyBorder="1" applyAlignment="1">
      <alignment horizontal="center" vertical="center" wrapText="1"/>
    </xf>
    <xf numFmtId="9" fontId="11" fillId="32" borderId="42" xfId="0" applyNumberFormat="1" applyFont="1" applyFill="1" applyBorder="1" applyAlignment="1">
      <alignment horizontal="center" vertical="center" wrapText="1"/>
    </xf>
    <xf numFmtId="10" fontId="11" fillId="32" borderId="25" xfId="0" applyNumberFormat="1" applyFont="1" applyFill="1" applyBorder="1" applyAlignment="1">
      <alignment horizontal="center" vertical="center" wrapText="1"/>
    </xf>
    <xf numFmtId="0" fontId="43" fillId="19" borderId="5" xfId="0" applyFont="1" applyFill="1" applyBorder="1"/>
    <xf numFmtId="0" fontId="43" fillId="19" borderId="25" xfId="0" applyFont="1" applyFill="1" applyBorder="1"/>
    <xf numFmtId="173" fontId="11" fillId="19" borderId="25" xfId="29" applyNumberFormat="1" applyFont="1" applyFill="1" applyBorder="1" applyAlignment="1" applyProtection="1">
      <alignment horizontal="center" vertical="center" wrapText="1"/>
      <protection locked="0"/>
    </xf>
    <xf numFmtId="173" fontId="11" fillId="19" borderId="4" xfId="29" applyNumberFormat="1" applyFont="1" applyFill="1" applyBorder="1" applyAlignment="1" applyProtection="1">
      <alignment horizontal="center" vertical="center" wrapText="1"/>
      <protection locked="0"/>
    </xf>
    <xf numFmtId="173" fontId="12" fillId="28" borderId="39" xfId="0" applyNumberFormat="1" applyFont="1" applyFill="1" applyBorder="1" applyAlignment="1">
      <alignment horizontal="center" vertical="center" wrapText="1"/>
    </xf>
    <xf numFmtId="173" fontId="11" fillId="28" borderId="39" xfId="0" applyNumberFormat="1" applyFont="1" applyFill="1" applyBorder="1" applyAlignment="1">
      <alignment horizontal="center" vertical="center" wrapText="1"/>
    </xf>
    <xf numFmtId="173" fontId="11" fillId="32" borderId="39" xfId="0" applyNumberFormat="1" applyFont="1" applyFill="1" applyBorder="1" applyAlignment="1">
      <alignment horizontal="center" vertical="center" wrapText="1"/>
    </xf>
    <xf numFmtId="173" fontId="11" fillId="28" borderId="41" xfId="0" applyNumberFormat="1" applyFont="1" applyFill="1" applyBorder="1" applyAlignment="1">
      <alignment horizontal="center" vertical="center" wrapText="1"/>
    </xf>
    <xf numFmtId="9" fontId="41" fillId="9" borderId="1" xfId="28" applyFont="1" applyFill="1" applyBorder="1" applyAlignment="1">
      <alignment vertical="center" wrapText="1"/>
    </xf>
    <xf numFmtId="9" fontId="39" fillId="0" borderId="0" xfId="0" applyNumberFormat="1" applyFont="1" applyAlignment="1">
      <alignment vertical="center"/>
    </xf>
    <xf numFmtId="9" fontId="11" fillId="32" borderId="25" xfId="0" applyNumberFormat="1" applyFont="1" applyFill="1" applyBorder="1" applyAlignment="1">
      <alignment horizontal="center" vertical="center" wrapText="1"/>
    </xf>
    <xf numFmtId="3" fontId="49" fillId="0" borderId="0" xfId="0" applyNumberFormat="1" applyFont="1"/>
    <xf numFmtId="9" fontId="11" fillId="32" borderId="1" xfId="28" applyFont="1" applyFill="1" applyBorder="1" applyAlignment="1" applyProtection="1">
      <alignment horizontal="center" vertical="center" wrapText="1"/>
      <protection locked="0"/>
    </xf>
    <xf numFmtId="9" fontId="11" fillId="32" borderId="2" xfId="28" applyFont="1" applyFill="1" applyBorder="1" applyAlignment="1" applyProtection="1">
      <alignment horizontal="center" vertical="center" wrapText="1"/>
      <protection locked="0"/>
    </xf>
    <xf numFmtId="9" fontId="11" fillId="32" borderId="21" xfId="28" applyFont="1" applyFill="1" applyBorder="1" applyAlignment="1" applyProtection="1">
      <alignment horizontal="center" vertical="center" wrapText="1"/>
      <protection locked="0"/>
    </xf>
    <xf numFmtId="0" fontId="12" fillId="0" borderId="61" xfId="22" applyFont="1" applyBorder="1" applyAlignment="1">
      <alignment horizontal="center" vertical="center" wrapText="1"/>
    </xf>
    <xf numFmtId="0" fontId="12" fillId="20" borderId="23" xfId="22" applyFont="1" applyFill="1" applyBorder="1" applyAlignment="1">
      <alignment horizontal="center" vertical="center" wrapText="1"/>
    </xf>
    <xf numFmtId="0" fontId="12" fillId="0" borderId="52" xfId="22" applyFont="1" applyBorder="1" applyAlignment="1">
      <alignment horizontal="left" vertical="center" wrapText="1"/>
    </xf>
    <xf numFmtId="0" fontId="12" fillId="0" borderId="113" xfId="22" applyFont="1" applyBorder="1" applyAlignment="1">
      <alignment horizontal="center" vertical="center" wrapText="1"/>
    </xf>
    <xf numFmtId="0" fontId="43" fillId="28" borderId="19" xfId="0" applyFont="1" applyFill="1" applyBorder="1" applyAlignment="1">
      <alignment horizontal="center" vertical="center" wrapText="1"/>
    </xf>
    <xf numFmtId="0" fontId="43" fillId="28" borderId="39" xfId="0" applyFont="1" applyFill="1" applyBorder="1" applyAlignment="1">
      <alignment horizontal="center" vertical="center" wrapText="1"/>
    </xf>
    <xf numFmtId="173" fontId="12" fillId="9" borderId="21" xfId="28" applyNumberFormat="1" applyFont="1" applyFill="1" applyBorder="1" applyAlignment="1" applyProtection="1">
      <alignment vertical="center" wrapText="1"/>
    </xf>
    <xf numFmtId="185" fontId="12" fillId="9" borderId="21" xfId="28" applyNumberFormat="1" applyFont="1" applyFill="1" applyBorder="1" applyAlignment="1" applyProtection="1">
      <alignment horizontal="center" vertical="center" wrapText="1"/>
    </xf>
    <xf numFmtId="0" fontId="12" fillId="20" borderId="10" xfId="22" applyFont="1" applyFill="1" applyBorder="1" applyAlignment="1">
      <alignment horizontal="center" vertical="center" wrapText="1"/>
    </xf>
    <xf numFmtId="0" fontId="12" fillId="0" borderId="51" xfId="22" applyFont="1" applyBorder="1" applyAlignment="1">
      <alignment horizontal="left" vertical="center" wrapText="1"/>
    </xf>
    <xf numFmtId="9" fontId="11" fillId="0" borderId="52" xfId="29" applyFont="1" applyFill="1" applyBorder="1" applyAlignment="1" applyProtection="1">
      <alignment horizontal="center" vertical="center" wrapText="1"/>
      <protection locked="0"/>
    </xf>
    <xf numFmtId="9" fontId="12" fillId="0" borderId="47" xfId="22" applyNumberFormat="1" applyFont="1" applyBorder="1" applyAlignment="1">
      <alignment horizontal="center" vertical="center" wrapText="1"/>
    </xf>
    <xf numFmtId="9" fontId="39" fillId="19" borderId="52" xfId="29" applyFont="1" applyFill="1" applyBorder="1" applyAlignment="1" applyProtection="1">
      <alignment horizontal="center" vertical="center" wrapText="1"/>
      <protection locked="0"/>
    </xf>
    <xf numFmtId="9" fontId="11" fillId="19" borderId="52" xfId="29" applyFont="1" applyFill="1" applyBorder="1" applyAlignment="1" applyProtection="1">
      <alignment horizontal="center" vertical="center" wrapText="1"/>
      <protection locked="0"/>
    </xf>
    <xf numFmtId="173" fontId="12" fillId="0" borderId="53" xfId="22" applyNumberFormat="1" applyFont="1" applyBorder="1" applyAlignment="1">
      <alignment horizontal="center" vertical="center" wrapText="1"/>
    </xf>
    <xf numFmtId="10" fontId="12" fillId="0" borderId="9" xfId="22" applyNumberFormat="1" applyFont="1" applyBorder="1" applyAlignment="1">
      <alignment horizontal="center" vertical="center" wrapText="1"/>
    </xf>
    <xf numFmtId="0" fontId="12" fillId="28" borderId="22" xfId="0" applyFont="1" applyFill="1" applyBorder="1" applyAlignment="1">
      <alignment horizontal="center" vertical="center" wrapText="1"/>
    </xf>
    <xf numFmtId="172" fontId="27" fillId="0" borderId="4" xfId="10" applyNumberFormat="1" applyFont="1" applyFill="1" applyBorder="1" applyAlignment="1">
      <alignment vertical="center"/>
    </xf>
    <xf numFmtId="0" fontId="42" fillId="33" borderId="25" xfId="0" applyFont="1" applyFill="1" applyBorder="1"/>
    <xf numFmtId="0" fontId="43" fillId="33" borderId="25" xfId="0" applyFont="1" applyFill="1" applyBorder="1"/>
    <xf numFmtId="0" fontId="12" fillId="28" borderId="65" xfId="0" applyFont="1" applyFill="1" applyBorder="1" applyAlignment="1">
      <alignment horizontal="center" vertical="center" wrapText="1"/>
    </xf>
    <xf numFmtId="0" fontId="12" fillId="20" borderId="115" xfId="22" applyFont="1" applyFill="1" applyBorder="1" applyAlignment="1">
      <alignment horizontal="center" vertical="center" wrapText="1"/>
    </xf>
    <xf numFmtId="4" fontId="12" fillId="0" borderId="51" xfId="28" applyNumberFormat="1" applyFont="1" applyFill="1" applyBorder="1" applyAlignment="1" applyProtection="1">
      <alignment horizontal="center" vertical="center" wrapText="1"/>
    </xf>
    <xf numFmtId="4" fontId="12" fillId="0" borderId="52" xfId="28" applyNumberFormat="1" applyFont="1" applyFill="1" applyBorder="1" applyAlignment="1" applyProtection="1">
      <alignment horizontal="center" vertical="center" wrapText="1"/>
    </xf>
    <xf numFmtId="4" fontId="12" fillId="0" borderId="53" xfId="28" applyNumberFormat="1" applyFont="1" applyFill="1" applyBorder="1" applyAlignment="1" applyProtection="1">
      <alignment horizontal="center" vertical="center" wrapText="1"/>
    </xf>
    <xf numFmtId="0" fontId="12" fillId="28" borderId="33" xfId="0" applyFont="1" applyFill="1" applyBorder="1" applyAlignment="1">
      <alignment horizontal="center" vertical="center" wrapText="1"/>
    </xf>
    <xf numFmtId="0" fontId="43" fillId="33" borderId="5" xfId="0" applyFont="1" applyFill="1" applyBorder="1"/>
    <xf numFmtId="181" fontId="12" fillId="0" borderId="52" xfId="0" applyNumberFormat="1" applyFont="1" applyBorder="1" applyAlignment="1">
      <alignment horizontal="center" vertical="center" wrapText="1"/>
    </xf>
    <xf numFmtId="2" fontId="12" fillId="0" borderId="53" xfId="0" applyNumberFormat="1" applyFont="1" applyBorder="1" applyAlignment="1">
      <alignment horizontal="center" vertical="center" wrapText="1"/>
    </xf>
    <xf numFmtId="181" fontId="12" fillId="28" borderId="19" xfId="0" applyNumberFormat="1" applyFont="1" applyFill="1" applyBorder="1" applyAlignment="1">
      <alignment horizontal="center" vertical="center" wrapText="1"/>
    </xf>
    <xf numFmtId="2" fontId="12" fillId="28" borderId="33" xfId="0" applyNumberFormat="1" applyFont="1" applyFill="1" applyBorder="1" applyAlignment="1">
      <alignment horizontal="center" vertical="center" wrapText="1"/>
    </xf>
    <xf numFmtId="0" fontId="12" fillId="0" borderId="52" xfId="0" applyFont="1" applyBorder="1" applyAlignment="1">
      <alignment horizontal="center" vertical="center" wrapText="1"/>
    </xf>
    <xf numFmtId="3" fontId="12" fillId="0" borderId="51" xfId="28" applyNumberFormat="1" applyFont="1" applyFill="1" applyBorder="1" applyAlignment="1" applyProtection="1">
      <alignment horizontal="center" vertical="center" wrapText="1"/>
    </xf>
    <xf numFmtId="3" fontId="12" fillId="0" borderId="52" xfId="28" applyNumberFormat="1" applyFont="1" applyFill="1" applyBorder="1" applyAlignment="1" applyProtection="1">
      <alignment horizontal="center" vertical="center" wrapText="1"/>
    </xf>
    <xf numFmtId="3" fontId="12" fillId="0" borderId="53" xfId="28" applyNumberFormat="1" applyFont="1" applyFill="1" applyBorder="1" applyAlignment="1" applyProtection="1">
      <alignment horizontal="center" vertical="center" wrapText="1"/>
    </xf>
    <xf numFmtId="3" fontId="12" fillId="28" borderId="39" xfId="0" applyNumberFormat="1" applyFont="1" applyFill="1" applyBorder="1" applyAlignment="1">
      <alignment horizontal="center" vertical="center" wrapText="1"/>
    </xf>
    <xf numFmtId="167" fontId="12" fillId="0" borderId="0" xfId="11" applyFont="1" applyAlignment="1">
      <alignment vertical="center" wrapText="1"/>
    </xf>
    <xf numFmtId="0" fontId="11" fillId="0" borderId="5" xfId="0" applyFont="1" applyBorder="1"/>
    <xf numFmtId="0" fontId="12" fillId="0" borderId="25" xfId="0" applyFont="1" applyBorder="1"/>
    <xf numFmtId="0" fontId="11" fillId="0" borderId="25" xfId="0" applyFont="1" applyBorder="1"/>
    <xf numFmtId="0" fontId="43" fillId="0" borderId="0" xfId="0" applyFont="1" applyAlignment="1">
      <alignment horizontal="center" vertical="center"/>
    </xf>
    <xf numFmtId="176" fontId="11" fillId="0" borderId="80" xfId="25" applyNumberFormat="1" applyFont="1" applyBorder="1" applyAlignment="1">
      <alignment vertical="top" wrapText="1"/>
    </xf>
    <xf numFmtId="0" fontId="11" fillId="0" borderId="80" xfId="25" applyFont="1" applyBorder="1" applyAlignment="1">
      <alignment vertical="top" wrapText="1"/>
    </xf>
    <xf numFmtId="0" fontId="11" fillId="0" borderId="81" xfId="25" applyFont="1" applyBorder="1" applyAlignment="1">
      <alignment vertical="top" wrapText="1"/>
    </xf>
    <xf numFmtId="177" fontId="11" fillId="0" borderId="80" xfId="25" applyNumberFormat="1" applyFont="1" applyBorder="1" applyAlignment="1">
      <alignment horizontal="center" vertical="center" wrapText="1"/>
    </xf>
    <xf numFmtId="178" fontId="11" fillId="0" borderId="80" xfId="25" applyNumberFormat="1" applyFont="1" applyBorder="1" applyAlignment="1">
      <alignment vertical="top" wrapText="1"/>
    </xf>
    <xf numFmtId="0" fontId="11" fillId="0" borderId="1" xfId="25" applyFont="1" applyBorder="1" applyAlignment="1">
      <alignment vertical="top" wrapText="1"/>
    </xf>
    <xf numFmtId="3" fontId="11" fillId="0" borderId="1" xfId="25" applyNumberFormat="1" applyFont="1" applyBorder="1" applyAlignment="1">
      <alignment vertical="center" wrapText="1"/>
    </xf>
    <xf numFmtId="3" fontId="11" fillId="0" borderId="81" xfId="25" applyNumberFormat="1" applyFont="1" applyBorder="1" applyAlignment="1">
      <alignment vertical="center" wrapText="1"/>
    </xf>
    <xf numFmtId="3" fontId="11" fillId="0" borderId="84" xfId="25" applyNumberFormat="1" applyFont="1" applyBorder="1" applyAlignment="1">
      <alignment vertical="center" wrapText="1"/>
    </xf>
    <xf numFmtId="0" fontId="43" fillId="0" borderId="5" xfId="0" applyFont="1" applyBorder="1" applyAlignment="1">
      <alignment horizontal="center" vertical="center"/>
    </xf>
    <xf numFmtId="0" fontId="11" fillId="0" borderId="5" xfId="0" applyFont="1" applyBorder="1" applyAlignment="1">
      <alignment horizontal="center" vertical="center" wrapText="1"/>
    </xf>
    <xf numFmtId="9" fontId="39" fillId="0" borderId="1" xfId="28" applyFont="1" applyFill="1" applyBorder="1" applyAlignment="1">
      <alignment horizontal="center" vertical="center"/>
    </xf>
    <xf numFmtId="0" fontId="39" fillId="0" borderId="1" xfId="28" applyNumberFormat="1" applyFont="1" applyFill="1" applyBorder="1" applyAlignment="1">
      <alignment vertical="center" wrapText="1"/>
    </xf>
    <xf numFmtId="0" fontId="54" fillId="0" borderId="1" xfId="28" applyNumberFormat="1" applyFont="1" applyFill="1" applyBorder="1" applyAlignment="1">
      <alignment vertical="center" wrapText="1"/>
    </xf>
    <xf numFmtId="178" fontId="11" fillId="0" borderId="80" xfId="25" applyNumberFormat="1" applyFont="1" applyBorder="1" applyAlignment="1">
      <alignment horizontal="center" vertical="center" wrapText="1"/>
    </xf>
    <xf numFmtId="178" fontId="11" fillId="0" borderId="81" xfId="25" applyNumberFormat="1" applyFont="1" applyBorder="1" applyAlignment="1">
      <alignment horizontal="center" vertical="center" wrapText="1"/>
    </xf>
    <xf numFmtId="178" fontId="11" fillId="0" borderId="82" xfId="25" applyNumberFormat="1" applyFont="1" applyBorder="1" applyAlignment="1">
      <alignment vertical="top" wrapText="1"/>
    </xf>
    <xf numFmtId="180" fontId="11" fillId="0" borderId="1" xfId="25" applyNumberFormat="1" applyFont="1" applyBorder="1" applyAlignment="1">
      <alignment vertical="center" wrapText="1"/>
    </xf>
    <xf numFmtId="0" fontId="43" fillId="0" borderId="25" xfId="0" applyFont="1" applyBorder="1" applyAlignment="1">
      <alignment horizontal="center" vertical="center"/>
    </xf>
    <xf numFmtId="0" fontId="11" fillId="0" borderId="25" xfId="0" applyFont="1" applyBorder="1" applyAlignment="1">
      <alignment horizontal="center" vertical="center" wrapText="1"/>
    </xf>
    <xf numFmtId="177" fontId="11" fillId="0" borderId="82" xfId="25" applyNumberFormat="1" applyFont="1" applyBorder="1" applyAlignment="1">
      <alignment horizontal="center" vertical="center" wrapText="1"/>
    </xf>
    <xf numFmtId="177" fontId="11" fillId="0" borderId="1" xfId="25" applyNumberFormat="1" applyFont="1" applyBorder="1" applyAlignment="1">
      <alignment horizontal="center" vertical="center" wrapText="1"/>
    </xf>
    <xf numFmtId="177" fontId="11" fillId="0" borderId="86" xfId="25" applyNumberFormat="1" applyFont="1" applyBorder="1" applyAlignment="1">
      <alignment horizontal="center" vertical="center" wrapText="1"/>
    </xf>
    <xf numFmtId="0" fontId="11" fillId="0" borderId="87" xfId="25" applyFont="1" applyBorder="1" applyAlignment="1">
      <alignment vertical="top" wrapText="1"/>
    </xf>
    <xf numFmtId="4" fontId="11" fillId="0" borderId="4" xfId="25" applyNumberFormat="1" applyFont="1" applyBorder="1" applyAlignment="1">
      <alignment vertical="center" wrapText="1"/>
    </xf>
    <xf numFmtId="184" fontId="11" fillId="0" borderId="4" xfId="25" applyNumberFormat="1" applyFont="1" applyBorder="1" applyAlignment="1">
      <alignment vertical="center" wrapText="1"/>
    </xf>
    <xf numFmtId="181" fontId="43" fillId="0" borderId="25" xfId="0" applyNumberFormat="1" applyFont="1" applyBorder="1" applyAlignment="1">
      <alignment horizontal="center" vertical="center"/>
    </xf>
    <xf numFmtId="0" fontId="11" fillId="0" borderId="1" xfId="28" applyNumberFormat="1" applyFont="1" applyFill="1" applyBorder="1" applyAlignment="1">
      <alignment vertical="center" wrapText="1"/>
    </xf>
    <xf numFmtId="3" fontId="11" fillId="0" borderId="80" xfId="25" applyNumberFormat="1" applyFont="1" applyBorder="1" applyAlignment="1">
      <alignment vertical="top" wrapText="1"/>
    </xf>
    <xf numFmtId="176" fontId="11" fillId="0" borderId="80" xfId="25" applyNumberFormat="1" applyFont="1" applyBorder="1" applyAlignment="1">
      <alignment horizontal="center" vertical="center" wrapText="1"/>
    </xf>
    <xf numFmtId="176" fontId="11" fillId="0" borderId="83" xfId="25" applyNumberFormat="1" applyFont="1" applyBorder="1" applyAlignment="1">
      <alignment horizontal="center" vertical="center" wrapText="1"/>
    </xf>
    <xf numFmtId="0" fontId="11" fillId="0" borderId="82" xfId="25" applyFont="1" applyBorder="1" applyAlignment="1">
      <alignment vertical="top" wrapText="1"/>
    </xf>
    <xf numFmtId="1" fontId="43" fillId="0" borderId="25" xfId="0" applyNumberFormat="1" applyFont="1" applyBorder="1" applyAlignment="1">
      <alignment horizontal="center" vertical="center"/>
    </xf>
    <xf numFmtId="0" fontId="43" fillId="0" borderId="80" xfId="0" applyFont="1" applyBorder="1" applyAlignment="1">
      <alignment vertical="center" wrapText="1"/>
    </xf>
    <xf numFmtId="0" fontId="43" fillId="0" borderId="86" xfId="0" applyFont="1" applyBorder="1" applyAlignment="1">
      <alignment vertical="center" wrapText="1"/>
    </xf>
    <xf numFmtId="0" fontId="54" fillId="0" borderId="86" xfId="0" applyFont="1" applyBorder="1" applyAlignment="1">
      <alignment vertical="center" wrapText="1"/>
    </xf>
    <xf numFmtId="0" fontId="11" fillId="0" borderId="0" xfId="25" applyFont="1" applyAlignment="1">
      <alignment vertical="top" wrapText="1"/>
    </xf>
    <xf numFmtId="9" fontId="43" fillId="0" borderId="1" xfId="28" applyFont="1" applyFill="1" applyBorder="1" applyAlignment="1">
      <alignment vertical="center"/>
    </xf>
    <xf numFmtId="0" fontId="11" fillId="0" borderId="85" xfId="25" applyFont="1" applyBorder="1" applyAlignment="1">
      <alignment vertical="top" wrapText="1"/>
    </xf>
    <xf numFmtId="179" fontId="11" fillId="0" borderId="81" xfId="25" applyNumberFormat="1" applyFont="1" applyBorder="1" applyAlignment="1">
      <alignment vertical="top" wrapText="1"/>
    </xf>
    <xf numFmtId="0" fontId="11" fillId="0" borderId="81" xfId="25" applyFont="1" applyBorder="1" applyAlignment="1">
      <alignment horizontal="center" vertical="center" wrapText="1"/>
    </xf>
    <xf numFmtId="0" fontId="11" fillId="0" borderId="84" xfId="25" applyFont="1" applyBorder="1" applyAlignment="1">
      <alignment vertical="top" wrapText="1"/>
    </xf>
    <xf numFmtId="0" fontId="39" fillId="0" borderId="10" xfId="0" applyFont="1" applyBorder="1" applyAlignment="1">
      <alignment vertical="center"/>
    </xf>
    <xf numFmtId="0" fontId="43" fillId="0" borderId="24" xfId="0" applyFont="1" applyBorder="1" applyAlignment="1">
      <alignment horizontal="center" vertical="center"/>
    </xf>
    <xf numFmtId="0" fontId="43" fillId="0" borderId="83" xfId="0" applyFont="1" applyBorder="1" applyAlignment="1">
      <alignment vertical="center" wrapText="1"/>
    </xf>
    <xf numFmtId="0" fontId="43" fillId="0" borderId="93" xfId="0" applyFont="1" applyBorder="1" applyAlignment="1">
      <alignment vertical="center" wrapText="1"/>
    </xf>
    <xf numFmtId="0" fontId="43" fillId="0" borderId="86" xfId="0" applyFont="1" applyBorder="1" applyAlignment="1">
      <alignment wrapText="1"/>
    </xf>
    <xf numFmtId="0" fontId="11" fillId="0" borderId="1" xfId="25" quotePrefix="1" applyFont="1" applyBorder="1" applyAlignment="1">
      <alignment vertical="top" wrapText="1"/>
    </xf>
    <xf numFmtId="9" fontId="11" fillId="0" borderId="1" xfId="25" applyNumberFormat="1" applyFont="1" applyBorder="1" applyAlignment="1">
      <alignment vertical="top" wrapText="1"/>
    </xf>
    <xf numFmtId="0" fontId="11" fillId="0" borderId="1" xfId="25" applyFont="1" applyBorder="1" applyAlignment="1">
      <alignment horizontal="center" vertical="center" wrapText="1"/>
    </xf>
    <xf numFmtId="9" fontId="11" fillId="0" borderId="1" xfId="25" applyNumberFormat="1" applyFont="1" applyBorder="1" applyAlignment="1">
      <alignment horizontal="center" vertical="center" wrapText="1"/>
    </xf>
    <xf numFmtId="9" fontId="39" fillId="0" borderId="1" xfId="0" applyNumberFormat="1" applyFont="1" applyBorder="1" applyAlignment="1">
      <alignment vertical="center"/>
    </xf>
    <xf numFmtId="9" fontId="43" fillId="0" borderId="5" xfId="0" applyNumberFormat="1" applyFont="1" applyBorder="1" applyAlignment="1">
      <alignment horizontal="center" vertical="center"/>
    </xf>
    <xf numFmtId="9" fontId="43" fillId="0" borderId="25" xfId="0" applyNumberFormat="1" applyFont="1" applyBorder="1" applyAlignment="1">
      <alignment horizontal="center" vertical="center"/>
    </xf>
    <xf numFmtId="10" fontId="11" fillId="0" borderId="59" xfId="0" applyNumberFormat="1" applyFont="1" applyBorder="1" applyAlignment="1">
      <alignment horizontal="center" vertical="center"/>
    </xf>
    <xf numFmtId="173" fontId="39" fillId="0" borderId="1" xfId="28" applyNumberFormat="1" applyFont="1" applyFill="1" applyBorder="1" applyAlignment="1">
      <alignment horizontal="center" vertical="center"/>
    </xf>
    <xf numFmtId="0" fontId="54" fillId="0" borderId="93" xfId="0" applyFont="1" applyBorder="1" applyAlignment="1">
      <alignment vertical="center" wrapText="1"/>
    </xf>
    <xf numFmtId="0" fontId="43" fillId="0" borderId="93" xfId="0" applyFont="1" applyBorder="1" applyAlignment="1">
      <alignment wrapText="1"/>
    </xf>
    <xf numFmtId="9" fontId="26" fillId="0" borderId="0" xfId="0" applyNumberFormat="1" applyFont="1" applyAlignment="1">
      <alignment horizontal="justify" vertical="center" wrapText="1"/>
    </xf>
    <xf numFmtId="0" fontId="26" fillId="0" borderId="0" xfId="0" applyFont="1" applyAlignment="1">
      <alignment horizontal="justify" vertical="center" wrapText="1"/>
    </xf>
    <xf numFmtId="173" fontId="25" fillId="0" borderId="0" xfId="0" applyNumberFormat="1" applyFont="1" applyAlignment="1">
      <alignment horizontal="center" vertical="center" wrapText="1"/>
    </xf>
    <xf numFmtId="173" fontId="11" fillId="0" borderId="0" xfId="0" applyNumberFormat="1" applyFont="1" applyAlignment="1">
      <alignment vertical="center"/>
    </xf>
    <xf numFmtId="0" fontId="24" fillId="22" borderId="81" xfId="0" applyFont="1" applyFill="1" applyBorder="1" applyAlignment="1">
      <alignment horizontal="justify" vertical="center" wrapText="1"/>
    </xf>
    <xf numFmtId="0" fontId="11" fillId="0" borderId="83" xfId="0" applyFont="1" applyBorder="1" applyAlignment="1">
      <alignment horizontal="justify" vertical="center" wrapText="1"/>
    </xf>
    <xf numFmtId="0" fontId="24" fillId="22" borderId="81" xfId="0" applyFont="1" applyFill="1" applyBorder="1" applyAlignment="1">
      <alignment horizontal="center" vertical="center" wrapText="1"/>
    </xf>
    <xf numFmtId="0" fontId="11" fillId="0" borderId="83" xfId="0" applyFont="1" applyBorder="1" applyAlignment="1">
      <alignment vertical="center"/>
    </xf>
    <xf numFmtId="0" fontId="24" fillId="22" borderId="82" xfId="0" applyFont="1" applyFill="1" applyBorder="1" applyAlignment="1">
      <alignment horizontal="center" vertical="center" wrapText="1"/>
    </xf>
    <xf numFmtId="0" fontId="11" fillId="0" borderId="88" xfId="0" applyFont="1" applyBorder="1" applyAlignment="1">
      <alignment vertical="center"/>
    </xf>
    <xf numFmtId="0" fontId="11" fillId="0" borderId="86" xfId="0" applyFont="1" applyBorder="1" applyAlignment="1">
      <alignment vertical="center"/>
    </xf>
    <xf numFmtId="9" fontId="26" fillId="0" borderId="81" xfId="0" applyNumberFormat="1" applyFont="1" applyBorder="1" applyAlignment="1">
      <alignment horizontal="justify" vertical="center" wrapText="1"/>
    </xf>
    <xf numFmtId="9" fontId="26" fillId="0" borderId="83" xfId="0" applyNumberFormat="1" applyFont="1" applyBorder="1" applyAlignment="1">
      <alignment horizontal="justify" vertical="center" wrapText="1"/>
    </xf>
    <xf numFmtId="9" fontId="25" fillId="0" borderId="81" xfId="0" applyNumberFormat="1" applyFont="1" applyBorder="1" applyAlignment="1">
      <alignment horizontal="center" vertical="center" wrapText="1"/>
    </xf>
    <xf numFmtId="9" fontId="11" fillId="0" borderId="83" xfId="0" applyNumberFormat="1" applyFont="1" applyBorder="1" applyAlignment="1">
      <alignment vertical="center"/>
    </xf>
    <xf numFmtId="0" fontId="26" fillId="0" borderId="83" xfId="0" applyFont="1" applyBorder="1" applyAlignment="1">
      <alignment horizontal="justify" vertical="center" wrapText="1"/>
    </xf>
    <xf numFmtId="173" fontId="25" fillId="0" borderId="81" xfId="0" applyNumberFormat="1" applyFont="1" applyBorder="1" applyAlignment="1">
      <alignment horizontal="center" vertical="center" wrapText="1"/>
    </xf>
    <xf numFmtId="173" fontId="11" fillId="0" borderId="83" xfId="0" applyNumberFormat="1" applyFont="1" applyBorder="1" applyAlignment="1">
      <alignment vertical="center"/>
    </xf>
    <xf numFmtId="2" fontId="11" fillId="0" borderId="8" xfId="22" applyNumberFormat="1" applyFont="1" applyBorder="1" applyAlignment="1">
      <alignment horizontal="justify" vertical="center" wrapText="1"/>
    </xf>
    <xf numFmtId="2" fontId="11" fillId="0" borderId="31" xfId="22" applyNumberFormat="1" applyFont="1" applyBorder="1" applyAlignment="1">
      <alignment horizontal="justify" vertical="center" wrapText="1"/>
    </xf>
    <xf numFmtId="9" fontId="11" fillId="0" borderId="1" xfId="22" applyNumberFormat="1" applyFont="1" applyBorder="1" applyAlignment="1">
      <alignment horizontal="center" vertical="center" wrapText="1"/>
    </xf>
    <xf numFmtId="0" fontId="11" fillId="0" borderId="19" xfId="22" applyFont="1" applyBorder="1" applyAlignment="1">
      <alignment horizontal="center" vertical="center" wrapText="1"/>
    </xf>
    <xf numFmtId="9" fontId="43" fillId="0" borderId="8" xfId="22" applyNumberFormat="1" applyFont="1" applyBorder="1" applyAlignment="1">
      <alignment horizontal="left" vertical="center" wrapText="1"/>
    </xf>
    <xf numFmtId="9" fontId="43" fillId="0" borderId="1" xfId="22" applyNumberFormat="1" applyFont="1" applyBorder="1" applyAlignment="1">
      <alignment horizontal="left" vertical="center" wrapText="1"/>
    </xf>
    <xf numFmtId="9" fontId="43" fillId="0" borderId="9" xfId="22" applyNumberFormat="1" applyFont="1" applyBorder="1" applyAlignment="1">
      <alignment horizontal="left" vertical="center" wrapText="1"/>
    </xf>
    <xf numFmtId="9" fontId="43" fillId="0" borderId="31" xfId="22" applyNumberFormat="1" applyFont="1" applyBorder="1" applyAlignment="1">
      <alignment horizontal="left" vertical="center" wrapText="1"/>
    </xf>
    <xf numFmtId="9" fontId="43" fillId="0" borderId="19" xfId="22" applyNumberFormat="1" applyFont="1" applyBorder="1" applyAlignment="1">
      <alignment horizontal="left" vertical="center" wrapText="1"/>
    </xf>
    <xf numFmtId="9" fontId="43" fillId="0" borderId="33" xfId="22" applyNumberFormat="1" applyFont="1" applyBorder="1" applyAlignment="1">
      <alignment horizontal="left" vertical="center" wrapText="1"/>
    </xf>
    <xf numFmtId="0" fontId="12" fillId="20" borderId="32" xfId="22" applyFont="1" applyFill="1" applyBorder="1" applyAlignment="1">
      <alignment horizontal="center" vertical="center" wrapText="1"/>
    </xf>
    <xf numFmtId="0" fontId="12" fillId="20" borderId="31" xfId="22" applyFont="1" applyFill="1" applyBorder="1" applyAlignment="1">
      <alignment horizontal="center" vertical="center" wrapText="1"/>
    </xf>
    <xf numFmtId="0" fontId="12" fillId="20" borderId="52" xfId="22" applyFont="1" applyFill="1" applyBorder="1" applyAlignment="1">
      <alignment horizontal="center" vertical="center" wrapText="1"/>
    </xf>
    <xf numFmtId="0" fontId="12" fillId="20" borderId="19" xfId="22" applyFont="1" applyFill="1" applyBorder="1" applyAlignment="1">
      <alignment horizontal="center" vertical="center" wrapText="1"/>
    </xf>
    <xf numFmtId="0" fontId="12" fillId="20" borderId="25" xfId="22" applyFont="1" applyFill="1" applyBorder="1" applyAlignment="1">
      <alignment horizontal="center" vertical="center" wrapText="1"/>
    </xf>
    <xf numFmtId="0" fontId="12" fillId="20" borderId="53" xfId="22" applyFont="1" applyFill="1" applyBorder="1" applyAlignment="1">
      <alignment horizontal="center" vertical="center" wrapText="1"/>
    </xf>
    <xf numFmtId="0" fontId="12" fillId="0" borderId="54" xfId="22" applyFont="1" applyBorder="1" applyAlignment="1">
      <alignment horizontal="center" vertical="center" wrapText="1"/>
    </xf>
    <xf numFmtId="0" fontId="12" fillId="0" borderId="64" xfId="22" applyFont="1" applyBorder="1" applyAlignment="1">
      <alignment horizontal="center" vertical="center" wrapText="1"/>
    </xf>
    <xf numFmtId="0" fontId="12" fillId="0" borderId="55" xfId="22" applyFont="1" applyBorder="1" applyAlignment="1">
      <alignment horizontal="center" vertical="center" wrapText="1"/>
    </xf>
    <xf numFmtId="0" fontId="12" fillId="0" borderId="57" xfId="22" applyFont="1" applyBorder="1" applyAlignment="1">
      <alignment horizontal="center" vertical="center" wrapText="1"/>
    </xf>
    <xf numFmtId="0" fontId="12" fillId="0" borderId="65" xfId="22" applyFont="1" applyBorder="1" applyAlignment="1">
      <alignment horizontal="center" vertical="center" wrapText="1"/>
    </xf>
    <xf numFmtId="0" fontId="12" fillId="0" borderId="38" xfId="22" applyFont="1" applyBorder="1" applyAlignment="1">
      <alignment horizontal="center" vertical="center" wrapText="1"/>
    </xf>
    <xf numFmtId="2" fontId="11" fillId="0" borderId="46" xfId="22" applyNumberFormat="1" applyFont="1" applyBorder="1" applyAlignment="1">
      <alignment horizontal="justify" vertical="center" wrapText="1"/>
    </xf>
    <xf numFmtId="9" fontId="11" fillId="0" borderId="52" xfId="22" applyNumberFormat="1" applyFont="1" applyBorder="1" applyAlignment="1">
      <alignment horizontal="center" vertical="center" wrapText="1"/>
    </xf>
    <xf numFmtId="0" fontId="11" fillId="0" borderId="1" xfId="22" applyFont="1" applyBorder="1" applyAlignment="1">
      <alignment horizontal="center" vertical="center" wrapText="1"/>
    </xf>
    <xf numFmtId="0" fontId="43" fillId="0" borderId="36" xfId="0" applyFont="1" applyBorder="1" applyAlignment="1">
      <alignment vertical="center" wrapText="1"/>
    </xf>
    <xf numFmtId="0" fontId="43" fillId="0" borderId="11" xfId="0" applyFont="1" applyBorder="1" applyAlignment="1">
      <alignment vertical="center" wrapText="1"/>
    </xf>
    <xf numFmtId="0" fontId="43" fillId="0" borderId="12" xfId="0" applyFont="1" applyBorder="1" applyAlignment="1">
      <alignment vertical="center" wrapText="1"/>
    </xf>
    <xf numFmtId="0" fontId="43" fillId="0" borderId="6" xfId="0" applyFont="1" applyBorder="1" applyAlignment="1">
      <alignment vertical="center" wrapText="1"/>
    </xf>
    <xf numFmtId="0" fontId="43" fillId="0" borderId="3" xfId="0" applyFont="1" applyBorder="1" applyAlignment="1">
      <alignment vertical="center" wrapText="1"/>
    </xf>
    <xf numFmtId="0" fontId="43" fillId="0" borderId="7" xfId="0" applyFont="1" applyBorder="1" applyAlignment="1">
      <alignment vertical="center" wrapText="1"/>
    </xf>
    <xf numFmtId="0" fontId="12" fillId="0" borderId="8" xfId="22" applyFont="1" applyBorder="1" applyAlignment="1">
      <alignment horizontal="center" vertical="center" wrapText="1"/>
    </xf>
    <xf numFmtId="0" fontId="12" fillId="0" borderId="31" xfId="22" applyFont="1" applyBorder="1" applyAlignment="1">
      <alignment horizontal="center" vertical="center" wrapText="1"/>
    </xf>
    <xf numFmtId="9" fontId="12" fillId="0" borderId="1" xfId="22" applyNumberFormat="1" applyFont="1" applyBorder="1" applyAlignment="1">
      <alignment horizontal="center" vertical="center" wrapText="1"/>
    </xf>
    <xf numFmtId="0" fontId="12" fillId="0" borderId="19" xfId="22" applyFont="1" applyBorder="1" applyAlignment="1">
      <alignment horizontal="center" vertical="center" wrapText="1"/>
    </xf>
    <xf numFmtId="0" fontId="43" fillId="0" borderId="58" xfId="0" applyFont="1" applyBorder="1" applyAlignment="1">
      <alignment horizontal="left" vertical="center" wrapText="1"/>
    </xf>
    <xf numFmtId="0" fontId="43" fillId="0" borderId="22" xfId="0" applyFont="1" applyBorder="1" applyAlignment="1">
      <alignment horizontal="left" vertical="center" wrapText="1"/>
    </xf>
    <xf numFmtId="0" fontId="43" fillId="0" borderId="105" xfId="0" applyFont="1" applyBorder="1" applyAlignment="1">
      <alignment horizontal="left" vertical="center" wrapText="1"/>
    </xf>
    <xf numFmtId="0" fontId="43" fillId="0" borderId="106" xfId="0" applyFont="1" applyBorder="1" applyAlignment="1">
      <alignment horizontal="left" vertical="center" wrapText="1"/>
    </xf>
    <xf numFmtId="0" fontId="43" fillId="0" borderId="107" xfId="0" applyFont="1" applyBorder="1" applyAlignment="1">
      <alignment horizontal="left" vertical="center" wrapText="1"/>
    </xf>
    <xf numFmtId="0" fontId="43" fillId="0" borderId="109" xfId="0" applyFont="1" applyBorder="1" applyAlignment="1">
      <alignment horizontal="left" vertical="center" wrapText="1"/>
    </xf>
    <xf numFmtId="0" fontId="43" fillId="0" borderId="89" xfId="0" applyFont="1" applyBorder="1" applyAlignment="1">
      <alignment horizontal="left" vertical="center" wrapText="1"/>
    </xf>
    <xf numFmtId="0" fontId="43" fillId="0" borderId="108" xfId="0" applyFont="1" applyBorder="1" applyAlignment="1">
      <alignment horizontal="left" vertical="center" wrapText="1"/>
    </xf>
    <xf numFmtId="0" fontId="50" fillId="0" borderId="22" xfId="0" applyFont="1" applyBorder="1" applyAlignment="1">
      <alignment horizontal="left" vertical="center" wrapText="1"/>
    </xf>
    <xf numFmtId="0" fontId="50" fillId="0" borderId="89" xfId="0" applyFont="1" applyBorder="1" applyAlignment="1">
      <alignment horizontal="left" vertical="center" wrapText="1"/>
    </xf>
    <xf numFmtId="0" fontId="50" fillId="0" borderId="107" xfId="0" applyFont="1" applyBorder="1" applyAlignment="1">
      <alignment horizontal="left" vertical="center" wrapText="1"/>
    </xf>
    <xf numFmtId="0" fontId="50" fillId="0" borderId="108" xfId="0" applyFont="1" applyBorder="1" applyAlignment="1">
      <alignment horizontal="left" vertical="center" wrapText="1"/>
    </xf>
    <xf numFmtId="3" fontId="12" fillId="0" borderId="58" xfId="22" applyNumberFormat="1" applyFont="1" applyBorder="1" applyAlignment="1">
      <alignment horizontal="center" vertical="center" wrapText="1"/>
    </xf>
    <xf numFmtId="3" fontId="12" fillId="0" borderId="23" xfId="22" applyNumberFormat="1" applyFont="1" applyBorder="1" applyAlignment="1">
      <alignment horizontal="center" vertical="center" wrapText="1"/>
    </xf>
    <xf numFmtId="0" fontId="40" fillId="0" borderId="1" xfId="22" applyFont="1" applyBorder="1" applyAlignment="1">
      <alignment horizontal="left" vertical="center" wrapText="1"/>
    </xf>
    <xf numFmtId="0" fontId="40" fillId="0" borderId="9" xfId="22" applyFont="1" applyBorder="1" applyAlignment="1">
      <alignment horizontal="left" vertical="center" wrapText="1"/>
    </xf>
    <xf numFmtId="0" fontId="12" fillId="0" borderId="60" xfId="22" applyFont="1" applyBorder="1" applyAlignment="1">
      <alignment horizontal="center" vertical="center" wrapText="1"/>
    </xf>
    <xf numFmtId="0" fontId="12" fillId="0" borderId="61" xfId="22" applyFont="1" applyBorder="1" applyAlignment="1">
      <alignment horizontal="center" vertical="center" wrapText="1"/>
    </xf>
    <xf numFmtId="0" fontId="12" fillId="0" borderId="62" xfId="22" applyFont="1" applyBorder="1" applyAlignment="1">
      <alignment horizontal="center" vertical="center" wrapText="1"/>
    </xf>
    <xf numFmtId="0" fontId="12" fillId="20" borderId="46" xfId="22" applyFont="1" applyFill="1" applyBorder="1" applyAlignment="1">
      <alignment horizontal="center" vertical="center" wrapText="1"/>
    </xf>
    <xf numFmtId="0" fontId="12" fillId="20" borderId="8" xfId="22" applyFont="1" applyFill="1" applyBorder="1" applyAlignment="1">
      <alignment horizontal="center" vertical="center" wrapText="1"/>
    </xf>
    <xf numFmtId="0" fontId="12" fillId="20" borderId="1" xfId="22" applyFont="1" applyFill="1" applyBorder="1" applyAlignment="1">
      <alignment horizontal="center" vertical="center" wrapText="1"/>
    </xf>
    <xf numFmtId="0" fontId="11" fillId="20" borderId="9" xfId="22" applyFont="1" applyFill="1" applyBorder="1" applyAlignment="1">
      <alignment horizontal="center" vertical="center" wrapText="1"/>
    </xf>
    <xf numFmtId="0" fontId="12" fillId="20" borderId="51" xfId="22" applyFont="1" applyFill="1" applyBorder="1" applyAlignment="1">
      <alignment horizontal="center" vertical="center" wrapText="1"/>
    </xf>
    <xf numFmtId="0" fontId="12" fillId="20" borderId="20" xfId="22" applyFont="1" applyFill="1" applyBorder="1" applyAlignment="1">
      <alignment horizontal="center" vertical="center" wrapText="1"/>
    </xf>
    <xf numFmtId="0" fontId="12" fillId="20" borderId="3" xfId="22" applyFont="1" applyFill="1" applyBorder="1" applyAlignment="1">
      <alignment horizontal="center" vertical="center" wrapText="1"/>
    </xf>
    <xf numFmtId="0" fontId="12" fillId="20" borderId="7" xfId="22" applyFont="1" applyFill="1" applyBorder="1" applyAlignment="1">
      <alignment horizontal="center" vertical="center" wrapText="1"/>
    </xf>
    <xf numFmtId="0" fontId="12" fillId="20" borderId="5" xfId="22" applyFont="1" applyFill="1" applyBorder="1" applyAlignment="1">
      <alignment horizontal="center" vertical="center" wrapText="1"/>
    </xf>
    <xf numFmtId="0" fontId="12" fillId="20" borderId="30" xfId="22" applyFont="1" applyFill="1" applyBorder="1" applyAlignment="1">
      <alignment horizontal="center" vertical="center" wrapText="1"/>
    </xf>
    <xf numFmtId="0" fontId="12" fillId="20" borderId="6" xfId="22" applyFont="1" applyFill="1" applyBorder="1" applyAlignment="1">
      <alignment horizontal="center" vertical="center" wrapText="1"/>
    </xf>
    <xf numFmtId="0" fontId="12" fillId="20" borderId="58" xfId="22" applyFont="1" applyFill="1" applyBorder="1" applyAlignment="1">
      <alignment horizontal="center" vertical="center" wrapText="1"/>
    </xf>
    <xf numFmtId="0" fontId="12" fillId="20" borderId="23" xfId="22" applyFont="1" applyFill="1" applyBorder="1" applyAlignment="1">
      <alignment horizontal="center" vertical="center" wrapText="1"/>
    </xf>
    <xf numFmtId="0" fontId="12" fillId="20" borderId="2" xfId="22" applyFont="1" applyFill="1" applyBorder="1" applyAlignment="1">
      <alignment horizontal="center" vertical="center" wrapText="1"/>
    </xf>
    <xf numFmtId="0" fontId="12" fillId="20" borderId="59" xfId="22" applyFont="1" applyFill="1" applyBorder="1" applyAlignment="1">
      <alignment horizontal="center" vertical="center" wrapText="1"/>
    </xf>
    <xf numFmtId="0" fontId="12" fillId="20" borderId="9" xfId="22" applyFont="1" applyFill="1" applyBorder="1" applyAlignment="1">
      <alignment horizontal="center" vertical="center" wrapText="1"/>
    </xf>
    <xf numFmtId="0" fontId="12" fillId="19" borderId="46" xfId="22" applyFont="1" applyFill="1" applyBorder="1" applyAlignment="1">
      <alignment horizontal="center" vertical="center" wrapText="1"/>
    </xf>
    <xf numFmtId="0" fontId="12" fillId="19" borderId="51" xfId="22" applyFont="1" applyFill="1" applyBorder="1" applyAlignment="1">
      <alignment horizontal="center" vertical="center" wrapText="1"/>
    </xf>
    <xf numFmtId="0" fontId="12" fillId="19" borderId="52" xfId="22" applyFont="1" applyFill="1" applyBorder="1" applyAlignment="1">
      <alignment horizontal="center" vertical="center" wrapText="1"/>
    </xf>
    <xf numFmtId="0" fontId="12" fillId="19" borderId="53" xfId="22" applyFont="1" applyFill="1" applyBorder="1" applyAlignment="1">
      <alignment horizontal="center" vertical="center" wrapText="1"/>
    </xf>
    <xf numFmtId="0" fontId="12" fillId="20" borderId="21" xfId="22" applyFont="1" applyFill="1" applyBorder="1" applyAlignment="1">
      <alignment horizontal="center" vertical="center" wrapText="1"/>
    </xf>
    <xf numFmtId="0" fontId="12" fillId="0" borderId="43" xfId="22" applyFont="1" applyBorder="1" applyAlignment="1">
      <alignment horizontal="center" vertical="center" wrapText="1"/>
    </xf>
    <xf numFmtId="0" fontId="12" fillId="0" borderId="44" xfId="22" applyFont="1" applyBorder="1" applyAlignment="1">
      <alignment horizontal="center" vertical="center" wrapText="1"/>
    </xf>
    <xf numFmtId="0" fontId="12" fillId="0" borderId="45" xfId="22" applyFont="1" applyBorder="1" applyAlignment="1">
      <alignment horizontal="center" vertical="center" wrapText="1"/>
    </xf>
    <xf numFmtId="0" fontId="12" fillId="19" borderId="15" xfId="22" applyFont="1" applyFill="1" applyBorder="1" applyAlignment="1">
      <alignment horizontal="left" vertical="center" wrapText="1"/>
    </xf>
    <xf numFmtId="0" fontId="12" fillId="20" borderId="43" xfId="22" applyFont="1" applyFill="1" applyBorder="1" applyAlignment="1">
      <alignment horizontal="left" vertical="center" wrapText="1"/>
    </xf>
    <xf numFmtId="0" fontId="12" fillId="20" borderId="45" xfId="22" applyFont="1" applyFill="1" applyBorder="1" applyAlignment="1">
      <alignment horizontal="left" vertical="center" wrapText="1"/>
    </xf>
    <xf numFmtId="0" fontId="11" fillId="0" borderId="43" xfId="22" applyFont="1" applyBorder="1" applyAlignment="1">
      <alignment horizontal="center" vertical="center" wrapText="1"/>
    </xf>
    <xf numFmtId="0" fontId="11" fillId="0" borderId="44" xfId="22" applyFont="1" applyBorder="1" applyAlignment="1">
      <alignment horizontal="center" vertical="center" wrapText="1"/>
    </xf>
    <xf numFmtId="0" fontId="11" fillId="0" borderId="45" xfId="22" applyFont="1" applyBorder="1" applyAlignment="1">
      <alignment horizontal="center" vertical="center" wrapText="1"/>
    </xf>
    <xf numFmtId="0" fontId="12" fillId="0" borderId="27" xfId="22" applyFont="1" applyBorder="1" applyAlignment="1">
      <alignment horizontal="center" vertical="center" wrapText="1"/>
    </xf>
    <xf numFmtId="0" fontId="12" fillId="0" borderId="28" xfId="22" applyFont="1" applyBorder="1" applyAlignment="1">
      <alignment horizontal="center" vertical="center" wrapText="1"/>
    </xf>
    <xf numFmtId="0" fontId="12" fillId="0" borderId="29" xfId="22" applyFont="1" applyBorder="1" applyAlignment="1">
      <alignment horizontal="center" vertical="center" wrapText="1"/>
    </xf>
    <xf numFmtId="0" fontId="12" fillId="20" borderId="43" xfId="22" applyFont="1" applyFill="1" applyBorder="1" applyAlignment="1">
      <alignment horizontal="center" vertical="center" wrapText="1"/>
    </xf>
    <xf numFmtId="0" fontId="12" fillId="20" borderId="45" xfId="22" applyFont="1" applyFill="1" applyBorder="1" applyAlignment="1">
      <alignment horizontal="center" vertical="center" wrapText="1"/>
    </xf>
    <xf numFmtId="1" fontId="12" fillId="0" borderId="43" xfId="28" applyNumberFormat="1" applyFont="1" applyFill="1" applyBorder="1" applyAlignment="1" applyProtection="1">
      <alignment horizontal="center" vertical="center" wrapText="1"/>
    </xf>
    <xf numFmtId="1" fontId="12" fillId="0" borderId="45" xfId="28" applyNumberFormat="1" applyFont="1" applyFill="1" applyBorder="1" applyAlignment="1" applyProtection="1">
      <alignment horizontal="center" vertical="center" wrapText="1"/>
    </xf>
    <xf numFmtId="0" fontId="12" fillId="20" borderId="44" xfId="22" applyFont="1" applyFill="1" applyBorder="1" applyAlignment="1">
      <alignment horizontal="center" vertical="center" wrapText="1"/>
    </xf>
    <xf numFmtId="0" fontId="12" fillId="20" borderId="13" xfId="22" applyFont="1" applyFill="1" applyBorder="1" applyAlignment="1">
      <alignment horizontal="center" vertical="center" wrapText="1"/>
    </xf>
    <xf numFmtId="0" fontId="12" fillId="20" borderId="0" xfId="22" applyFont="1" applyFill="1" applyAlignment="1">
      <alignment horizontal="center" vertical="center" wrapText="1"/>
    </xf>
    <xf numFmtId="0" fontId="12" fillId="20" borderId="14" xfId="22" applyFont="1" applyFill="1" applyBorder="1" applyAlignment="1">
      <alignment horizontal="center" vertical="center" wrapText="1"/>
    </xf>
    <xf numFmtId="0" fontId="12" fillId="20" borderId="37" xfId="22" applyFont="1" applyFill="1" applyBorder="1" applyAlignment="1">
      <alignment horizontal="center" vertical="center" wrapText="1"/>
    </xf>
    <xf numFmtId="0" fontId="12" fillId="20" borderId="15" xfId="22" applyFont="1" applyFill="1" applyBorder="1" applyAlignment="1">
      <alignment horizontal="center" vertical="center" wrapText="1"/>
    </xf>
    <xf numFmtId="0" fontId="12" fillId="20" borderId="16" xfId="22" applyFont="1" applyFill="1" applyBorder="1" applyAlignment="1">
      <alignment horizontal="center" vertical="center" wrapText="1"/>
    </xf>
    <xf numFmtId="0" fontId="19" fillId="0" borderId="51" xfId="0" applyFont="1" applyBorder="1" applyAlignment="1">
      <alignment horizontal="left" vertical="center" wrapText="1"/>
    </xf>
    <xf numFmtId="0" fontId="19" fillId="0" borderId="52" xfId="0" applyFont="1" applyBorder="1" applyAlignment="1">
      <alignment horizontal="left" vertical="center" wrapText="1"/>
    </xf>
    <xf numFmtId="0" fontId="19" fillId="0" borderId="53" xfId="0" applyFont="1" applyBorder="1" applyAlignment="1">
      <alignment horizontal="left" vertical="center" wrapText="1"/>
    </xf>
    <xf numFmtId="0" fontId="12" fillId="0" borderId="27" xfId="22" applyFont="1" applyBorder="1" applyAlignment="1">
      <alignment horizontal="center" vertical="center"/>
    </xf>
    <xf numFmtId="0" fontId="12" fillId="0" borderId="28" xfId="22" applyFont="1" applyBorder="1" applyAlignment="1">
      <alignment horizontal="center" vertical="center"/>
    </xf>
    <xf numFmtId="0" fontId="12" fillId="0" borderId="29" xfId="22" applyFont="1" applyBorder="1" applyAlignment="1">
      <alignment horizontal="center" vertical="center"/>
    </xf>
    <xf numFmtId="0" fontId="19" fillId="0" borderId="5" xfId="0" applyFont="1" applyBorder="1" applyAlignment="1">
      <alignment horizontal="left" vertical="center" wrapText="1"/>
    </xf>
    <xf numFmtId="0" fontId="19" fillId="0" borderId="1" xfId="0" applyFont="1" applyBorder="1" applyAlignment="1">
      <alignment horizontal="left" vertical="center" wrapText="1"/>
    </xf>
    <xf numFmtId="0" fontId="19" fillId="0" borderId="9" xfId="0" applyFont="1" applyBorder="1" applyAlignment="1">
      <alignment horizontal="left" vertical="center" wrapText="1"/>
    </xf>
    <xf numFmtId="0" fontId="12" fillId="0" borderId="46" xfId="22" applyFont="1" applyBorder="1" applyAlignment="1">
      <alignment horizontal="center" vertical="center" wrapText="1"/>
    </xf>
    <xf numFmtId="0" fontId="12" fillId="0" borderId="52" xfId="22" applyFont="1" applyBorder="1" applyAlignment="1">
      <alignment horizontal="center" vertical="center" wrapText="1"/>
    </xf>
    <xf numFmtId="0" fontId="12" fillId="0" borderId="53" xfId="22" applyFont="1" applyBorder="1" applyAlignment="1">
      <alignment horizontal="center" vertical="center" wrapText="1"/>
    </xf>
    <xf numFmtId="0" fontId="12" fillId="0" borderId="33" xfId="22" applyFont="1" applyBorder="1" applyAlignment="1">
      <alignment horizontal="center" vertical="center" wrapText="1"/>
    </xf>
    <xf numFmtId="0" fontId="46" fillId="0" borderId="39" xfId="0" applyFont="1" applyBorder="1" applyAlignment="1">
      <alignment horizontal="left" vertical="center" wrapText="1"/>
    </xf>
    <xf numFmtId="0" fontId="46" fillId="0" borderId="19" xfId="0" applyFont="1" applyBorder="1" applyAlignment="1">
      <alignment horizontal="left" vertical="center" wrapText="1"/>
    </xf>
    <xf numFmtId="0" fontId="46" fillId="0" borderId="33" xfId="0" applyFont="1" applyBorder="1" applyAlignment="1">
      <alignment horizontal="left" vertical="center" wrapText="1"/>
    </xf>
    <xf numFmtId="0" fontId="0" fillId="0" borderId="57" xfId="0" applyBorder="1" applyAlignment="1">
      <alignment horizontal="center" vertical="center"/>
    </xf>
    <xf numFmtId="0" fontId="0" fillId="0" borderId="38" xfId="0" applyBorder="1" applyAlignment="1">
      <alignment horizontal="center" vertical="center"/>
    </xf>
    <xf numFmtId="0" fontId="38" fillId="0" borderId="54" xfId="0" applyFont="1" applyBorder="1" applyAlignment="1">
      <alignment horizontal="center" vertical="center" wrapText="1"/>
    </xf>
    <xf numFmtId="0" fontId="38" fillId="0" borderId="55" xfId="0" applyFont="1" applyBorder="1" applyAlignment="1">
      <alignment horizontal="center" vertical="center" wrapText="1"/>
    </xf>
    <xf numFmtId="0" fontId="15" fillId="0" borderId="43" xfId="22" applyFont="1" applyBorder="1" applyAlignment="1">
      <alignment horizontal="center" vertical="center" wrapText="1"/>
    </xf>
    <xf numFmtId="0" fontId="15" fillId="0" borderId="44" xfId="22" applyFont="1" applyBorder="1" applyAlignment="1">
      <alignment horizontal="center" vertical="center" wrapText="1"/>
    </xf>
    <xf numFmtId="0" fontId="15" fillId="0" borderId="45" xfId="22" applyFont="1" applyBorder="1" applyAlignment="1">
      <alignment horizontal="center" vertical="center" wrapText="1"/>
    </xf>
    <xf numFmtId="0" fontId="11" fillId="0" borderId="36" xfId="22" applyFont="1" applyBorder="1" applyAlignment="1">
      <alignment horizontal="center" vertical="center" wrapText="1"/>
    </xf>
    <xf numFmtId="0" fontId="11" fillId="0" borderId="13" xfId="22" applyFont="1" applyBorder="1" applyAlignment="1">
      <alignment horizontal="center" vertical="center" wrapText="1"/>
    </xf>
    <xf numFmtId="0" fontId="11" fillId="0" borderId="37" xfId="22" applyFont="1" applyBorder="1" applyAlignment="1">
      <alignment horizontal="center" vertical="center" wrapText="1"/>
    </xf>
    <xf numFmtId="0" fontId="49" fillId="0" borderId="0" xfId="0" applyFont="1" applyAlignment="1">
      <alignment vertical="top" wrapText="1"/>
    </xf>
    <xf numFmtId="0" fontId="12" fillId="20" borderId="47" xfId="22" applyFont="1" applyFill="1" applyBorder="1" applyAlignment="1">
      <alignment horizontal="center" vertical="center" wrapText="1"/>
    </xf>
    <xf numFmtId="9" fontId="12" fillId="0" borderId="43" xfId="22" applyNumberFormat="1" applyFont="1" applyBorder="1" applyAlignment="1">
      <alignment horizontal="center" vertical="center" wrapText="1"/>
    </xf>
    <xf numFmtId="9" fontId="12" fillId="0" borderId="45" xfId="22" applyNumberFormat="1" applyFont="1" applyBorder="1" applyAlignment="1">
      <alignment horizontal="center" vertical="center" wrapText="1"/>
    </xf>
    <xf numFmtId="0" fontId="12" fillId="20" borderId="36" xfId="22" applyFont="1" applyFill="1" applyBorder="1" applyAlignment="1">
      <alignment horizontal="left" vertical="center" wrapText="1"/>
    </xf>
    <xf numFmtId="0" fontId="12" fillId="20" borderId="12" xfId="22" applyFont="1" applyFill="1" applyBorder="1" applyAlignment="1">
      <alignment horizontal="left" vertical="center" wrapText="1"/>
    </xf>
    <xf numFmtId="0" fontId="12" fillId="20" borderId="13" xfId="22" applyFont="1" applyFill="1" applyBorder="1" applyAlignment="1">
      <alignment horizontal="left" vertical="center" wrapText="1"/>
    </xf>
    <xf numFmtId="0" fontId="12" fillId="20" borderId="14" xfId="22" applyFont="1" applyFill="1" applyBorder="1" applyAlignment="1">
      <alignment horizontal="left" vertical="center" wrapText="1"/>
    </xf>
    <xf numFmtId="0" fontId="12" fillId="20" borderId="37" xfId="22" applyFont="1" applyFill="1" applyBorder="1" applyAlignment="1">
      <alignment horizontal="left" vertical="center" wrapText="1"/>
    </xf>
    <xf numFmtId="0" fontId="12" fillId="20" borderId="16" xfId="22" applyFont="1" applyFill="1" applyBorder="1" applyAlignment="1">
      <alignment horizontal="left" vertical="center" wrapText="1"/>
    </xf>
    <xf numFmtId="0" fontId="45" fillId="0" borderId="48" xfId="0" applyFont="1" applyBorder="1" applyAlignment="1">
      <alignment horizontal="center" vertical="center"/>
    </xf>
    <xf numFmtId="0" fontId="45" fillId="0" borderId="49" xfId="0" applyFont="1" applyBorder="1" applyAlignment="1">
      <alignment horizontal="center" vertical="center"/>
    </xf>
    <xf numFmtId="0" fontId="45" fillId="0" borderId="50" xfId="0" applyFont="1" applyBorder="1" applyAlignment="1">
      <alignment horizontal="center" vertical="center"/>
    </xf>
    <xf numFmtId="0" fontId="12" fillId="0" borderId="36" xfId="22" applyFont="1" applyBorder="1" applyAlignment="1">
      <alignment horizontal="center" vertical="center" wrapText="1"/>
    </xf>
    <xf numFmtId="0" fontId="12" fillId="0" borderId="11" xfId="22" applyFont="1" applyBorder="1" applyAlignment="1">
      <alignment horizontal="center" vertical="center" wrapText="1"/>
    </xf>
    <xf numFmtId="0" fontId="12" fillId="0" borderId="12" xfId="22" applyFont="1" applyBorder="1" applyAlignment="1">
      <alignment horizontal="center" vertical="center" wrapText="1"/>
    </xf>
    <xf numFmtId="0" fontId="12" fillId="0" borderId="13" xfId="22" applyFont="1" applyBorder="1" applyAlignment="1">
      <alignment horizontal="center" vertical="center" wrapText="1"/>
    </xf>
    <xf numFmtId="0" fontId="12" fillId="0" borderId="0" xfId="22" applyFont="1" applyAlignment="1">
      <alignment horizontal="center" vertical="center" wrapText="1"/>
    </xf>
    <xf numFmtId="0" fontId="12" fillId="0" borderId="14" xfId="22" applyFont="1" applyBorder="1" applyAlignment="1">
      <alignment horizontal="center" vertical="center" wrapText="1"/>
    </xf>
    <xf numFmtId="0" fontId="12" fillId="0" borderId="37" xfId="22" applyFont="1" applyBorder="1" applyAlignment="1">
      <alignment horizontal="center" vertical="center" wrapText="1"/>
    </xf>
    <xf numFmtId="0" fontId="12" fillId="0" borderId="15" xfId="22" applyFont="1" applyBorder="1" applyAlignment="1">
      <alignment horizontal="center" vertical="center" wrapText="1"/>
    </xf>
    <xf numFmtId="0" fontId="12" fillId="0" borderId="16" xfId="22" applyFont="1" applyBorder="1" applyAlignment="1">
      <alignment horizontal="center" vertical="center" wrapText="1"/>
    </xf>
    <xf numFmtId="0" fontId="12" fillId="20" borderId="11" xfId="22" applyFont="1" applyFill="1" applyBorder="1" applyAlignment="1">
      <alignment horizontal="left" vertical="center" wrapText="1"/>
    </xf>
    <xf numFmtId="0" fontId="12" fillId="20" borderId="0" xfId="22" applyFont="1" applyFill="1" applyAlignment="1">
      <alignment horizontal="left" vertical="center" wrapText="1"/>
    </xf>
    <xf numFmtId="0" fontId="12" fillId="20" borderId="15" xfId="22" applyFont="1" applyFill="1" applyBorder="1" applyAlignment="1">
      <alignment horizontal="left" vertical="center" wrapText="1"/>
    </xf>
    <xf numFmtId="14" fontId="44" fillId="0" borderId="36" xfId="0" applyNumberFormat="1" applyFont="1" applyBorder="1" applyAlignment="1">
      <alignment horizontal="center" vertical="center"/>
    </xf>
    <xf numFmtId="0" fontId="44" fillId="0" borderId="12" xfId="0" applyFont="1" applyBorder="1" applyAlignment="1">
      <alignment horizontal="center" vertical="center"/>
    </xf>
    <xf numFmtId="0" fontId="44" fillId="0" borderId="13" xfId="0" applyFont="1" applyBorder="1" applyAlignment="1">
      <alignment horizontal="center" vertical="center"/>
    </xf>
    <xf numFmtId="0" fontId="44" fillId="0" borderId="14" xfId="0" applyFont="1" applyBorder="1" applyAlignment="1">
      <alignment horizontal="center" vertical="center"/>
    </xf>
    <xf numFmtId="0" fontId="44" fillId="0" borderId="37" xfId="0" applyFont="1" applyBorder="1" applyAlignment="1">
      <alignment horizontal="center" vertical="center"/>
    </xf>
    <xf numFmtId="0" fontId="44" fillId="0" borderId="16" xfId="0" applyFont="1"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38" fillId="0" borderId="56" xfId="0" applyFont="1" applyBorder="1" applyAlignment="1">
      <alignment horizontal="center" vertical="center" wrapText="1"/>
    </xf>
    <xf numFmtId="0" fontId="38" fillId="0" borderId="26" xfId="0" applyFont="1" applyBorder="1" applyAlignment="1">
      <alignment horizontal="center" vertical="center" wrapText="1"/>
    </xf>
    <xf numFmtId="0" fontId="0" fillId="0" borderId="56" xfId="0" applyBorder="1" applyAlignment="1">
      <alignment horizontal="center" vertical="center"/>
    </xf>
    <xf numFmtId="0" fontId="0" fillId="0" borderId="26" xfId="0" applyBorder="1" applyAlignment="1">
      <alignment horizontal="center" vertical="center"/>
    </xf>
    <xf numFmtId="0" fontId="38" fillId="0" borderId="57" xfId="0" applyFont="1" applyBorder="1" applyAlignment="1">
      <alignment horizontal="center" vertical="center" wrapText="1"/>
    </xf>
    <xf numFmtId="0" fontId="38" fillId="0" borderId="38" xfId="0" applyFont="1" applyBorder="1" applyAlignment="1">
      <alignment horizontal="center" vertical="center" wrapText="1"/>
    </xf>
    <xf numFmtId="0" fontId="12" fillId="20" borderId="101" xfId="22" applyFont="1" applyFill="1" applyBorder="1" applyAlignment="1">
      <alignment horizontal="center" vertical="center" wrapText="1"/>
    </xf>
    <xf numFmtId="0" fontId="12" fillId="20" borderId="102" xfId="22" applyFont="1" applyFill="1" applyBorder="1" applyAlignment="1">
      <alignment horizontal="center" vertical="center" wrapText="1"/>
    </xf>
    <xf numFmtId="0" fontId="12" fillId="20" borderId="18" xfId="22" applyFont="1" applyFill="1" applyBorder="1" applyAlignment="1">
      <alignment horizontal="center" vertical="center" wrapText="1"/>
    </xf>
    <xf numFmtId="0" fontId="11" fillId="20" borderId="19" xfId="22" applyFont="1" applyFill="1" applyBorder="1" applyAlignment="1">
      <alignment horizontal="center" vertical="center" wrapText="1"/>
    </xf>
    <xf numFmtId="0" fontId="12" fillId="20" borderId="10" xfId="22" applyFont="1" applyFill="1" applyBorder="1" applyAlignment="1">
      <alignment horizontal="center" vertical="center" wrapText="1"/>
    </xf>
    <xf numFmtId="9" fontId="43" fillId="0" borderId="52" xfId="30" applyFont="1" applyFill="1" applyBorder="1" applyAlignment="1" applyProtection="1">
      <alignment horizontal="left" vertical="center" wrapText="1"/>
    </xf>
    <xf numFmtId="9" fontId="43" fillId="0" borderId="19" xfId="30" applyFont="1" applyFill="1" applyBorder="1" applyAlignment="1" applyProtection="1">
      <alignment horizontal="left" vertical="center" wrapText="1"/>
    </xf>
    <xf numFmtId="9" fontId="43" fillId="0" borderId="53" xfId="30" applyFont="1" applyFill="1" applyBorder="1" applyAlignment="1" applyProtection="1">
      <alignment horizontal="left" vertical="center" wrapText="1"/>
    </xf>
    <xf numFmtId="9" fontId="43" fillId="0" borderId="33" xfId="30" applyFont="1" applyFill="1" applyBorder="1" applyAlignment="1" applyProtection="1">
      <alignment horizontal="left" vertical="center" wrapText="1"/>
    </xf>
    <xf numFmtId="0" fontId="12" fillId="20" borderId="64" xfId="22" applyFont="1" applyFill="1" applyBorder="1" applyAlignment="1">
      <alignment horizontal="center" vertical="center" wrapText="1"/>
    </xf>
    <xf numFmtId="0" fontId="12" fillId="20" borderId="55" xfId="22" applyFont="1" applyFill="1" applyBorder="1" applyAlignment="1">
      <alignment horizontal="center" vertical="center" wrapText="1"/>
    </xf>
    <xf numFmtId="0" fontId="12" fillId="20" borderId="65" xfId="22" applyFont="1" applyFill="1" applyBorder="1" applyAlignment="1">
      <alignment horizontal="center" vertical="center" wrapText="1"/>
    </xf>
    <xf numFmtId="0" fontId="12" fillId="20" borderId="38" xfId="22" applyFont="1" applyFill="1" applyBorder="1" applyAlignment="1">
      <alignment horizontal="center" vertical="center" wrapText="1"/>
    </xf>
    <xf numFmtId="2" fontId="11" fillId="0" borderId="8" xfId="0" applyNumberFormat="1" applyFont="1" applyBorder="1" applyAlignment="1">
      <alignment horizontal="left" vertical="center" wrapText="1"/>
    </xf>
    <xf numFmtId="0" fontId="20" fillId="0" borderId="8" xfId="0" applyFont="1" applyBorder="1"/>
    <xf numFmtId="9" fontId="43" fillId="0" borderId="58" xfId="22" applyNumberFormat="1" applyFont="1" applyBorder="1" applyAlignment="1">
      <alignment vertical="center" wrapText="1"/>
    </xf>
    <xf numFmtId="9" fontId="43" fillId="0" borderId="22" xfId="22" applyNumberFormat="1" applyFont="1" applyBorder="1" applyAlignment="1">
      <alignment vertical="center" wrapText="1"/>
    </xf>
    <xf numFmtId="9" fontId="43" fillId="0" borderId="63" xfId="22" applyNumberFormat="1" applyFont="1" applyBorder="1" applyAlignment="1">
      <alignment vertical="center" wrapText="1"/>
    </xf>
    <xf numFmtId="9" fontId="43" fillId="0" borderId="66" xfId="22" applyNumberFormat="1" applyFont="1" applyBorder="1" applyAlignment="1">
      <alignment vertical="center" wrapText="1"/>
    </xf>
    <xf numFmtId="9" fontId="43" fillId="0" borderId="0" xfId="22" applyNumberFormat="1" applyFont="1" applyAlignment="1">
      <alignment vertical="center" wrapText="1"/>
    </xf>
    <xf numFmtId="9" fontId="43" fillId="0" borderId="14" xfId="22" applyNumberFormat="1" applyFont="1" applyBorder="1" applyAlignment="1">
      <alignment vertical="center" wrapText="1"/>
    </xf>
    <xf numFmtId="2" fontId="11" fillId="0" borderId="32" xfId="0" applyNumberFormat="1" applyFont="1" applyBorder="1" applyAlignment="1">
      <alignment horizontal="left" vertical="center" wrapText="1"/>
    </xf>
    <xf numFmtId="0" fontId="20" fillId="0" borderId="31" xfId="0" applyFont="1" applyBorder="1"/>
    <xf numFmtId="9" fontId="11" fillId="0" borderId="4" xfId="22" applyNumberFormat="1" applyFont="1" applyBorder="1" applyAlignment="1">
      <alignment horizontal="center" vertical="center" wrapText="1"/>
    </xf>
    <xf numFmtId="9" fontId="43" fillId="0" borderId="41" xfId="22" applyNumberFormat="1" applyFont="1" applyBorder="1" applyAlignment="1">
      <alignment vertical="center" wrapText="1"/>
    </xf>
    <xf numFmtId="9" fontId="43" fillId="0" borderId="15" xfId="22" applyNumberFormat="1" applyFont="1" applyBorder="1" applyAlignment="1">
      <alignment vertical="center" wrapText="1"/>
    </xf>
    <xf numFmtId="9" fontId="43" fillId="0" borderId="16" xfId="22" applyNumberFormat="1" applyFont="1" applyBorder="1" applyAlignment="1">
      <alignment vertical="center" wrapText="1"/>
    </xf>
    <xf numFmtId="2" fontId="11" fillId="0" borderId="46" xfId="0" applyNumberFormat="1" applyFont="1" applyBorder="1" applyAlignment="1">
      <alignment horizontal="left" vertical="center" wrapText="1"/>
    </xf>
    <xf numFmtId="9" fontId="43" fillId="0" borderId="113" xfId="22" applyNumberFormat="1" applyFont="1" applyBorder="1" applyAlignment="1">
      <alignment vertical="center" wrapText="1"/>
    </xf>
    <xf numFmtId="9" fontId="43" fillId="0" borderId="11" xfId="22" applyNumberFormat="1" applyFont="1" applyBorder="1" applyAlignment="1">
      <alignment vertical="center" wrapText="1"/>
    </xf>
    <xf numFmtId="9" fontId="43" fillId="0" borderId="12" xfId="22" applyNumberFormat="1" applyFont="1" applyBorder="1" applyAlignment="1">
      <alignment vertical="center" wrapText="1"/>
    </xf>
    <xf numFmtId="0" fontId="12" fillId="20" borderId="66" xfId="22" applyFont="1" applyFill="1" applyBorder="1" applyAlignment="1">
      <alignment horizontal="center" vertical="center" wrapText="1"/>
    </xf>
    <xf numFmtId="0" fontId="12" fillId="20" borderId="24" xfId="22" applyFont="1" applyFill="1" applyBorder="1" applyAlignment="1">
      <alignment horizontal="center" vertical="center" wrapText="1"/>
    </xf>
    <xf numFmtId="0" fontId="12" fillId="0" borderId="67" xfId="22" applyFont="1" applyBorder="1" applyAlignment="1">
      <alignment horizontal="center" vertical="center" wrapText="1"/>
    </xf>
    <xf numFmtId="9" fontId="12" fillId="0" borderId="61" xfId="22" applyNumberFormat="1" applyFont="1" applyBorder="1" applyAlignment="1">
      <alignment horizontal="center" vertical="center" wrapText="1"/>
    </xf>
    <xf numFmtId="0" fontId="12" fillId="0" borderId="40" xfId="22" applyFont="1" applyBorder="1" applyAlignment="1">
      <alignment horizontal="center" vertical="center" wrapText="1"/>
    </xf>
    <xf numFmtId="9" fontId="43" fillId="0" borderId="46" xfId="30" applyFont="1" applyFill="1" applyBorder="1" applyAlignment="1" applyProtection="1">
      <alignment horizontal="left" vertical="center" wrapText="1"/>
    </xf>
    <xf numFmtId="9" fontId="43" fillId="0" borderId="31" xfId="30" applyFont="1" applyFill="1" applyBorder="1" applyAlignment="1" applyProtection="1">
      <alignment horizontal="left" vertical="center" wrapText="1"/>
    </xf>
    <xf numFmtId="0" fontId="51" fillId="0" borderId="36" xfId="0" applyFont="1" applyBorder="1" applyAlignment="1">
      <alignment horizontal="left" vertical="center" wrapText="1"/>
    </xf>
    <xf numFmtId="0" fontId="51" fillId="0" borderId="11" xfId="0" applyFont="1" applyBorder="1" applyAlignment="1">
      <alignment horizontal="left" vertical="center" wrapText="1"/>
    </xf>
    <xf numFmtId="0" fontId="51" fillId="0" borderId="12" xfId="0" applyFont="1" applyBorder="1" applyAlignment="1">
      <alignment horizontal="left" vertical="center" wrapText="1"/>
    </xf>
    <xf numFmtId="0" fontId="51" fillId="0" borderId="13" xfId="0" applyFont="1" applyBorder="1" applyAlignment="1">
      <alignment horizontal="left" vertical="center" wrapText="1"/>
    </xf>
    <xf numFmtId="0" fontId="51" fillId="0" borderId="0" xfId="0" applyFont="1" applyAlignment="1">
      <alignment horizontal="left" vertical="center" wrapText="1"/>
    </xf>
    <xf numFmtId="0" fontId="51" fillId="0" borderId="14" xfId="0" applyFont="1" applyBorder="1" applyAlignment="1">
      <alignment horizontal="left" vertical="center" wrapText="1"/>
    </xf>
    <xf numFmtId="2" fontId="12" fillId="0" borderId="43" xfId="28" applyNumberFormat="1" applyFont="1" applyFill="1" applyBorder="1" applyAlignment="1" applyProtection="1">
      <alignment horizontal="center" vertical="center" wrapText="1"/>
    </xf>
    <xf numFmtId="2" fontId="12" fillId="0" borderId="45" xfId="28" applyNumberFormat="1" applyFont="1" applyFill="1" applyBorder="1" applyAlignment="1" applyProtection="1">
      <alignment horizontal="center" vertical="center" wrapText="1"/>
    </xf>
    <xf numFmtId="0" fontId="51" fillId="0" borderId="80" xfId="0" applyFont="1" applyBorder="1" applyAlignment="1">
      <alignment horizontal="left" vertical="center" wrapText="1"/>
    </xf>
    <xf numFmtId="0" fontId="51" fillId="0" borderId="112" xfId="0" applyFont="1" applyBorder="1" applyAlignment="1">
      <alignment horizontal="left" vertical="center" wrapText="1"/>
    </xf>
    <xf numFmtId="0" fontId="12" fillId="20" borderId="34" xfId="22" applyFont="1" applyFill="1" applyBorder="1" applyAlignment="1">
      <alignment horizontal="center" vertical="center" wrapText="1"/>
    </xf>
    <xf numFmtId="0" fontId="12" fillId="20" borderId="33" xfId="22" applyFont="1" applyFill="1" applyBorder="1" applyAlignment="1">
      <alignment horizontal="center" vertical="center" wrapText="1"/>
    </xf>
    <xf numFmtId="0" fontId="12" fillId="20" borderId="54" xfId="22" applyFont="1" applyFill="1" applyBorder="1" applyAlignment="1">
      <alignment horizontal="center" vertical="center" wrapText="1"/>
    </xf>
    <xf numFmtId="0" fontId="12" fillId="20" borderId="57" xfId="22" applyFont="1" applyFill="1" applyBorder="1" applyAlignment="1">
      <alignment horizontal="center" vertical="center" wrapText="1"/>
    </xf>
    <xf numFmtId="2" fontId="11" fillId="0" borderId="8" xfId="0" applyNumberFormat="1" applyFont="1" applyBorder="1" applyAlignment="1">
      <alignment horizontal="justify" vertical="center" wrapText="1"/>
    </xf>
    <xf numFmtId="0" fontId="20" fillId="0" borderId="8" xfId="0" applyFont="1" applyBorder="1" applyAlignment="1">
      <alignment horizontal="justify" vertical="center" wrapText="1"/>
    </xf>
    <xf numFmtId="0" fontId="51" fillId="0" borderId="37" xfId="0" applyFont="1" applyBorder="1" applyAlignment="1">
      <alignment horizontal="left" vertical="center" wrapText="1"/>
    </xf>
    <xf numFmtId="0" fontId="51" fillId="0" borderId="15" xfId="0" applyFont="1" applyBorder="1" applyAlignment="1">
      <alignment horizontal="left" vertical="center" wrapText="1"/>
    </xf>
    <xf numFmtId="0" fontId="51" fillId="0" borderId="16" xfId="0" applyFont="1" applyBorder="1" applyAlignment="1">
      <alignment horizontal="left" vertical="center" wrapText="1"/>
    </xf>
    <xf numFmtId="2" fontId="11" fillId="0" borderId="13" xfId="0" applyNumberFormat="1" applyFont="1" applyBorder="1" applyAlignment="1">
      <alignment horizontal="justify" vertical="center" wrapText="1"/>
    </xf>
    <xf numFmtId="0" fontId="20" fillId="0" borderId="37" xfId="0" applyFont="1" applyBorder="1" applyAlignment="1">
      <alignment horizontal="justify" vertical="center" wrapText="1"/>
    </xf>
    <xf numFmtId="2" fontId="11" fillId="0" borderId="46" xfId="0" applyNumberFormat="1" applyFont="1" applyBorder="1" applyAlignment="1">
      <alignment horizontal="justify" vertical="center" wrapText="1"/>
    </xf>
    <xf numFmtId="0" fontId="12" fillId="20" borderId="41" xfId="22" applyFont="1" applyFill="1" applyBorder="1" applyAlignment="1">
      <alignment horizontal="center" vertical="center" wrapText="1"/>
    </xf>
    <xf numFmtId="0" fontId="12" fillId="20" borderId="42" xfId="22" applyFont="1" applyFill="1" applyBorder="1" applyAlignment="1">
      <alignment horizontal="center" vertical="center" wrapText="1"/>
    </xf>
    <xf numFmtId="0" fontId="12" fillId="0" borderId="8" xfId="22" applyFont="1" applyBorder="1" applyAlignment="1">
      <alignment horizontal="justify" vertical="center" wrapText="1"/>
    </xf>
    <xf numFmtId="0" fontId="12" fillId="0" borderId="31" xfId="22" applyFont="1" applyBorder="1" applyAlignment="1">
      <alignment horizontal="justify" vertical="center" wrapText="1"/>
    </xf>
    <xf numFmtId="0" fontId="51" fillId="0" borderId="110" xfId="0" applyFont="1" applyBorder="1" applyAlignment="1">
      <alignment horizontal="left" vertical="center" wrapText="1"/>
    </xf>
    <xf numFmtId="0" fontId="52" fillId="0" borderId="80" xfId="0" applyFont="1" applyBorder="1" applyAlignment="1">
      <alignment horizontal="left" vertical="center" wrapText="1"/>
    </xf>
    <xf numFmtId="0" fontId="53" fillId="0" borderId="111" xfId="0" applyFont="1" applyBorder="1" applyAlignment="1">
      <alignment horizontal="left" vertical="center" wrapText="1"/>
    </xf>
    <xf numFmtId="0" fontId="53" fillId="0" borderId="0" xfId="0" applyFont="1" applyAlignment="1">
      <alignment horizontal="left" vertical="center" wrapText="1"/>
    </xf>
    <xf numFmtId="0" fontId="53" fillId="0" borderId="90" xfId="0" applyFont="1" applyBorder="1" applyAlignment="1">
      <alignment horizontal="left" vertical="center" wrapText="1"/>
    </xf>
    <xf numFmtId="0" fontId="11" fillId="20" borderId="10" xfId="22" applyFont="1" applyFill="1" applyBorder="1" applyAlignment="1">
      <alignment horizontal="center" vertical="center" wrapText="1"/>
    </xf>
    <xf numFmtId="9" fontId="54" fillId="0" borderId="66" xfId="30" applyFont="1" applyFill="1" applyBorder="1" applyAlignment="1" applyProtection="1">
      <alignment horizontal="justify" vertical="center" wrapText="1"/>
    </xf>
    <xf numFmtId="9" fontId="40" fillId="0" borderId="0" xfId="30" applyFont="1" applyFill="1" applyBorder="1" applyAlignment="1" applyProtection="1">
      <alignment horizontal="justify" vertical="center" wrapText="1"/>
    </xf>
    <xf numFmtId="9" fontId="40" fillId="0" borderId="24" xfId="30" applyFont="1" applyFill="1" applyBorder="1" applyAlignment="1" applyProtection="1">
      <alignment horizontal="justify" vertical="center" wrapText="1"/>
    </xf>
    <xf numFmtId="9" fontId="40" fillId="0" borderId="41" xfId="30" applyFont="1" applyFill="1" applyBorder="1" applyAlignment="1" applyProtection="1">
      <alignment horizontal="justify" vertical="center" wrapText="1"/>
    </xf>
    <xf numFmtId="9" fontId="40" fillId="0" borderId="15" xfId="30" applyFont="1" applyFill="1" applyBorder="1" applyAlignment="1" applyProtection="1">
      <alignment horizontal="justify" vertical="center" wrapText="1"/>
    </xf>
    <xf numFmtId="9" fontId="40" fillId="0" borderId="42" xfId="30" applyFont="1" applyFill="1" applyBorder="1" applyAlignment="1" applyProtection="1">
      <alignment horizontal="justify" vertical="center" wrapText="1"/>
    </xf>
    <xf numFmtId="9" fontId="54" fillId="0" borderId="66" xfId="30" applyFont="1" applyFill="1" applyBorder="1" applyAlignment="1" applyProtection="1">
      <alignment horizontal="left" vertical="center" wrapText="1"/>
    </xf>
    <xf numFmtId="9" fontId="40" fillId="0" borderId="0" xfId="30" applyFont="1" applyFill="1" applyBorder="1" applyAlignment="1" applyProtection="1">
      <alignment horizontal="left" vertical="center" wrapText="1"/>
    </xf>
    <xf numFmtId="9" fontId="40" fillId="0" borderId="14" xfId="30" applyFont="1" applyFill="1" applyBorder="1" applyAlignment="1" applyProtection="1">
      <alignment horizontal="left" vertical="center" wrapText="1"/>
    </xf>
    <xf numFmtId="9" fontId="40" fillId="0" borderId="41" xfId="30" applyFont="1" applyFill="1" applyBorder="1" applyAlignment="1" applyProtection="1">
      <alignment horizontal="left" vertical="center" wrapText="1"/>
    </xf>
    <xf numFmtId="9" fontId="40" fillId="0" borderId="15" xfId="30" applyFont="1" applyFill="1" applyBorder="1" applyAlignment="1" applyProtection="1">
      <alignment horizontal="left" vertical="center" wrapText="1"/>
    </xf>
    <xf numFmtId="9" fontId="40" fillId="0" borderId="16" xfId="30" applyFont="1" applyFill="1" applyBorder="1" applyAlignment="1" applyProtection="1">
      <alignment horizontal="left" vertical="center" wrapText="1"/>
    </xf>
    <xf numFmtId="0" fontId="12" fillId="20" borderId="4" xfId="22" applyFont="1" applyFill="1" applyBorder="1" applyAlignment="1">
      <alignment horizontal="center" vertical="center" wrapText="1"/>
    </xf>
    <xf numFmtId="9" fontId="43" fillId="0" borderId="0" xfId="22" applyNumberFormat="1" applyFont="1" applyAlignment="1">
      <alignment horizontal="left" vertical="center" wrapText="1"/>
    </xf>
    <xf numFmtId="9" fontId="43" fillId="0" borderId="14" xfId="22" applyNumberFormat="1" applyFont="1" applyBorder="1" applyAlignment="1">
      <alignment horizontal="left" vertical="center" wrapText="1"/>
    </xf>
    <xf numFmtId="9" fontId="54" fillId="0" borderId="22" xfId="22" applyNumberFormat="1" applyFont="1" applyBorder="1" applyAlignment="1">
      <alignment horizontal="left" vertical="center" wrapText="1"/>
    </xf>
    <xf numFmtId="9" fontId="40" fillId="0" borderId="22" xfId="22" applyNumberFormat="1" applyFont="1" applyBorder="1" applyAlignment="1">
      <alignment horizontal="left" vertical="center" wrapText="1"/>
    </xf>
    <xf numFmtId="9" fontId="40" fillId="0" borderId="63" xfId="22" applyNumberFormat="1" applyFont="1" applyBorder="1" applyAlignment="1">
      <alignment horizontal="left" vertical="center" wrapText="1"/>
    </xf>
    <xf numFmtId="9" fontId="40" fillId="0" borderId="15" xfId="22" applyNumberFormat="1" applyFont="1" applyBorder="1" applyAlignment="1">
      <alignment horizontal="left" vertical="center" wrapText="1"/>
    </xf>
    <xf numFmtId="9" fontId="40" fillId="0" borderId="16" xfId="22" applyNumberFormat="1" applyFont="1" applyBorder="1" applyAlignment="1">
      <alignment horizontal="left" vertical="center" wrapText="1"/>
    </xf>
    <xf numFmtId="2" fontId="11" fillId="0" borderId="32" xfId="0" applyNumberFormat="1" applyFont="1" applyBorder="1" applyAlignment="1">
      <alignment horizontal="justify" vertical="center" wrapText="1"/>
    </xf>
    <xf numFmtId="0" fontId="12" fillId="0" borderId="46" xfId="22" applyFont="1" applyBorder="1" applyAlignment="1">
      <alignment horizontal="justify" vertical="center" wrapText="1"/>
    </xf>
    <xf numFmtId="9" fontId="12" fillId="0" borderId="52" xfId="22" applyNumberFormat="1" applyFont="1" applyBorder="1" applyAlignment="1">
      <alignment horizontal="center" vertical="center" wrapText="1"/>
    </xf>
    <xf numFmtId="9" fontId="43" fillId="0" borderId="0" xfId="30" applyFont="1" applyFill="1" applyBorder="1" applyAlignment="1" applyProtection="1">
      <alignment horizontal="left" vertical="center" wrapText="1"/>
    </xf>
    <xf numFmtId="9" fontId="43" fillId="0" borderId="24" xfId="30" applyFont="1" applyFill="1" applyBorder="1" applyAlignment="1" applyProtection="1">
      <alignment horizontal="left" vertical="center" wrapText="1"/>
    </xf>
    <xf numFmtId="9" fontId="43" fillId="0" borderId="15" xfId="30" applyFont="1" applyFill="1" applyBorder="1" applyAlignment="1" applyProtection="1">
      <alignment horizontal="left" vertical="center" wrapText="1"/>
    </xf>
    <xf numFmtId="9" fontId="43" fillId="0" borderId="42" xfId="30" applyFont="1" applyFill="1" applyBorder="1" applyAlignment="1" applyProtection="1">
      <alignment horizontal="left" vertical="center" wrapText="1"/>
    </xf>
    <xf numFmtId="9" fontId="11" fillId="0" borderId="113" xfId="30" applyFont="1" applyFill="1" applyBorder="1" applyAlignment="1" applyProtection="1">
      <alignment horizontal="left" vertical="center" wrapText="1"/>
    </xf>
    <xf numFmtId="9" fontId="11" fillId="0" borderId="11" xfId="30" applyFont="1" applyFill="1" applyBorder="1" applyAlignment="1" applyProtection="1">
      <alignment horizontal="left" vertical="center" wrapText="1"/>
    </xf>
    <xf numFmtId="9" fontId="11" fillId="0" borderId="114" xfId="30" applyFont="1" applyFill="1" applyBorder="1" applyAlignment="1" applyProtection="1">
      <alignment horizontal="left" vertical="center" wrapText="1"/>
    </xf>
    <xf numFmtId="9" fontId="11" fillId="0" borderId="41" xfId="30" applyFont="1" applyFill="1" applyBorder="1" applyAlignment="1" applyProtection="1">
      <alignment horizontal="left" vertical="center" wrapText="1"/>
    </xf>
    <xf numFmtId="9" fontId="11" fillId="0" borderId="15" xfId="30" applyFont="1" applyFill="1" applyBorder="1" applyAlignment="1" applyProtection="1">
      <alignment horizontal="left" vertical="center" wrapText="1"/>
    </xf>
    <xf numFmtId="9" fontId="11" fillId="0" borderId="42" xfId="30" applyFont="1" applyFill="1" applyBorder="1" applyAlignment="1" applyProtection="1">
      <alignment horizontal="left" vertical="center" wrapText="1"/>
    </xf>
    <xf numFmtId="0" fontId="20" fillId="0" borderId="31" xfId="0" applyFont="1" applyBorder="1" applyAlignment="1">
      <alignment horizontal="justify" vertical="center" wrapText="1"/>
    </xf>
    <xf numFmtId="9" fontId="11" fillId="0" borderId="2" xfId="22" applyNumberFormat="1" applyFont="1" applyBorder="1" applyAlignment="1">
      <alignment horizontal="center" vertical="center" wrapText="1"/>
    </xf>
    <xf numFmtId="0" fontId="11" fillId="0" borderId="21" xfId="22" applyFont="1" applyBorder="1" applyAlignment="1">
      <alignment horizontal="center" vertical="center" wrapText="1"/>
    </xf>
    <xf numFmtId="9" fontId="43" fillId="0" borderId="15" xfId="22" applyNumberFormat="1" applyFont="1" applyBorder="1" applyAlignment="1">
      <alignment horizontal="left" vertical="center" wrapText="1"/>
    </xf>
    <xf numFmtId="9" fontId="43" fillId="0" borderId="16" xfId="22" applyNumberFormat="1" applyFont="1" applyBorder="1" applyAlignment="1">
      <alignment horizontal="left" vertical="center" wrapText="1"/>
    </xf>
    <xf numFmtId="9" fontId="43" fillId="0" borderId="0" xfId="30" applyFont="1" applyFill="1" applyBorder="1" applyAlignment="1" applyProtection="1">
      <alignment horizontal="justify" vertical="center" wrapText="1"/>
    </xf>
    <xf numFmtId="9" fontId="43" fillId="0" borderId="24" xfId="30" applyFont="1" applyFill="1" applyBorder="1" applyAlignment="1" applyProtection="1">
      <alignment horizontal="justify" vertical="center" wrapText="1"/>
    </xf>
    <xf numFmtId="9" fontId="43" fillId="0" borderId="15" xfId="30" applyFont="1" applyFill="1" applyBorder="1" applyAlignment="1" applyProtection="1">
      <alignment horizontal="justify" vertical="center" wrapText="1"/>
    </xf>
    <xf numFmtId="9" fontId="43" fillId="0" borderId="42" xfId="30" applyFont="1" applyFill="1" applyBorder="1" applyAlignment="1" applyProtection="1">
      <alignment horizontal="justify" vertical="center" wrapText="1"/>
    </xf>
    <xf numFmtId="9" fontId="43" fillId="0" borderId="66" xfId="30" applyFont="1" applyFill="1" applyBorder="1" applyAlignment="1" applyProtection="1">
      <alignment horizontal="left" vertical="center" wrapText="1"/>
    </xf>
    <xf numFmtId="9" fontId="43" fillId="0" borderId="41" xfId="30" applyFont="1" applyFill="1" applyBorder="1" applyAlignment="1" applyProtection="1">
      <alignment horizontal="left" vertical="center" wrapText="1"/>
    </xf>
    <xf numFmtId="0" fontId="12" fillId="0" borderId="10" xfId="22" applyFont="1" applyBorder="1" applyAlignment="1">
      <alignment horizontal="center" vertical="center" wrapText="1"/>
    </xf>
    <xf numFmtId="0" fontId="12" fillId="19" borderId="20" xfId="22" applyFont="1" applyFill="1" applyBorder="1" applyAlignment="1">
      <alignment horizontal="center" vertical="center" wrapText="1"/>
    </xf>
    <xf numFmtId="0" fontId="12" fillId="19" borderId="3" xfId="22" applyFont="1" applyFill="1" applyBorder="1" applyAlignment="1">
      <alignment horizontal="center" vertical="center" wrapText="1"/>
    </xf>
    <xf numFmtId="0" fontId="12" fillId="19" borderId="7" xfId="22" applyFont="1" applyFill="1" applyBorder="1" applyAlignment="1">
      <alignment horizontal="center" vertical="center" wrapText="1"/>
    </xf>
    <xf numFmtId="0" fontId="44" fillId="0" borderId="36" xfId="0" applyFont="1" applyBorder="1" applyAlignment="1">
      <alignment horizontal="center" vertical="center"/>
    </xf>
    <xf numFmtId="0" fontId="12" fillId="20" borderId="36" xfId="22" applyFont="1" applyFill="1" applyBorder="1" applyAlignment="1">
      <alignment horizontal="center" vertical="center" wrapText="1"/>
    </xf>
    <xf numFmtId="0" fontId="12" fillId="20" borderId="12" xfId="22" applyFont="1" applyFill="1" applyBorder="1" applyAlignment="1">
      <alignment horizontal="center" vertical="center" wrapText="1"/>
    </xf>
    <xf numFmtId="171" fontId="12" fillId="19" borderId="57" xfId="17" applyNumberFormat="1" applyFont="1" applyFill="1" applyBorder="1" applyAlignment="1" applyProtection="1">
      <alignment horizontal="center" vertical="center" wrapText="1"/>
    </xf>
    <xf numFmtId="171" fontId="12" fillId="19" borderId="65" xfId="17" applyNumberFormat="1" applyFont="1" applyFill="1" applyBorder="1" applyAlignment="1" applyProtection="1">
      <alignment horizontal="center" vertical="center" wrapText="1"/>
    </xf>
    <xf numFmtId="171" fontId="12" fillId="19" borderId="39" xfId="17" applyNumberFormat="1" applyFont="1" applyFill="1" applyBorder="1" applyAlignment="1" applyProtection="1">
      <alignment horizontal="center" vertical="center" wrapText="1"/>
    </xf>
    <xf numFmtId="0" fontId="12" fillId="19" borderId="56" xfId="22" applyFont="1" applyFill="1" applyBorder="1" applyAlignment="1">
      <alignment horizontal="center" vertical="center" wrapText="1"/>
    </xf>
    <xf numFmtId="0" fontId="12" fillId="19" borderId="59" xfId="22" applyFont="1" applyFill="1" applyBorder="1" applyAlignment="1">
      <alignment horizontal="center" vertical="center" wrapText="1"/>
    </xf>
    <xf numFmtId="0" fontId="12" fillId="19" borderId="5" xfId="22" applyFont="1" applyFill="1" applyBorder="1" applyAlignment="1">
      <alignment horizontal="center" vertical="center" wrapText="1"/>
    </xf>
    <xf numFmtId="171" fontId="12" fillId="0" borderId="2" xfId="17" applyNumberFormat="1" applyFont="1" applyFill="1" applyBorder="1" applyAlignment="1" applyProtection="1">
      <alignment horizontal="center" vertical="center" wrapText="1"/>
    </xf>
    <xf numFmtId="171" fontId="12" fillId="0" borderId="26" xfId="17" applyNumberFormat="1" applyFont="1" applyFill="1" applyBorder="1" applyAlignment="1" applyProtection="1">
      <alignment horizontal="center" vertical="center" wrapText="1"/>
    </xf>
    <xf numFmtId="171" fontId="12" fillId="19" borderId="21" xfId="17" applyNumberFormat="1" applyFont="1" applyFill="1" applyBorder="1" applyAlignment="1" applyProtection="1">
      <alignment horizontal="center" vertical="center" wrapText="1"/>
    </xf>
    <xf numFmtId="0" fontId="12" fillId="0" borderId="2" xfId="22" applyFont="1" applyBorder="1" applyAlignment="1">
      <alignment horizontal="center" vertical="center" wrapText="1"/>
    </xf>
    <xf numFmtId="0" fontId="12" fillId="0" borderId="59" xfId="22" applyFont="1" applyBorder="1" applyAlignment="1">
      <alignment horizontal="center" vertical="center" wrapText="1"/>
    </xf>
    <xf numFmtId="0" fontId="12" fillId="0" borderId="5" xfId="22" applyFont="1" applyBorder="1" applyAlignment="1">
      <alignment horizontal="center" vertical="center" wrapText="1"/>
    </xf>
    <xf numFmtId="0" fontId="12" fillId="0" borderId="36" xfId="22" applyFont="1" applyBorder="1" applyAlignment="1">
      <alignment horizontal="center" vertical="center"/>
    </xf>
    <xf numFmtId="0" fontId="12" fillId="0" borderId="11" xfId="22" applyFont="1" applyBorder="1" applyAlignment="1">
      <alignment horizontal="center" vertical="center"/>
    </xf>
    <xf numFmtId="0" fontId="12" fillId="0" borderId="12" xfId="22" applyFont="1" applyBorder="1" applyAlignment="1">
      <alignment horizontal="center" vertical="center"/>
    </xf>
    <xf numFmtId="9" fontId="40" fillId="0" borderId="58" xfId="22" applyNumberFormat="1" applyFont="1" applyBorder="1" applyAlignment="1">
      <alignment horizontal="center" vertical="center" wrapText="1"/>
    </xf>
    <xf numFmtId="9" fontId="40" fillId="0" borderId="22" xfId="22" applyNumberFormat="1" applyFont="1" applyBorder="1" applyAlignment="1">
      <alignment horizontal="center" vertical="center" wrapText="1"/>
    </xf>
    <xf numFmtId="9" fontId="40" fillId="0" borderId="63" xfId="22" applyNumberFormat="1" applyFont="1" applyBorder="1" applyAlignment="1">
      <alignment horizontal="center" vertical="center" wrapText="1"/>
    </xf>
    <xf numFmtId="9" fontId="40" fillId="0" borderId="66" xfId="22" applyNumberFormat="1" applyFont="1" applyBorder="1" applyAlignment="1">
      <alignment horizontal="center" vertical="center" wrapText="1"/>
    </xf>
    <xf numFmtId="9" fontId="40" fillId="0" borderId="0" xfId="22" applyNumberFormat="1" applyFont="1" applyAlignment="1">
      <alignment horizontal="center" vertical="center" wrapText="1"/>
    </xf>
    <xf numFmtId="9" fontId="40" fillId="0" borderId="14" xfId="22" applyNumberFormat="1" applyFont="1" applyBorder="1" applyAlignment="1">
      <alignment horizontal="center" vertical="center" wrapText="1"/>
    </xf>
    <xf numFmtId="0" fontId="12" fillId="0" borderId="13" xfId="22" applyFont="1" applyBorder="1" applyAlignment="1">
      <alignment horizontal="center" vertical="center"/>
    </xf>
    <xf numFmtId="0" fontId="12" fillId="0" borderId="0" xfId="22" applyFont="1" applyAlignment="1">
      <alignment horizontal="center" vertical="center"/>
    </xf>
    <xf numFmtId="0" fontId="12" fillId="0" borderId="14" xfId="22" applyFont="1" applyBorder="1" applyAlignment="1">
      <alignment horizontal="center" vertical="center"/>
    </xf>
    <xf numFmtId="0" fontId="12" fillId="19" borderId="0" xfId="22" applyFont="1" applyFill="1" applyAlignment="1">
      <alignment horizontal="center" vertical="center" wrapText="1"/>
    </xf>
    <xf numFmtId="9" fontId="40" fillId="0" borderId="58" xfId="30" applyFont="1" applyFill="1" applyBorder="1" applyAlignment="1" applyProtection="1">
      <alignment horizontal="center" vertical="center" wrapText="1"/>
    </xf>
    <xf numFmtId="9" fontId="40" fillId="0" borderId="22" xfId="30" applyFont="1" applyFill="1" applyBorder="1" applyAlignment="1" applyProtection="1">
      <alignment horizontal="center" vertical="center" wrapText="1"/>
    </xf>
    <xf numFmtId="9" fontId="40" fillId="0" borderId="23" xfId="30" applyFont="1" applyFill="1" applyBorder="1" applyAlignment="1" applyProtection="1">
      <alignment horizontal="center" vertical="center" wrapText="1"/>
    </xf>
    <xf numFmtId="9" fontId="40" fillId="0" borderId="41" xfId="30" applyFont="1" applyFill="1" applyBorder="1" applyAlignment="1" applyProtection="1">
      <alignment horizontal="center" vertical="center" wrapText="1"/>
    </xf>
    <xf numFmtId="9" fontId="40" fillId="0" borderId="15" xfId="30" applyFont="1" applyFill="1" applyBorder="1" applyAlignment="1" applyProtection="1">
      <alignment horizontal="center" vertical="center" wrapText="1"/>
    </xf>
    <xf numFmtId="9" fontId="40" fillId="0" borderId="42" xfId="30" applyFont="1" applyFill="1" applyBorder="1" applyAlignment="1" applyProtection="1">
      <alignment horizontal="center" vertical="center" wrapText="1"/>
    </xf>
    <xf numFmtId="9" fontId="40" fillId="0" borderId="63" xfId="30" applyFont="1" applyFill="1" applyBorder="1" applyAlignment="1" applyProtection="1">
      <alignment horizontal="center" vertical="center" wrapText="1"/>
    </xf>
    <xf numFmtId="9" fontId="40" fillId="0" borderId="16" xfId="30" applyFont="1" applyFill="1" applyBorder="1" applyAlignment="1" applyProtection="1">
      <alignment horizontal="center" vertical="center" wrapText="1"/>
    </xf>
    <xf numFmtId="0" fontId="12" fillId="19" borderId="6" xfId="22" applyFont="1" applyFill="1" applyBorder="1" applyAlignment="1">
      <alignment horizontal="center" vertical="center" wrapText="1"/>
    </xf>
    <xf numFmtId="0" fontId="12" fillId="19" borderId="25" xfId="22" applyFont="1" applyFill="1" applyBorder="1" applyAlignment="1">
      <alignment horizontal="center" vertical="center" wrapText="1"/>
    </xf>
    <xf numFmtId="2" fontId="11" fillId="0" borderId="18" xfId="22" applyNumberFormat="1" applyFont="1" applyBorder="1" applyAlignment="1">
      <alignment vertical="center" wrapText="1"/>
    </xf>
    <xf numFmtId="0" fontId="0" fillId="0" borderId="67" xfId="0" applyBorder="1" applyAlignment="1">
      <alignment vertical="center" wrapText="1"/>
    </xf>
    <xf numFmtId="0" fontId="12" fillId="2" borderId="13" xfId="22" applyFont="1" applyFill="1" applyBorder="1" applyAlignment="1">
      <alignment horizontal="center" vertical="center" wrapText="1"/>
    </xf>
    <xf numFmtId="0" fontId="12" fillId="20" borderId="27" xfId="22" applyFont="1" applyFill="1" applyBorder="1" applyAlignment="1">
      <alignment horizontal="center" vertical="center" wrapText="1"/>
    </xf>
    <xf numFmtId="0" fontId="12" fillId="20" borderId="28" xfId="22" applyFont="1" applyFill="1" applyBorder="1" applyAlignment="1">
      <alignment horizontal="center" vertical="center" wrapText="1"/>
    </xf>
    <xf numFmtId="0" fontId="12" fillId="20" borderId="29" xfId="22" applyFont="1" applyFill="1" applyBorder="1" applyAlignment="1">
      <alignment horizontal="center" vertical="center" wrapText="1"/>
    </xf>
    <xf numFmtId="171" fontId="12" fillId="19" borderId="2" xfId="17" applyNumberFormat="1" applyFont="1" applyFill="1" applyBorder="1" applyAlignment="1" applyProtection="1">
      <alignment horizontal="center" vertical="center"/>
    </xf>
    <xf numFmtId="171" fontId="12" fillId="19" borderId="5" xfId="17" applyNumberFormat="1" applyFont="1" applyFill="1" applyBorder="1" applyAlignment="1" applyProtection="1">
      <alignment horizontal="center" vertical="center"/>
    </xf>
    <xf numFmtId="0" fontId="12" fillId="20" borderId="26" xfId="22" applyFont="1" applyFill="1" applyBorder="1" applyAlignment="1">
      <alignment horizontal="center" vertical="center" wrapText="1"/>
    </xf>
    <xf numFmtId="9" fontId="40" fillId="0" borderId="58" xfId="22" applyNumberFormat="1" applyFont="1" applyBorder="1" applyAlignment="1">
      <alignment horizontal="left" vertical="center" wrapText="1"/>
    </xf>
    <xf numFmtId="9" fontId="40" fillId="0" borderId="66" xfId="22" applyNumberFormat="1" applyFont="1" applyBorder="1" applyAlignment="1">
      <alignment horizontal="left" vertical="center" wrapText="1"/>
    </xf>
    <xf numFmtId="9" fontId="40" fillId="0" borderId="0" xfId="22" applyNumberFormat="1" applyFont="1" applyAlignment="1">
      <alignment horizontal="left" vertical="center" wrapText="1"/>
    </xf>
    <xf numFmtId="9" fontId="40" fillId="0" borderId="14" xfId="22" applyNumberFormat="1" applyFont="1" applyBorder="1" applyAlignment="1">
      <alignment horizontal="left" vertical="center" wrapText="1"/>
    </xf>
    <xf numFmtId="0" fontId="44" fillId="0" borderId="48" xfId="0" applyFont="1" applyBorder="1" applyAlignment="1">
      <alignment horizontal="center" vertical="center"/>
    </xf>
    <xf numFmtId="0" fontId="44" fillId="0" borderId="50" xfId="0" applyFont="1" applyBorder="1" applyAlignment="1">
      <alignment horizontal="center" vertical="center"/>
    </xf>
    <xf numFmtId="2" fontId="11" fillId="0" borderId="10" xfId="22" applyNumberFormat="1" applyFont="1" applyBorder="1" applyAlignment="1">
      <alignment horizontal="center" vertical="center" wrapText="1"/>
    </xf>
    <xf numFmtId="2" fontId="11" fillId="0" borderId="40" xfId="22" applyNumberFormat="1" applyFont="1" applyBorder="1" applyAlignment="1">
      <alignment horizontal="center" vertical="center" wrapText="1"/>
    </xf>
    <xf numFmtId="9" fontId="40" fillId="0" borderId="41" xfId="22" applyNumberFormat="1" applyFont="1" applyBorder="1" applyAlignment="1">
      <alignment horizontal="center" vertical="center" wrapText="1"/>
    </xf>
    <xf numFmtId="9" fontId="40" fillId="0" borderId="15" xfId="22" applyNumberFormat="1" applyFont="1" applyBorder="1" applyAlignment="1">
      <alignment horizontal="center" vertical="center" wrapText="1"/>
    </xf>
    <xf numFmtId="9" fontId="40" fillId="0" borderId="16" xfId="22" applyNumberFormat="1" applyFont="1" applyBorder="1" applyAlignment="1">
      <alignment horizontal="center" vertical="center" wrapText="1"/>
    </xf>
    <xf numFmtId="0" fontId="11" fillId="0" borderId="48" xfId="22" applyFont="1" applyBorder="1" applyAlignment="1">
      <alignment horizontal="center" vertical="center" wrapText="1"/>
    </xf>
    <xf numFmtId="0" fontId="11" fillId="0" borderId="49" xfId="22" applyFont="1" applyBorder="1" applyAlignment="1">
      <alignment horizontal="center" vertical="center" wrapText="1"/>
    </xf>
    <xf numFmtId="0" fontId="11" fillId="0" borderId="50" xfId="22" applyFont="1" applyBorder="1" applyAlignment="1">
      <alignment horizontal="center" vertical="center" wrapText="1"/>
    </xf>
    <xf numFmtId="0" fontId="12" fillId="27" borderId="5" xfId="0" applyFont="1" applyFill="1" applyBorder="1" applyAlignment="1">
      <alignment horizontal="left" vertical="center" wrapText="1"/>
    </xf>
    <xf numFmtId="0" fontId="12" fillId="27" borderId="1" xfId="0" applyFont="1" applyFill="1" applyBorder="1" applyAlignment="1">
      <alignment horizontal="left" vertical="center" wrapText="1"/>
    </xf>
    <xf numFmtId="0" fontId="12" fillId="27" borderId="9" xfId="0" applyFont="1" applyFill="1" applyBorder="1" applyAlignment="1">
      <alignment horizontal="left" vertical="center" wrapText="1"/>
    </xf>
    <xf numFmtId="0" fontId="41" fillId="0" borderId="39" xfId="0" applyFont="1" applyBorder="1" applyAlignment="1">
      <alignment horizontal="left" vertical="center" wrapText="1"/>
    </xf>
    <xf numFmtId="0" fontId="41" fillId="0" borderId="19" xfId="0" applyFont="1" applyBorder="1" applyAlignment="1">
      <alignment horizontal="left" vertical="center" wrapText="1"/>
    </xf>
    <xf numFmtId="0" fontId="41" fillId="0" borderId="33" xfId="0" applyFont="1" applyBorder="1" applyAlignment="1">
      <alignment horizontal="left" vertical="center" wrapText="1"/>
    </xf>
    <xf numFmtId="0" fontId="12" fillId="20" borderId="11" xfId="22" applyFont="1" applyFill="1" applyBorder="1" applyAlignment="1">
      <alignment horizontal="center" vertical="center" wrapText="1"/>
    </xf>
    <xf numFmtId="0" fontId="12" fillId="0" borderId="51" xfId="0" applyFont="1" applyBorder="1" applyAlignment="1">
      <alignment horizontal="left" vertical="center" wrapText="1"/>
    </xf>
    <xf numFmtId="0" fontId="12" fillId="0" borderId="52" xfId="0" applyFont="1" applyBorder="1" applyAlignment="1">
      <alignment horizontal="left" vertical="center" wrapText="1"/>
    </xf>
    <xf numFmtId="0" fontId="12" fillId="0" borderId="53" xfId="0" applyFont="1" applyBorder="1" applyAlignment="1">
      <alignment horizontal="left" vertical="center" wrapText="1"/>
    </xf>
    <xf numFmtId="0" fontId="12" fillId="19" borderId="2" xfId="22" applyFont="1" applyFill="1" applyBorder="1" applyAlignment="1">
      <alignment horizontal="center" vertical="center" wrapText="1"/>
    </xf>
    <xf numFmtId="0" fontId="12" fillId="0" borderId="26" xfId="22" applyFont="1" applyBorder="1" applyAlignment="1">
      <alignment horizontal="center" vertical="center" wrapText="1"/>
    </xf>
    <xf numFmtId="0" fontId="11" fillId="20" borderId="1" xfId="22" applyFont="1" applyFill="1" applyBorder="1" applyAlignment="1">
      <alignment horizontal="center" vertical="center" wrapText="1"/>
    </xf>
    <xf numFmtId="171" fontId="12" fillId="19" borderId="2" xfId="17" applyNumberFormat="1" applyFont="1" applyFill="1" applyBorder="1" applyAlignment="1" applyProtection="1">
      <alignment horizontal="center" vertical="center" wrapText="1"/>
    </xf>
    <xf numFmtId="171" fontId="12" fillId="19" borderId="5" xfId="17" applyNumberFormat="1" applyFont="1" applyFill="1" applyBorder="1" applyAlignment="1" applyProtection="1">
      <alignment horizontal="center" vertical="center" wrapText="1"/>
    </xf>
    <xf numFmtId="0" fontId="12" fillId="0" borderId="18" xfId="22" applyFont="1" applyBorder="1" applyAlignment="1">
      <alignment horizontal="center" vertical="center" wrapText="1"/>
    </xf>
    <xf numFmtId="2" fontId="11" fillId="0" borderId="18" xfId="22" applyNumberFormat="1" applyFont="1" applyBorder="1" applyAlignment="1">
      <alignment horizontal="center" vertical="center" wrapText="1"/>
    </xf>
    <xf numFmtId="2" fontId="11" fillId="0" borderId="32" xfId="22" applyNumberFormat="1" applyFont="1" applyBorder="1" applyAlignment="1">
      <alignment horizontal="center" vertical="center" wrapText="1"/>
    </xf>
    <xf numFmtId="2" fontId="11" fillId="0" borderId="35" xfId="22" applyNumberFormat="1" applyFont="1" applyBorder="1" applyAlignment="1">
      <alignment horizontal="center" vertical="center" wrapText="1"/>
    </xf>
    <xf numFmtId="2" fontId="11" fillId="0" borderId="4" xfId="22" applyNumberFormat="1" applyFont="1" applyBorder="1" applyAlignment="1">
      <alignment horizontal="center" vertical="center" wrapText="1"/>
    </xf>
    <xf numFmtId="0" fontId="12" fillId="20" borderId="61" xfId="22" applyFont="1" applyFill="1" applyBorder="1" applyAlignment="1">
      <alignment horizontal="center" vertical="center" wrapText="1"/>
    </xf>
    <xf numFmtId="2" fontId="11" fillId="0" borderId="32" xfId="22" applyNumberFormat="1" applyFont="1" applyBorder="1" applyAlignment="1">
      <alignment vertical="center" wrapText="1"/>
    </xf>
    <xf numFmtId="2" fontId="11" fillId="0" borderId="8" xfId="22" applyNumberFormat="1" applyFont="1" applyBorder="1" applyAlignment="1">
      <alignment vertical="center" wrapText="1"/>
    </xf>
    <xf numFmtId="9" fontId="43" fillId="0" borderId="66" xfId="30" applyFont="1" applyFill="1" applyBorder="1" applyAlignment="1" applyProtection="1">
      <alignment horizontal="justify" vertical="center" wrapText="1"/>
    </xf>
    <xf numFmtId="9" fontId="43" fillId="0" borderId="41" xfId="30" applyFont="1" applyFill="1" applyBorder="1" applyAlignment="1" applyProtection="1">
      <alignment horizontal="justify" vertical="center" wrapText="1"/>
    </xf>
    <xf numFmtId="9" fontId="43" fillId="0" borderId="14" xfId="30" applyFont="1" applyFill="1" applyBorder="1" applyAlignment="1" applyProtection="1">
      <alignment horizontal="justify" vertical="center" wrapText="1"/>
    </xf>
    <xf numFmtId="9" fontId="43" fillId="0" borderId="16" xfId="30" applyFont="1" applyFill="1" applyBorder="1" applyAlignment="1" applyProtection="1">
      <alignment horizontal="justify" vertical="center" wrapText="1"/>
    </xf>
    <xf numFmtId="9" fontId="43" fillId="0" borderId="22" xfId="22" applyNumberFormat="1" applyFont="1" applyBorder="1" applyAlignment="1">
      <alignment horizontal="left" vertical="center" wrapText="1"/>
    </xf>
    <xf numFmtId="9" fontId="43" fillId="0" borderId="63" xfId="22" applyNumberFormat="1" applyFont="1" applyBorder="1" applyAlignment="1">
      <alignment horizontal="left" vertical="center" wrapText="1"/>
    </xf>
    <xf numFmtId="0" fontId="11" fillId="20" borderId="115" xfId="22" applyFont="1" applyFill="1" applyBorder="1" applyAlignment="1">
      <alignment horizontal="center" vertical="center" wrapText="1"/>
    </xf>
    <xf numFmtId="9" fontId="54" fillId="0" borderId="5" xfId="30" applyFont="1" applyFill="1" applyBorder="1" applyAlignment="1" applyProtection="1">
      <alignment horizontal="left" vertical="center" wrapText="1"/>
    </xf>
    <xf numFmtId="9" fontId="43" fillId="0" borderId="1" xfId="30" applyFont="1" applyFill="1" applyBorder="1" applyAlignment="1" applyProtection="1">
      <alignment horizontal="left" vertical="center" wrapText="1"/>
    </xf>
    <xf numFmtId="9" fontId="43" fillId="0" borderId="39" xfId="30" applyFont="1" applyFill="1" applyBorder="1" applyAlignment="1" applyProtection="1">
      <alignment horizontal="left" vertical="center" wrapText="1"/>
    </xf>
    <xf numFmtId="9" fontId="43" fillId="0" borderId="1" xfId="30" applyFont="1" applyFill="1" applyBorder="1" applyAlignment="1" applyProtection="1">
      <alignment horizontal="justify" vertical="center" wrapText="1"/>
    </xf>
    <xf numFmtId="9" fontId="43" fillId="0" borderId="9" xfId="30" applyFont="1" applyFill="1" applyBorder="1" applyAlignment="1" applyProtection="1">
      <alignment horizontal="justify" vertical="center" wrapText="1"/>
    </xf>
    <xf numFmtId="9" fontId="43" fillId="0" borderId="19" xfId="30" applyFont="1" applyFill="1" applyBorder="1" applyAlignment="1" applyProtection="1">
      <alignment horizontal="justify" vertical="center" wrapText="1"/>
    </xf>
    <xf numFmtId="9" fontId="43" fillId="0" borderId="33" xfId="30" applyFont="1" applyFill="1" applyBorder="1" applyAlignment="1" applyProtection="1">
      <alignment horizontal="justify" vertical="center" wrapText="1"/>
    </xf>
    <xf numFmtId="9" fontId="43" fillId="0" borderId="30" xfId="22" applyNumberFormat="1" applyFont="1" applyBorder="1" applyAlignment="1">
      <alignment horizontal="left" vertical="center" wrapText="1"/>
    </xf>
    <xf numFmtId="9" fontId="43" fillId="0" borderId="37" xfId="22" applyNumberFormat="1" applyFont="1" applyBorder="1" applyAlignment="1">
      <alignment horizontal="left" vertical="center" wrapText="1"/>
    </xf>
    <xf numFmtId="0" fontId="12" fillId="20" borderId="56" xfId="22" applyFont="1" applyFill="1" applyBorder="1" applyAlignment="1">
      <alignment horizontal="center" vertical="center" wrapText="1"/>
    </xf>
    <xf numFmtId="0" fontId="20" fillId="0" borderId="8" xfId="0" applyFont="1" applyBorder="1" applyAlignment="1">
      <alignment vertical="center"/>
    </xf>
    <xf numFmtId="9" fontId="43" fillId="0" borderId="13" xfId="22" applyNumberFormat="1" applyFont="1" applyBorder="1" applyAlignment="1">
      <alignment horizontal="left" vertical="center" wrapText="1"/>
    </xf>
    <xf numFmtId="0" fontId="41" fillId="9" borderId="2" xfId="0" applyFont="1" applyFill="1" applyBorder="1" applyAlignment="1">
      <alignment horizontal="center" vertical="center"/>
    </xf>
    <xf numFmtId="0" fontId="41" fillId="9" borderId="59" xfId="0" applyFont="1" applyFill="1" applyBorder="1" applyAlignment="1">
      <alignment horizontal="center" vertical="center"/>
    </xf>
    <xf numFmtId="0" fontId="41" fillId="9" borderId="5" xfId="0" applyFont="1" applyFill="1" applyBorder="1" applyAlignment="1">
      <alignment horizontal="center" vertical="center"/>
    </xf>
    <xf numFmtId="0" fontId="41" fillId="9" borderId="1" xfId="0" applyFont="1" applyFill="1" applyBorder="1" applyAlignment="1">
      <alignment horizontal="center" vertical="center"/>
    </xf>
    <xf numFmtId="15" fontId="47" fillId="0" borderId="1" xfId="0" applyNumberFormat="1" applyFont="1" applyBorder="1" applyAlignment="1">
      <alignment horizontal="center" vertical="center"/>
    </xf>
    <xf numFmtId="0" fontId="47" fillId="0" borderId="1" xfId="0" applyFont="1" applyBorder="1" applyAlignment="1">
      <alignment horizontal="center" vertical="center"/>
    </xf>
    <xf numFmtId="0" fontId="41" fillId="9" borderId="58" xfId="0" applyFont="1" applyFill="1" applyBorder="1" applyAlignment="1">
      <alignment horizontal="center" vertical="center"/>
    </xf>
    <xf numFmtId="0" fontId="41" fillId="9" borderId="23" xfId="0" applyFont="1" applyFill="1" applyBorder="1" applyAlignment="1">
      <alignment horizontal="center" vertical="center"/>
    </xf>
    <xf numFmtId="0" fontId="41" fillId="9" borderId="66" xfId="0" applyFont="1" applyFill="1" applyBorder="1" applyAlignment="1">
      <alignment horizontal="center" vertical="center"/>
    </xf>
    <xf numFmtId="0" fontId="41" fillId="9" borderId="24" xfId="0" applyFont="1" applyFill="1" applyBorder="1" applyAlignment="1">
      <alignment horizontal="center" vertical="center"/>
    </xf>
    <xf numFmtId="0" fontId="41" fillId="9" borderId="20" xfId="0" applyFont="1" applyFill="1" applyBorder="1" applyAlignment="1">
      <alignment horizontal="center" vertical="center"/>
    </xf>
    <xf numFmtId="0" fontId="41" fillId="9" borderId="25" xfId="0" applyFont="1" applyFill="1" applyBorder="1" applyAlignment="1">
      <alignment horizontal="center" vertical="center"/>
    </xf>
    <xf numFmtId="0" fontId="41" fillId="9" borderId="2" xfId="0" applyFont="1" applyFill="1" applyBorder="1" applyAlignment="1">
      <alignment horizontal="center" vertical="center" wrapText="1"/>
    </xf>
    <xf numFmtId="0" fontId="41" fillId="9" borderId="5" xfId="0" applyFont="1" applyFill="1" applyBorder="1" applyAlignment="1">
      <alignment horizontal="center" vertical="center" wrapText="1"/>
    </xf>
    <xf numFmtId="0" fontId="41" fillId="9" borderId="10" xfId="0" applyFont="1" applyFill="1" applyBorder="1" applyAlignment="1">
      <alignment horizontal="center" vertical="center" wrapText="1"/>
    </xf>
    <xf numFmtId="0" fontId="41" fillId="9" borderId="4" xfId="0" applyFont="1" applyFill="1" applyBorder="1" applyAlignment="1">
      <alignment horizontal="center" vertical="center" wrapText="1"/>
    </xf>
    <xf numFmtId="0" fontId="41" fillId="9" borderId="59" xfId="0" applyFont="1" applyFill="1" applyBorder="1" applyAlignment="1">
      <alignment horizontal="center" vertical="center" wrapText="1"/>
    </xf>
    <xf numFmtId="0" fontId="41" fillId="0" borderId="1" xfId="0" applyFont="1" applyBorder="1" applyAlignment="1">
      <alignment horizontal="center" vertical="center" wrapText="1"/>
    </xf>
    <xf numFmtId="0" fontId="41" fillId="9" borderId="20" xfId="0" applyFont="1" applyFill="1" applyBorder="1" applyAlignment="1">
      <alignment horizontal="left" vertical="center"/>
    </xf>
    <xf numFmtId="0" fontId="41" fillId="9" borderId="3" xfId="0" applyFont="1" applyFill="1" applyBorder="1" applyAlignment="1">
      <alignment horizontal="left" vertical="center"/>
    </xf>
    <xf numFmtId="0" fontId="41" fillId="9" borderId="25" xfId="0" applyFont="1" applyFill="1" applyBorder="1" applyAlignment="1">
      <alignment horizontal="left" vertical="center"/>
    </xf>
    <xf numFmtId="0" fontId="41" fillId="9" borderId="22" xfId="0" applyFont="1" applyFill="1" applyBorder="1" applyAlignment="1">
      <alignment horizontal="center" vertical="center"/>
    </xf>
    <xf numFmtId="0" fontId="41" fillId="9" borderId="0" xfId="0" applyFont="1" applyFill="1" applyAlignment="1">
      <alignment horizontal="center" vertical="center"/>
    </xf>
    <xf numFmtId="0" fontId="41" fillId="9" borderId="3" xfId="0" applyFont="1" applyFill="1" applyBorder="1" applyAlignment="1">
      <alignment horizontal="center" vertical="center"/>
    </xf>
    <xf numFmtId="0" fontId="41" fillId="9" borderId="35" xfId="0" applyFont="1" applyFill="1" applyBorder="1" applyAlignment="1">
      <alignment horizontal="center" vertical="center" wrapText="1"/>
    </xf>
    <xf numFmtId="0" fontId="12" fillId="0" borderId="5" xfId="0" applyFont="1" applyBorder="1" applyAlignment="1">
      <alignment horizontal="left" vertical="center" wrapText="1"/>
    </xf>
    <xf numFmtId="0" fontId="12" fillId="0" borderId="1" xfId="0" applyFont="1" applyBorder="1" applyAlignment="1">
      <alignment horizontal="left" vertical="center" wrapText="1"/>
    </xf>
    <xf numFmtId="0" fontId="41" fillId="0" borderId="1" xfId="0" applyFont="1" applyBorder="1" applyAlignment="1">
      <alignment horizontal="left" vertical="center" wrapText="1"/>
    </xf>
    <xf numFmtId="0" fontId="41" fillId="0" borderId="20" xfId="0" applyFont="1" applyBorder="1" applyAlignment="1">
      <alignment horizontal="center" vertical="center"/>
    </xf>
    <xf numFmtId="0" fontId="41" fillId="0" borderId="3" xfId="0" applyFont="1" applyBorder="1" applyAlignment="1">
      <alignment horizontal="center" vertical="center"/>
    </xf>
    <xf numFmtId="0" fontId="41" fillId="0" borderId="25" xfId="0" applyFont="1" applyBorder="1" applyAlignment="1">
      <alignment horizontal="center" vertical="center"/>
    </xf>
    <xf numFmtId="0" fontId="41" fillId="0" borderId="2" xfId="0" applyFont="1" applyBorder="1" applyAlignment="1">
      <alignment horizontal="center" vertical="center"/>
    </xf>
    <xf numFmtId="0" fontId="41" fillId="0" borderId="59" xfId="0" applyFont="1" applyBorder="1" applyAlignment="1">
      <alignment horizontal="center" vertical="center"/>
    </xf>
    <xf numFmtId="0" fontId="41" fillId="0" borderId="5" xfId="0" applyFont="1" applyBorder="1" applyAlignment="1">
      <alignment horizontal="center" vertical="center"/>
    </xf>
    <xf numFmtId="0" fontId="41" fillId="0" borderId="58" xfId="0" applyFont="1" applyBorder="1" applyAlignment="1">
      <alignment horizontal="center" vertical="center"/>
    </xf>
    <xf numFmtId="0" fontId="41" fillId="0" borderId="22" xfId="0" applyFont="1" applyBorder="1" applyAlignment="1">
      <alignment horizontal="center" vertical="center"/>
    </xf>
    <xf numFmtId="0" fontId="41" fillId="0" borderId="23" xfId="0" applyFont="1" applyBorder="1" applyAlignment="1">
      <alignment horizontal="center" vertical="center"/>
    </xf>
    <xf numFmtId="0" fontId="41" fillId="9" borderId="2" xfId="0" applyFont="1" applyFill="1" applyBorder="1" applyAlignment="1">
      <alignment horizontal="left" vertical="center"/>
    </xf>
    <xf numFmtId="0" fontId="41" fillId="9" borderId="59" xfId="0" applyFont="1" applyFill="1" applyBorder="1" applyAlignment="1">
      <alignment horizontal="left" vertical="center"/>
    </xf>
    <xf numFmtId="0" fontId="41" fillId="9" borderId="5" xfId="0" applyFont="1" applyFill="1" applyBorder="1" applyAlignment="1">
      <alignment horizontal="left" vertical="center"/>
    </xf>
    <xf numFmtId="0" fontId="39" fillId="0" borderId="20" xfId="0" applyFont="1" applyBorder="1" applyAlignment="1">
      <alignment horizontal="left" vertical="center"/>
    </xf>
    <xf numFmtId="0" fontId="39" fillId="0" borderId="3" xfId="0" applyFont="1" applyBorder="1" applyAlignment="1">
      <alignment horizontal="left" vertical="center"/>
    </xf>
    <xf numFmtId="0" fontId="39" fillId="0" borderId="59" xfId="0" applyFont="1" applyBorder="1" applyAlignment="1">
      <alignment horizontal="left" vertical="center"/>
    </xf>
    <xf numFmtId="0" fontId="39" fillId="0" borderId="5" xfId="0" applyFont="1" applyBorder="1" applyAlignment="1">
      <alignment horizontal="left" vertical="center"/>
    </xf>
    <xf numFmtId="0" fontId="39" fillId="0" borderId="2" xfId="0" applyFont="1" applyBorder="1" applyAlignment="1">
      <alignment horizontal="left" vertical="center"/>
    </xf>
    <xf numFmtId="0" fontId="12" fillId="30" borderId="58" xfId="0" applyFont="1" applyFill="1" applyBorder="1" applyAlignment="1">
      <alignment wrapText="1"/>
    </xf>
    <xf numFmtId="0" fontId="12" fillId="30" borderId="22" xfId="0" applyFont="1" applyFill="1" applyBorder="1" applyAlignment="1">
      <alignment wrapText="1"/>
    </xf>
    <xf numFmtId="0" fontId="12" fillId="30" borderId="89" xfId="0" applyFont="1" applyFill="1" applyBorder="1" applyAlignment="1">
      <alignment wrapText="1"/>
    </xf>
    <xf numFmtId="0" fontId="12" fillId="30" borderId="66" xfId="0" applyFont="1" applyFill="1" applyBorder="1" applyAlignment="1">
      <alignment wrapText="1"/>
    </xf>
    <xf numFmtId="0" fontId="12" fillId="30" borderId="0" xfId="0" applyFont="1" applyFill="1" applyAlignment="1">
      <alignment wrapText="1"/>
    </xf>
    <xf numFmtId="0" fontId="12" fillId="30" borderId="90" xfId="0" applyFont="1" applyFill="1" applyBorder="1" applyAlignment="1">
      <alignment wrapText="1"/>
    </xf>
    <xf numFmtId="0" fontId="12" fillId="30" borderId="91" xfId="0" applyFont="1" applyFill="1" applyBorder="1" applyAlignment="1">
      <alignment wrapText="1"/>
    </xf>
    <xf numFmtId="0" fontId="12" fillId="30" borderId="92" xfId="0" applyFont="1" applyFill="1" applyBorder="1" applyAlignment="1">
      <alignment wrapText="1"/>
    </xf>
    <xf numFmtId="0" fontId="12" fillId="30" borderId="93" xfId="0" applyFont="1" applyFill="1" applyBorder="1" applyAlignment="1">
      <alignment wrapText="1"/>
    </xf>
    <xf numFmtId="0" fontId="11" fillId="29" borderId="59" xfId="0" applyFont="1" applyFill="1" applyBorder="1" applyAlignment="1">
      <alignment wrapText="1"/>
    </xf>
    <xf numFmtId="0" fontId="11" fillId="29" borderId="94" xfId="0" applyFont="1" applyFill="1" applyBorder="1" applyAlignment="1">
      <alignment wrapText="1"/>
    </xf>
    <xf numFmtId="0" fontId="12" fillId="29" borderId="59" xfId="0" applyFont="1" applyFill="1" applyBorder="1" applyAlignment="1">
      <alignment wrapText="1"/>
    </xf>
    <xf numFmtId="0" fontId="12" fillId="29" borderId="94" xfId="0" applyFont="1" applyFill="1" applyBorder="1" applyAlignment="1">
      <alignment wrapText="1"/>
    </xf>
    <xf numFmtId="0" fontId="42" fillId="30" borderId="58" xfId="0" applyFont="1" applyFill="1" applyBorder="1" applyAlignment="1">
      <alignment wrapText="1"/>
    </xf>
    <xf numFmtId="0" fontId="42" fillId="30" borderId="22" xfId="0" applyFont="1" applyFill="1" applyBorder="1" applyAlignment="1">
      <alignment wrapText="1"/>
    </xf>
    <xf numFmtId="0" fontId="42" fillId="30" borderId="89" xfId="0" applyFont="1" applyFill="1" applyBorder="1" applyAlignment="1">
      <alignment wrapText="1"/>
    </xf>
    <xf numFmtId="0" fontId="42" fillId="30" borderId="66" xfId="0" applyFont="1" applyFill="1" applyBorder="1" applyAlignment="1">
      <alignment wrapText="1"/>
    </xf>
    <xf numFmtId="0" fontId="42" fillId="30" borderId="0" xfId="0" applyFont="1" applyFill="1" applyAlignment="1">
      <alignment wrapText="1"/>
    </xf>
    <xf numFmtId="0" fontId="42" fillId="30" borderId="90" xfId="0" applyFont="1" applyFill="1" applyBorder="1" applyAlignment="1">
      <alignment wrapText="1"/>
    </xf>
    <xf numFmtId="0" fontId="42" fillId="30" borderId="91" xfId="0" applyFont="1" applyFill="1" applyBorder="1" applyAlignment="1">
      <alignment wrapText="1"/>
    </xf>
    <xf numFmtId="0" fontId="42" fillId="30" borderId="92" xfId="0" applyFont="1" applyFill="1" applyBorder="1" applyAlignment="1">
      <alignment wrapText="1"/>
    </xf>
    <xf numFmtId="0" fontId="42" fillId="30" borderId="93" xfId="0" applyFont="1" applyFill="1" applyBorder="1" applyAlignment="1">
      <alignment wrapText="1"/>
    </xf>
    <xf numFmtId="0" fontId="42" fillId="0" borderId="22" xfId="0" applyFont="1" applyBorder="1" applyAlignment="1">
      <alignment wrapText="1"/>
    </xf>
    <xf numFmtId="0" fontId="42" fillId="0" borderId="89" xfId="0" applyFont="1" applyBorder="1" applyAlignment="1">
      <alignment wrapText="1"/>
    </xf>
    <xf numFmtId="0" fontId="42" fillId="0" borderId="2" xfId="0" applyFont="1" applyBorder="1"/>
    <xf numFmtId="0" fontId="42" fillId="0" borderId="59" xfId="0" applyFont="1" applyBorder="1"/>
    <xf numFmtId="0" fontId="42" fillId="0" borderId="5" xfId="0" applyFont="1" applyBorder="1"/>
    <xf numFmtId="0" fontId="12" fillId="0" borderId="59" xfId="0" applyFont="1" applyBorder="1" applyAlignment="1">
      <alignment wrapText="1"/>
    </xf>
    <xf numFmtId="0" fontId="12" fillId="0" borderId="5" xfId="0" applyFont="1" applyBorder="1" applyAlignment="1">
      <alignment wrapText="1"/>
    </xf>
    <xf numFmtId="0" fontId="42" fillId="29" borderId="20" xfId="0" applyFont="1" applyFill="1" applyBorder="1"/>
    <xf numFmtId="0" fontId="42" fillId="29" borderId="3" xfId="0" applyFont="1" applyFill="1" applyBorder="1"/>
    <xf numFmtId="0" fontId="42" fillId="29" borderId="25" xfId="0" applyFont="1" applyFill="1" applyBorder="1"/>
    <xf numFmtId="0" fontId="12" fillId="28" borderId="10" xfId="0" applyFont="1" applyFill="1" applyBorder="1" applyAlignment="1">
      <alignment wrapText="1"/>
    </xf>
    <xf numFmtId="0" fontId="12" fillId="28" borderId="95" xfId="0" applyFont="1" applyFill="1" applyBorder="1" applyAlignment="1">
      <alignment wrapText="1"/>
    </xf>
    <xf numFmtId="0" fontId="12" fillId="28" borderId="2" xfId="0" applyFont="1" applyFill="1" applyBorder="1" applyAlignment="1">
      <alignment wrapText="1"/>
    </xf>
    <xf numFmtId="0" fontId="12" fillId="28" borderId="94" xfId="0" applyFont="1" applyFill="1" applyBorder="1" applyAlignment="1">
      <alignment wrapText="1"/>
    </xf>
    <xf numFmtId="0" fontId="12" fillId="28" borderId="59" xfId="0" applyFont="1" applyFill="1" applyBorder="1"/>
    <xf numFmtId="0" fontId="12" fillId="28" borderId="5" xfId="0" applyFont="1" applyFill="1" applyBorder="1"/>
    <xf numFmtId="0" fontId="12" fillId="28" borderId="59" xfId="0" applyFont="1" applyFill="1" applyBorder="1" applyAlignment="1">
      <alignment wrapText="1"/>
    </xf>
    <xf numFmtId="0" fontId="11" fillId="19" borderId="2" xfId="0" applyFont="1" applyFill="1" applyBorder="1" applyAlignment="1">
      <alignment horizontal="left" vertical="center" wrapText="1"/>
    </xf>
    <xf numFmtId="0" fontId="11" fillId="19" borderId="5" xfId="0" applyFont="1" applyFill="1" applyBorder="1" applyAlignment="1">
      <alignment horizontal="left" vertical="center" wrapText="1"/>
    </xf>
    <xf numFmtId="0" fontId="41" fillId="21" borderId="2" xfId="0" applyFont="1" applyFill="1" applyBorder="1" applyAlignment="1">
      <alignment horizontal="center" vertical="center"/>
    </xf>
    <xf numFmtId="0" fontId="41" fillId="21" borderId="5" xfId="0" applyFont="1" applyFill="1" applyBorder="1" applyAlignment="1">
      <alignment horizontal="center" vertical="center"/>
    </xf>
    <xf numFmtId="0" fontId="41" fillId="0" borderId="2" xfId="0" applyFont="1" applyBorder="1" applyAlignment="1">
      <alignment horizontal="left" vertical="center" wrapText="1"/>
    </xf>
    <xf numFmtId="0" fontId="41" fillId="0" borderId="5" xfId="0" applyFont="1" applyBorder="1" applyAlignment="1">
      <alignment horizontal="left" vertical="center" wrapText="1"/>
    </xf>
    <xf numFmtId="0" fontId="39" fillId="0" borderId="10" xfId="0" applyFont="1" applyBorder="1" applyAlignment="1">
      <alignment horizontal="left" vertical="center" wrapText="1"/>
    </xf>
    <xf numFmtId="0" fontId="39" fillId="0" borderId="35" xfId="0" applyFont="1" applyBorder="1" applyAlignment="1">
      <alignment horizontal="left" vertical="center" wrapText="1"/>
    </xf>
    <xf numFmtId="0" fontId="39" fillId="0" borderId="4" xfId="0" applyFont="1" applyBorder="1" applyAlignment="1">
      <alignment horizontal="left" vertical="center" wrapText="1"/>
    </xf>
    <xf numFmtId="41" fontId="39" fillId="0" borderId="58" xfId="12" applyFont="1" applyFill="1" applyBorder="1" applyAlignment="1">
      <alignment horizontal="left" vertical="center"/>
    </xf>
    <xf numFmtId="41" fontId="39" fillId="0" borderId="66" xfId="12" applyFont="1" applyFill="1" applyBorder="1" applyAlignment="1">
      <alignment horizontal="left" vertical="center"/>
    </xf>
    <xf numFmtId="41" fontId="39" fillId="0" borderId="20" xfId="12" applyFont="1" applyFill="1" applyBorder="1" applyAlignment="1">
      <alignment horizontal="left" vertical="center"/>
    </xf>
    <xf numFmtId="0" fontId="0" fillId="13" borderId="1" xfId="0" applyFill="1" applyBorder="1" applyAlignment="1">
      <alignment horizontal="center"/>
    </xf>
    <xf numFmtId="0" fontId="0" fillId="0" borderId="24" xfId="0" applyBorder="1" applyAlignment="1">
      <alignment horizontal="center"/>
    </xf>
    <xf numFmtId="0" fontId="0" fillId="0" borderId="0" xfId="0" applyAlignment="1">
      <alignment horizontal="center"/>
    </xf>
    <xf numFmtId="0" fontId="0" fillId="0" borderId="3" xfId="0" applyBorder="1" applyAlignment="1">
      <alignment horizontal="center"/>
    </xf>
    <xf numFmtId="0" fontId="0" fillId="0" borderId="36"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18" borderId="24" xfId="0" applyFill="1" applyBorder="1" applyAlignment="1">
      <alignment horizontal="center"/>
    </xf>
    <xf numFmtId="1" fontId="39" fillId="0" borderId="0" xfId="0" applyNumberFormat="1" applyFont="1" applyAlignment="1">
      <alignment vertical="center"/>
    </xf>
    <xf numFmtId="10" fontId="39" fillId="0" borderId="0" xfId="28" applyNumberFormat="1" applyFont="1" applyAlignment="1">
      <alignment vertical="center"/>
    </xf>
  </cellXfs>
  <cellStyles count="34">
    <cellStyle name="20% - Énfasis6 2" xfId="1" xr:uid="{00000000-0005-0000-0000-000000000000}"/>
    <cellStyle name="BodyStyle" xfId="2" xr:uid="{00000000-0005-0000-0000-000001000000}"/>
    <cellStyle name="Borde de la tabla derecha" xfId="3" xr:uid="{00000000-0005-0000-0000-000002000000}"/>
    <cellStyle name="Borde de la tabla izquierda" xfId="4" xr:uid="{00000000-0005-0000-0000-000003000000}"/>
    <cellStyle name="Encabezado 1 2" xfId="5" xr:uid="{00000000-0005-0000-0000-000008000000}"/>
    <cellStyle name="Encabezado 2" xfId="6" xr:uid="{00000000-0005-0000-0000-000009000000}"/>
    <cellStyle name="Énfasis6 2" xfId="7" xr:uid="{00000000-0005-0000-0000-00000A000000}"/>
    <cellStyle name="Fecha" xfId="8" xr:uid="{00000000-0005-0000-0000-00000B000000}"/>
    <cellStyle name="HeaderStyle" xfId="9" xr:uid="{00000000-0005-0000-0000-00000C000000}"/>
    <cellStyle name="Millares" xfId="10" builtinId="3"/>
    <cellStyle name="Millares [0]" xfId="11" builtinId="6"/>
    <cellStyle name="Millares [0] 2" xfId="12" xr:uid="{00000000-0005-0000-0000-00000D000000}"/>
    <cellStyle name="Millares 2" xfId="13" xr:uid="{00000000-0005-0000-0000-00000E000000}"/>
    <cellStyle name="Moneda" xfId="14" builtinId="4"/>
    <cellStyle name="Moneda [0]" xfId="15" builtinId="7"/>
    <cellStyle name="Moneda 130" xfId="16" xr:uid="{00000000-0005-0000-0000-00000F000000}"/>
    <cellStyle name="Moneda 2" xfId="17" xr:uid="{00000000-0005-0000-0000-000010000000}"/>
    <cellStyle name="Moneda 2 2" xfId="18" xr:uid="{00000000-0005-0000-0000-000011000000}"/>
    <cellStyle name="Moneda 23" xfId="19" xr:uid="{00000000-0005-0000-0000-000012000000}"/>
    <cellStyle name="Moneda 3" xfId="20" xr:uid="{00000000-0005-0000-0000-000013000000}"/>
    <cellStyle name="Neutral 2" xfId="21" xr:uid="{00000000-0005-0000-0000-000014000000}"/>
    <cellStyle name="Normal" xfId="0" builtinId="0"/>
    <cellStyle name="Normal 2" xfId="22" xr:uid="{00000000-0005-0000-0000-000016000000}"/>
    <cellStyle name="Normal 2 2" xfId="23" xr:uid="{00000000-0005-0000-0000-000017000000}"/>
    <cellStyle name="Normal 2 3" xfId="24" xr:uid="{00000000-0005-0000-0000-000018000000}"/>
    <cellStyle name="Normal 3" xfId="25" xr:uid="{00000000-0005-0000-0000-000019000000}"/>
    <cellStyle name="Normal 3 2" xfId="26" xr:uid="{00000000-0005-0000-0000-00001A000000}"/>
    <cellStyle name="Normal 6 2" xfId="27" xr:uid="{00000000-0005-0000-0000-00001B000000}"/>
    <cellStyle name="Porcentaje" xfId="28" builtinId="5"/>
    <cellStyle name="Porcentaje 2" xfId="29" xr:uid="{00000000-0005-0000-0000-00001D000000}"/>
    <cellStyle name="Porcentual 2" xfId="30" xr:uid="{00000000-0005-0000-0000-00001E000000}"/>
    <cellStyle name="Texto de inicio" xfId="31" xr:uid="{00000000-0005-0000-0000-00001F000000}"/>
    <cellStyle name="Texto de la columna A" xfId="32" xr:uid="{00000000-0005-0000-0000-000020000000}"/>
    <cellStyle name="Título 4" xfId="33" xr:uid="{00000000-0005-0000-0000-00002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82443" name="Picture 47">
          <a:extLst>
            <a:ext uri="{FF2B5EF4-FFF2-40B4-BE49-F238E27FC236}">
              <a16:creationId xmlns:a16="http://schemas.microsoft.com/office/drawing/2014/main" id="{CB3DEE94-C5A2-2BD5-C8A1-4C8E54F90D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83262" name="Picture 47">
          <a:extLst>
            <a:ext uri="{FF2B5EF4-FFF2-40B4-BE49-F238E27FC236}">
              <a16:creationId xmlns:a16="http://schemas.microsoft.com/office/drawing/2014/main" id="{F09A9C9B-2D80-8A1B-4F93-C058F44685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88390" name="Picture 47">
          <a:extLst>
            <a:ext uri="{FF2B5EF4-FFF2-40B4-BE49-F238E27FC236}">
              <a16:creationId xmlns:a16="http://schemas.microsoft.com/office/drawing/2014/main" id="{1BE7A931-400E-4C6F-0079-2706E209CB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84292" name="Picture 47">
          <a:extLst>
            <a:ext uri="{FF2B5EF4-FFF2-40B4-BE49-F238E27FC236}">
              <a16:creationId xmlns:a16="http://schemas.microsoft.com/office/drawing/2014/main" id="{DAC3C0C0-255F-61F0-0DA8-0A4CACF34F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85310" name="Picture 47">
          <a:extLst>
            <a:ext uri="{FF2B5EF4-FFF2-40B4-BE49-F238E27FC236}">
              <a16:creationId xmlns:a16="http://schemas.microsoft.com/office/drawing/2014/main" id="{AF6DF754-05F4-1ED0-907D-0C61EA5853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89149" name="Picture 47">
          <a:extLst>
            <a:ext uri="{FF2B5EF4-FFF2-40B4-BE49-F238E27FC236}">
              <a16:creationId xmlns:a16="http://schemas.microsoft.com/office/drawing/2014/main" id="{793AFF25-9893-2244-E48E-C0727E849D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87362" name="Picture 47">
          <a:extLst>
            <a:ext uri="{FF2B5EF4-FFF2-40B4-BE49-F238E27FC236}">
              <a16:creationId xmlns:a16="http://schemas.microsoft.com/office/drawing/2014/main" id="{99279F8A-80CC-578C-3A46-CA7C010F89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86339" name="Picture 47">
          <a:extLst>
            <a:ext uri="{FF2B5EF4-FFF2-40B4-BE49-F238E27FC236}">
              <a16:creationId xmlns:a16="http://schemas.microsoft.com/office/drawing/2014/main" id="{4DD48F4C-B60A-2697-0AD5-BFE3815CAB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Rafael Eduardo Ronderos Garcia" id="{B499C60E-B7DA-444E-B6A7-51FEC43B2CA3}" userId="S::rronderos@sdmujer.gov.co::11ffafaa-e56d-449e-a801-7bda2e1a5100" providerId="AD"/>
  <person displayName="Claudia Marcela Rodríguez Pinzón" id="{255F74F3-24A5-44D6-A834-F4089F140C95}" userId="S::crodriguez@sdmujer.gov.co::0e091bfe-d9ae-4209-831b-021dbda4d96f"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M39" dT="2023-11-03T22:22:09.93" personId="{255F74F3-24A5-44D6-A834-F4089F140C95}" id="{9A8B20AA-4A7B-4999-BD31-90FD8A9F590A}">
    <text xml:space="preserve">
NOTA: Para efectos de los porcentajes nos queda una sesión extraordinaria y una ordinaria de la Comisión.</text>
  </threadedComment>
  <threadedComment ref="M41" dT="2023-11-03T22:23:12.34" personId="{255F74F3-24A5-44D6-A834-F4089F140C95}" id="{B15428C6-2F61-4D91-8A93-18939A4C9159}">
    <text xml:space="preserve">
NOTA: Para efectos de los porcentajes, las sesiones de la UTA son mensuales ahora según el Decreto 415 de 2023, por lo que debemos reportar en noviembre y diciembre, y es lineamiento inaugurar una  manzana No. 21</text>
  </threadedComment>
  <threadedComment ref="M43" dT="2023-11-03T22:23:47.48" personId="{255F74F3-24A5-44D6-A834-F4089F140C95}" id="{39833A42-EB5A-4237-BD09-960B42798585}">
    <text xml:space="preserve">
NOTA: Para efectos de los porcentajes nos queda una sesión del Mecanismo porque ahora las sesiones no son semestrales, sino trimestrales según el Decreto 415 de 2023. </text>
  </threadedComment>
</ThreadedComments>
</file>

<file path=xl/threadedComments/threadedComment2.xml><?xml version="1.0" encoding="utf-8"?>
<ThreadedComments xmlns="http://schemas.microsoft.com/office/spreadsheetml/2018/threadedcomments" xmlns:x="http://schemas.openxmlformats.org/spreadsheetml/2006/main">
  <threadedComment ref="Q34" dT="2023-11-03T17:01:29.03" personId="{B499C60E-B7DA-444E-B6A7-51FEC43B2CA3}" id="{D2B2A0DE-BDFC-45CC-A3A9-46C9567640A7}">
    <text xml:space="preserve">Se hace la salvedad de que esta información no tiene los filtros correspondientes realizados por el equipo de la Dirección de Gestión del conocimiento, sino que es el reporte directo de Simisional. </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7.xml"/><Relationship Id="rId4" Type="http://schemas.microsoft.com/office/2017/10/relationships/threadedComment" Target="../threadedComments/threadedComment2.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O85"/>
  <sheetViews>
    <sheetView showGridLines="0" view="pageBreakPreview" topLeftCell="A38" zoomScale="60" zoomScaleNormal="83" workbookViewId="0">
      <selection activeCell="N39" sqref="N39"/>
    </sheetView>
  </sheetViews>
  <sheetFormatPr baseColWidth="10" defaultColWidth="10.83203125" defaultRowHeight="15" x14ac:dyDescent="0.2"/>
  <cols>
    <col min="1" max="1" width="38.5" style="50" customWidth="1"/>
    <col min="2" max="2" width="15.5" style="50" customWidth="1"/>
    <col min="3" max="14" width="20.6640625" style="50" customWidth="1"/>
    <col min="15" max="15" width="16.1640625" style="50" customWidth="1"/>
    <col min="16" max="16" width="18.1640625" style="50" customWidth="1"/>
    <col min="17" max="28" width="16.1640625" style="50" customWidth="1"/>
    <col min="29" max="29" width="19.1640625" style="50" customWidth="1"/>
    <col min="30" max="30" width="13" style="50" customWidth="1"/>
    <col min="31" max="31" width="6.33203125" style="50" bestFit="1" customWidth="1"/>
    <col min="32" max="32" width="22.83203125" style="50" customWidth="1"/>
    <col min="33" max="33" width="18.5" style="50" bestFit="1" customWidth="1"/>
    <col min="34" max="34" width="8.5" style="50" customWidth="1"/>
    <col min="35" max="35" width="18.5" style="50" bestFit="1" customWidth="1"/>
    <col min="36" max="36" width="5.6640625" style="50" customWidth="1"/>
    <col min="37" max="37" width="18.5" style="50" bestFit="1" customWidth="1"/>
    <col min="38" max="38" width="4.6640625" style="50" customWidth="1"/>
    <col min="39" max="39" width="23" style="50" bestFit="1" customWidth="1"/>
    <col min="40" max="40" width="10.83203125" style="50"/>
    <col min="41" max="41" width="18.5" style="50" bestFit="1" customWidth="1"/>
    <col min="42" max="42" width="16.1640625" style="50" customWidth="1"/>
    <col min="43" max="16384" width="10.83203125" style="50"/>
  </cols>
  <sheetData>
    <row r="1" spans="1:30" ht="32.25" customHeight="1" thickBot="1" x14ac:dyDescent="0.25">
      <c r="A1" s="594"/>
      <c r="B1" s="574" t="s">
        <v>0</v>
      </c>
      <c r="C1" s="575"/>
      <c r="D1" s="575"/>
      <c r="E1" s="575"/>
      <c r="F1" s="575"/>
      <c r="G1" s="575"/>
      <c r="H1" s="575"/>
      <c r="I1" s="575"/>
      <c r="J1" s="575"/>
      <c r="K1" s="575"/>
      <c r="L1" s="575"/>
      <c r="M1" s="575"/>
      <c r="N1" s="575"/>
      <c r="O1" s="575"/>
      <c r="P1" s="575"/>
      <c r="Q1" s="575"/>
      <c r="R1" s="575"/>
      <c r="S1" s="575"/>
      <c r="T1" s="575"/>
      <c r="U1" s="575"/>
      <c r="V1" s="575"/>
      <c r="W1" s="575"/>
      <c r="X1" s="575"/>
      <c r="Y1" s="575"/>
      <c r="Z1" s="575"/>
      <c r="AA1" s="576"/>
      <c r="AB1" s="571" t="s">
        <v>1</v>
      </c>
      <c r="AC1" s="572"/>
      <c r="AD1" s="573"/>
    </row>
    <row r="2" spans="1:30" ht="30.75" customHeight="1" thickBot="1" x14ac:dyDescent="0.25">
      <c r="A2" s="595"/>
      <c r="B2" s="574" t="s">
        <v>2</v>
      </c>
      <c r="C2" s="575"/>
      <c r="D2" s="575"/>
      <c r="E2" s="575"/>
      <c r="F2" s="575"/>
      <c r="G2" s="575"/>
      <c r="H2" s="575"/>
      <c r="I2" s="575"/>
      <c r="J2" s="575"/>
      <c r="K2" s="575"/>
      <c r="L2" s="575"/>
      <c r="M2" s="575"/>
      <c r="N2" s="575"/>
      <c r="O2" s="575"/>
      <c r="P2" s="575"/>
      <c r="Q2" s="575"/>
      <c r="R2" s="575"/>
      <c r="S2" s="575"/>
      <c r="T2" s="575"/>
      <c r="U2" s="575"/>
      <c r="V2" s="575"/>
      <c r="W2" s="575"/>
      <c r="X2" s="575"/>
      <c r="Y2" s="575"/>
      <c r="Z2" s="575"/>
      <c r="AA2" s="576"/>
      <c r="AB2" s="577" t="s">
        <v>3</v>
      </c>
      <c r="AC2" s="578"/>
      <c r="AD2" s="579"/>
    </row>
    <row r="3" spans="1:30" ht="24" customHeight="1" x14ac:dyDescent="0.2">
      <c r="A3" s="595"/>
      <c r="B3" s="580" t="s">
        <v>4</v>
      </c>
      <c r="C3" s="581"/>
      <c r="D3" s="581"/>
      <c r="E3" s="581"/>
      <c r="F3" s="581"/>
      <c r="G3" s="581"/>
      <c r="H3" s="581"/>
      <c r="I3" s="581"/>
      <c r="J3" s="581"/>
      <c r="K3" s="581"/>
      <c r="L3" s="581"/>
      <c r="M3" s="581"/>
      <c r="N3" s="581"/>
      <c r="O3" s="581"/>
      <c r="P3" s="581"/>
      <c r="Q3" s="581"/>
      <c r="R3" s="581"/>
      <c r="S3" s="581"/>
      <c r="T3" s="581"/>
      <c r="U3" s="581"/>
      <c r="V3" s="581"/>
      <c r="W3" s="581"/>
      <c r="X3" s="581"/>
      <c r="Y3" s="581"/>
      <c r="Z3" s="581"/>
      <c r="AA3" s="582"/>
      <c r="AB3" s="577" t="s">
        <v>5</v>
      </c>
      <c r="AC3" s="578"/>
      <c r="AD3" s="579"/>
    </row>
    <row r="4" spans="1:30" ht="22" customHeight="1" thickBot="1" x14ac:dyDescent="0.25">
      <c r="A4" s="596"/>
      <c r="B4" s="505"/>
      <c r="C4" s="507"/>
      <c r="D4" s="507"/>
      <c r="E4" s="507"/>
      <c r="F4" s="507"/>
      <c r="G4" s="507"/>
      <c r="H4" s="507"/>
      <c r="I4" s="507"/>
      <c r="J4" s="507"/>
      <c r="K4" s="507"/>
      <c r="L4" s="507"/>
      <c r="M4" s="507"/>
      <c r="N4" s="507"/>
      <c r="O4" s="507"/>
      <c r="P4" s="507"/>
      <c r="Q4" s="507"/>
      <c r="R4" s="507"/>
      <c r="S4" s="507"/>
      <c r="T4" s="507"/>
      <c r="U4" s="507"/>
      <c r="V4" s="507"/>
      <c r="W4" s="507"/>
      <c r="X4" s="507"/>
      <c r="Y4" s="507"/>
      <c r="Z4" s="507"/>
      <c r="AA4" s="583"/>
      <c r="AB4" s="584" t="s">
        <v>6</v>
      </c>
      <c r="AC4" s="585"/>
      <c r="AD4" s="586"/>
    </row>
    <row r="5" spans="1:30" ht="9" customHeight="1" thickBot="1" x14ac:dyDescent="0.25">
      <c r="A5" s="51"/>
      <c r="B5" s="180"/>
      <c r="C5" s="181"/>
      <c r="D5" s="54"/>
      <c r="E5" s="54"/>
      <c r="F5" s="54"/>
      <c r="G5" s="54"/>
      <c r="H5" s="54"/>
      <c r="I5" s="54"/>
      <c r="J5" s="54"/>
      <c r="K5" s="54"/>
      <c r="L5" s="54"/>
      <c r="M5" s="54"/>
      <c r="N5" s="54"/>
      <c r="O5" s="54"/>
      <c r="P5" s="54"/>
      <c r="Q5" s="54"/>
      <c r="R5" s="54"/>
      <c r="S5" s="54"/>
      <c r="T5" s="54"/>
      <c r="U5" s="54"/>
      <c r="V5" s="54"/>
      <c r="W5" s="54"/>
      <c r="X5" s="54"/>
      <c r="Y5" s="54"/>
      <c r="Z5" s="55"/>
      <c r="AA5" s="54"/>
      <c r="AB5" s="56"/>
      <c r="AC5" s="57"/>
      <c r="AD5" s="58"/>
    </row>
    <row r="6" spans="1:30" ht="9" customHeight="1" thickBot="1" x14ac:dyDescent="0.25">
      <c r="A6" s="59"/>
      <c r="B6" s="54"/>
      <c r="C6" s="54"/>
      <c r="D6" s="54"/>
      <c r="E6" s="54"/>
      <c r="F6" s="54"/>
      <c r="G6" s="54"/>
      <c r="H6" s="54"/>
      <c r="I6" s="54"/>
      <c r="J6" s="54"/>
      <c r="K6" s="54"/>
      <c r="L6" s="54"/>
      <c r="M6" s="54"/>
      <c r="N6" s="54"/>
      <c r="O6" s="54"/>
      <c r="P6" s="54"/>
      <c r="Q6" s="54"/>
      <c r="R6" s="54"/>
      <c r="S6" s="54"/>
      <c r="T6" s="54"/>
      <c r="U6" s="54"/>
      <c r="V6" s="54"/>
      <c r="W6" s="54"/>
      <c r="X6" s="54"/>
      <c r="Y6" s="54"/>
      <c r="Z6" s="55"/>
      <c r="AA6" s="54"/>
      <c r="AB6" s="54"/>
      <c r="AC6" s="60"/>
      <c r="AD6" s="61"/>
    </row>
    <row r="7" spans="1:30" ht="15" customHeight="1" x14ac:dyDescent="0.2">
      <c r="A7" s="601" t="s">
        <v>7</v>
      </c>
      <c r="B7" s="602"/>
      <c r="C7" s="607" t="s">
        <v>8</v>
      </c>
      <c r="D7" s="601" t="s">
        <v>9</v>
      </c>
      <c r="E7" s="619"/>
      <c r="F7" s="619"/>
      <c r="G7" s="619"/>
      <c r="H7" s="602"/>
      <c r="I7" s="622">
        <v>45233</v>
      </c>
      <c r="J7" s="623"/>
      <c r="K7" s="601" t="s">
        <v>10</v>
      </c>
      <c r="L7" s="602"/>
      <c r="M7" s="589" t="s">
        <v>11</v>
      </c>
      <c r="N7" s="590"/>
      <c r="O7" s="628"/>
      <c r="P7" s="629"/>
      <c r="Q7" s="54"/>
      <c r="R7" s="54"/>
      <c r="S7" s="54"/>
      <c r="T7" s="54"/>
      <c r="U7" s="54"/>
      <c r="V7" s="54"/>
      <c r="W7" s="54"/>
      <c r="X7" s="54"/>
      <c r="Y7" s="54"/>
      <c r="Z7" s="55"/>
      <c r="AA7" s="54"/>
      <c r="AB7" s="54"/>
      <c r="AC7" s="60"/>
      <c r="AD7" s="61"/>
    </row>
    <row r="8" spans="1:30" ht="15" customHeight="1" x14ac:dyDescent="0.2">
      <c r="A8" s="603"/>
      <c r="B8" s="604"/>
      <c r="C8" s="608"/>
      <c r="D8" s="603"/>
      <c r="E8" s="620"/>
      <c r="F8" s="620"/>
      <c r="G8" s="620"/>
      <c r="H8" s="604"/>
      <c r="I8" s="624"/>
      <c r="J8" s="625"/>
      <c r="K8" s="603"/>
      <c r="L8" s="604"/>
      <c r="M8" s="630" t="s">
        <v>12</v>
      </c>
      <c r="N8" s="631"/>
      <c r="O8" s="632"/>
      <c r="P8" s="633"/>
      <c r="Q8" s="54"/>
      <c r="R8" s="54"/>
      <c r="S8" s="54"/>
      <c r="T8" s="54"/>
      <c r="U8" s="54"/>
      <c r="V8" s="54"/>
      <c r="W8" s="54"/>
      <c r="X8" s="54"/>
      <c r="Y8" s="54"/>
      <c r="Z8" s="55"/>
      <c r="AA8" s="54"/>
      <c r="AB8" s="54"/>
      <c r="AC8" s="60"/>
      <c r="AD8" s="61"/>
    </row>
    <row r="9" spans="1:30" ht="15.75" customHeight="1" thickBot="1" x14ac:dyDescent="0.25">
      <c r="A9" s="605"/>
      <c r="B9" s="606"/>
      <c r="C9" s="609"/>
      <c r="D9" s="605"/>
      <c r="E9" s="621"/>
      <c r="F9" s="621"/>
      <c r="G9" s="621"/>
      <c r="H9" s="606"/>
      <c r="I9" s="626"/>
      <c r="J9" s="627"/>
      <c r="K9" s="605"/>
      <c r="L9" s="606"/>
      <c r="M9" s="634" t="s">
        <v>13</v>
      </c>
      <c r="N9" s="635"/>
      <c r="O9" s="587" t="s">
        <v>14</v>
      </c>
      <c r="P9" s="588"/>
      <c r="Q9" s="54"/>
      <c r="R9" s="54"/>
      <c r="S9" s="54"/>
      <c r="T9" s="54"/>
      <c r="U9" s="54"/>
      <c r="V9" s="54"/>
      <c r="W9" s="54"/>
      <c r="X9" s="54"/>
      <c r="Y9" s="54"/>
      <c r="Z9" s="55"/>
      <c r="AA9" s="54"/>
      <c r="AB9" s="54"/>
      <c r="AC9" s="60"/>
      <c r="AD9" s="61"/>
    </row>
    <row r="10" spans="1:30" ht="15" customHeight="1" thickBot="1" x14ac:dyDescent="0.25">
      <c r="A10" s="157"/>
      <c r="B10" s="158"/>
      <c r="C10" s="158"/>
      <c r="D10" s="65"/>
      <c r="E10" s="65"/>
      <c r="F10" s="65"/>
      <c r="G10" s="65"/>
      <c r="H10" s="65"/>
      <c r="I10" s="154"/>
      <c r="J10" s="154"/>
      <c r="K10" s="65"/>
      <c r="L10" s="65"/>
      <c r="M10" s="155"/>
      <c r="N10" s="155"/>
      <c r="O10" s="156"/>
      <c r="P10" s="156"/>
      <c r="Q10" s="158"/>
      <c r="R10" s="158"/>
      <c r="S10" s="158"/>
      <c r="T10" s="158"/>
      <c r="U10" s="158"/>
      <c r="V10" s="158"/>
      <c r="W10" s="158"/>
      <c r="X10" s="158"/>
      <c r="Y10" s="158"/>
      <c r="Z10" s="159"/>
      <c r="AA10" s="158"/>
      <c r="AB10" s="158"/>
      <c r="AC10" s="160"/>
      <c r="AD10" s="161"/>
    </row>
    <row r="11" spans="1:30" ht="15" customHeight="1" x14ac:dyDescent="0.2">
      <c r="A11" s="601" t="s">
        <v>15</v>
      </c>
      <c r="B11" s="602"/>
      <c r="C11" s="610" t="s">
        <v>16</v>
      </c>
      <c r="D11" s="611"/>
      <c r="E11" s="611"/>
      <c r="F11" s="611"/>
      <c r="G11" s="611"/>
      <c r="H11" s="611"/>
      <c r="I11" s="611"/>
      <c r="J11" s="611"/>
      <c r="K11" s="611"/>
      <c r="L11" s="611"/>
      <c r="M11" s="611"/>
      <c r="N11" s="611"/>
      <c r="O11" s="611"/>
      <c r="P11" s="611"/>
      <c r="Q11" s="611"/>
      <c r="R11" s="611"/>
      <c r="S11" s="611"/>
      <c r="T11" s="611"/>
      <c r="U11" s="611"/>
      <c r="V11" s="611"/>
      <c r="W11" s="611"/>
      <c r="X11" s="611"/>
      <c r="Y11" s="611"/>
      <c r="Z11" s="611"/>
      <c r="AA11" s="611"/>
      <c r="AB11" s="611"/>
      <c r="AC11" s="611"/>
      <c r="AD11" s="612"/>
    </row>
    <row r="12" spans="1:30" ht="15" customHeight="1" x14ac:dyDescent="0.2">
      <c r="A12" s="603"/>
      <c r="B12" s="604"/>
      <c r="C12" s="613"/>
      <c r="D12" s="614"/>
      <c r="E12" s="614"/>
      <c r="F12" s="614"/>
      <c r="G12" s="614"/>
      <c r="H12" s="614"/>
      <c r="I12" s="614"/>
      <c r="J12" s="614"/>
      <c r="K12" s="614"/>
      <c r="L12" s="614"/>
      <c r="M12" s="614"/>
      <c r="N12" s="614"/>
      <c r="O12" s="614"/>
      <c r="P12" s="614"/>
      <c r="Q12" s="614"/>
      <c r="R12" s="614"/>
      <c r="S12" s="614"/>
      <c r="T12" s="614"/>
      <c r="U12" s="614"/>
      <c r="V12" s="614"/>
      <c r="W12" s="614"/>
      <c r="X12" s="614"/>
      <c r="Y12" s="614"/>
      <c r="Z12" s="614"/>
      <c r="AA12" s="614"/>
      <c r="AB12" s="614"/>
      <c r="AC12" s="614"/>
      <c r="AD12" s="615"/>
    </row>
    <row r="13" spans="1:30" ht="15" customHeight="1" thickBot="1" x14ac:dyDescent="0.25">
      <c r="A13" s="605"/>
      <c r="B13" s="606"/>
      <c r="C13" s="616"/>
      <c r="D13" s="617"/>
      <c r="E13" s="617"/>
      <c r="F13" s="617"/>
      <c r="G13" s="617"/>
      <c r="H13" s="617"/>
      <c r="I13" s="617"/>
      <c r="J13" s="617"/>
      <c r="K13" s="617"/>
      <c r="L13" s="617"/>
      <c r="M13" s="617"/>
      <c r="N13" s="617"/>
      <c r="O13" s="617"/>
      <c r="P13" s="617"/>
      <c r="Q13" s="617"/>
      <c r="R13" s="617"/>
      <c r="S13" s="617"/>
      <c r="T13" s="617"/>
      <c r="U13" s="617"/>
      <c r="V13" s="617"/>
      <c r="W13" s="617"/>
      <c r="X13" s="617"/>
      <c r="Y13" s="617"/>
      <c r="Z13" s="617"/>
      <c r="AA13" s="617"/>
      <c r="AB13" s="617"/>
      <c r="AC13" s="617"/>
      <c r="AD13" s="618"/>
    </row>
    <row r="14" spans="1:30" ht="9" customHeight="1" thickBot="1" x14ac:dyDescent="0.25">
      <c r="A14" s="67"/>
      <c r="B14" s="68"/>
      <c r="C14" s="69"/>
      <c r="D14" s="69"/>
      <c r="E14" s="69"/>
      <c r="F14" s="69"/>
      <c r="G14" s="69"/>
      <c r="H14" s="69"/>
      <c r="I14" s="69"/>
      <c r="J14" s="69"/>
      <c r="K14" s="69"/>
      <c r="L14" s="69"/>
      <c r="M14" s="70"/>
      <c r="N14" s="70"/>
      <c r="O14" s="70"/>
      <c r="P14" s="70"/>
      <c r="Q14" s="70"/>
      <c r="R14" s="71"/>
      <c r="S14" s="71"/>
      <c r="T14" s="71"/>
      <c r="U14" s="71"/>
      <c r="V14" s="71"/>
      <c r="W14" s="71"/>
      <c r="X14" s="71"/>
      <c r="Y14" s="65"/>
      <c r="Z14" s="65"/>
      <c r="AA14" s="65"/>
      <c r="AB14" s="65"/>
      <c r="AC14" s="65"/>
      <c r="AD14" s="66"/>
    </row>
    <row r="15" spans="1:30" ht="39" customHeight="1" thickBot="1" x14ac:dyDescent="0.25">
      <c r="A15" s="552" t="s">
        <v>17</v>
      </c>
      <c r="B15" s="553"/>
      <c r="C15" s="591" t="s">
        <v>18</v>
      </c>
      <c r="D15" s="592"/>
      <c r="E15" s="592"/>
      <c r="F15" s="592"/>
      <c r="G15" s="592"/>
      <c r="H15" s="592"/>
      <c r="I15" s="592"/>
      <c r="J15" s="592"/>
      <c r="K15" s="593"/>
      <c r="L15" s="560" t="s">
        <v>19</v>
      </c>
      <c r="M15" s="564"/>
      <c r="N15" s="564"/>
      <c r="O15" s="564"/>
      <c r="P15" s="564"/>
      <c r="Q15" s="561"/>
      <c r="R15" s="557" t="s">
        <v>20</v>
      </c>
      <c r="S15" s="558"/>
      <c r="T15" s="558"/>
      <c r="U15" s="558"/>
      <c r="V15" s="558"/>
      <c r="W15" s="558"/>
      <c r="X15" s="559"/>
      <c r="Y15" s="560" t="s">
        <v>21</v>
      </c>
      <c r="Z15" s="561"/>
      <c r="AA15" s="548" t="s">
        <v>22</v>
      </c>
      <c r="AB15" s="549"/>
      <c r="AC15" s="549"/>
      <c r="AD15" s="550"/>
    </row>
    <row r="16" spans="1:30" ht="9" customHeight="1" thickBot="1" x14ac:dyDescent="0.25">
      <c r="A16" s="59"/>
      <c r="B16" s="54"/>
      <c r="C16" s="551"/>
      <c r="D16" s="551"/>
      <c r="E16" s="551"/>
      <c r="F16" s="551"/>
      <c r="G16" s="551"/>
      <c r="H16" s="551"/>
      <c r="I16" s="551"/>
      <c r="J16" s="551"/>
      <c r="K16" s="551"/>
      <c r="L16" s="551"/>
      <c r="M16" s="551"/>
      <c r="N16" s="551"/>
      <c r="O16" s="551"/>
      <c r="P16" s="551"/>
      <c r="Q16" s="551"/>
      <c r="R16" s="551"/>
      <c r="S16" s="551"/>
      <c r="T16" s="551"/>
      <c r="U16" s="551"/>
      <c r="V16" s="551"/>
      <c r="W16" s="551"/>
      <c r="X16" s="551"/>
      <c r="Y16" s="551"/>
      <c r="Z16" s="551"/>
      <c r="AA16" s="551"/>
      <c r="AB16" s="551"/>
      <c r="AC16" s="73"/>
      <c r="AD16" s="74"/>
    </row>
    <row r="17" spans="1:41" s="76" customFormat="1" ht="37.5" customHeight="1" thickBot="1" x14ac:dyDescent="0.25">
      <c r="A17" s="552" t="s">
        <v>23</v>
      </c>
      <c r="B17" s="553"/>
      <c r="C17" s="554" t="s">
        <v>24</v>
      </c>
      <c r="D17" s="555"/>
      <c r="E17" s="555"/>
      <c r="F17" s="555"/>
      <c r="G17" s="555"/>
      <c r="H17" s="555"/>
      <c r="I17" s="555"/>
      <c r="J17" s="555"/>
      <c r="K17" s="555"/>
      <c r="L17" s="555"/>
      <c r="M17" s="555"/>
      <c r="N17" s="555"/>
      <c r="O17" s="555"/>
      <c r="P17" s="555"/>
      <c r="Q17" s="556"/>
      <c r="R17" s="560" t="s">
        <v>25</v>
      </c>
      <c r="S17" s="564"/>
      <c r="T17" s="564"/>
      <c r="U17" s="564"/>
      <c r="V17" s="561"/>
      <c r="W17" s="562">
        <v>1</v>
      </c>
      <c r="X17" s="563"/>
      <c r="Y17" s="564" t="s">
        <v>26</v>
      </c>
      <c r="Z17" s="564"/>
      <c r="AA17" s="564"/>
      <c r="AB17" s="561"/>
      <c r="AC17" s="599">
        <v>0.1</v>
      </c>
      <c r="AD17" s="600"/>
    </row>
    <row r="18" spans="1:41" ht="16.5" customHeight="1" thickBot="1" x14ac:dyDescent="0.25">
      <c r="A18" s="77"/>
      <c r="B18" s="78"/>
      <c r="C18" s="78"/>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9"/>
      <c r="AF18" s="352">
        <f>AC22+'Meta 2'!AC22+'Meta 3'!AC22+'Meta 4'!AC22+'Meta 5'!AC22+'Meta 6'!AC22+'Meta 7'!AC22</f>
        <v>9963958143</v>
      </c>
    </row>
    <row r="19" spans="1:41" ht="32" customHeight="1" thickBot="1" x14ac:dyDescent="0.25">
      <c r="A19" s="560" t="s">
        <v>27</v>
      </c>
      <c r="B19" s="564"/>
      <c r="C19" s="564"/>
      <c r="D19" s="564"/>
      <c r="E19" s="564"/>
      <c r="F19" s="564"/>
      <c r="G19" s="564"/>
      <c r="H19" s="564"/>
      <c r="I19" s="564"/>
      <c r="J19" s="564"/>
      <c r="K19" s="564"/>
      <c r="L19" s="564"/>
      <c r="M19" s="564"/>
      <c r="N19" s="564"/>
      <c r="O19" s="564"/>
      <c r="P19" s="564"/>
      <c r="Q19" s="564"/>
      <c r="R19" s="564"/>
      <c r="S19" s="564"/>
      <c r="T19" s="564"/>
      <c r="U19" s="564"/>
      <c r="V19" s="564"/>
      <c r="W19" s="564"/>
      <c r="X19" s="564"/>
      <c r="Y19" s="564"/>
      <c r="Z19" s="564"/>
      <c r="AA19" s="564"/>
      <c r="AB19" s="564"/>
      <c r="AC19" s="564"/>
      <c r="AD19" s="561"/>
      <c r="AE19" s="83"/>
      <c r="AF19" s="352">
        <f>AC23+'Meta 2'!AC23+'Meta 3'!AC23+'Meta 4'!AC23+'Meta 5'!AC23+'Meta 6'!AC23+'Meta 7'!AC23</f>
        <v>9213630739</v>
      </c>
    </row>
    <row r="20" spans="1:41" ht="32" customHeight="1" thickBot="1" x14ac:dyDescent="0.25">
      <c r="A20" s="82"/>
      <c r="B20" s="60"/>
      <c r="C20" s="568" t="s">
        <v>28</v>
      </c>
      <c r="D20" s="569"/>
      <c r="E20" s="569"/>
      <c r="F20" s="569"/>
      <c r="G20" s="569"/>
      <c r="H20" s="569"/>
      <c r="I20" s="569"/>
      <c r="J20" s="569"/>
      <c r="K20" s="569"/>
      <c r="L20" s="569"/>
      <c r="M20" s="569"/>
      <c r="N20" s="569"/>
      <c r="O20" s="569"/>
      <c r="P20" s="570"/>
      <c r="Q20" s="565" t="s">
        <v>29</v>
      </c>
      <c r="R20" s="566"/>
      <c r="S20" s="566"/>
      <c r="T20" s="566"/>
      <c r="U20" s="566"/>
      <c r="V20" s="566"/>
      <c r="W20" s="566"/>
      <c r="X20" s="566"/>
      <c r="Y20" s="566"/>
      <c r="Z20" s="566"/>
      <c r="AA20" s="566"/>
      <c r="AB20" s="566"/>
      <c r="AC20" s="566"/>
      <c r="AD20" s="567"/>
      <c r="AE20" s="83"/>
      <c r="AF20" s="352">
        <f>AC24+'Meta 2'!AC24+'Meta 3'!AC24+'Meta 4'!AC24+'Meta 5'!AC24+'Meta 6'!AC24+'Meta 7'!AC24</f>
        <v>9963958143</v>
      </c>
    </row>
    <row r="21" spans="1:41" ht="32" customHeight="1" x14ac:dyDescent="0.2">
      <c r="A21" s="59"/>
      <c r="B21" s="54"/>
      <c r="C21" s="146" t="s">
        <v>30</v>
      </c>
      <c r="D21" s="147" t="s">
        <v>31</v>
      </c>
      <c r="E21" s="147" t="s">
        <v>32</v>
      </c>
      <c r="F21" s="147" t="s">
        <v>33</v>
      </c>
      <c r="G21" s="147" t="s">
        <v>34</v>
      </c>
      <c r="H21" s="147" t="s">
        <v>35</v>
      </c>
      <c r="I21" s="147" t="s">
        <v>36</v>
      </c>
      <c r="J21" s="147" t="s">
        <v>37</v>
      </c>
      <c r="K21" s="147" t="s">
        <v>38</v>
      </c>
      <c r="L21" s="147" t="s">
        <v>8</v>
      </c>
      <c r="M21" s="147" t="s">
        <v>39</v>
      </c>
      <c r="N21" s="147" t="s">
        <v>40</v>
      </c>
      <c r="O21" s="147" t="s">
        <v>41</v>
      </c>
      <c r="P21" s="148" t="s">
        <v>42</v>
      </c>
      <c r="Q21" s="146" t="s">
        <v>30</v>
      </c>
      <c r="R21" s="147" t="s">
        <v>31</v>
      </c>
      <c r="S21" s="147" t="s">
        <v>32</v>
      </c>
      <c r="T21" s="147" t="s">
        <v>33</v>
      </c>
      <c r="U21" s="147" t="s">
        <v>34</v>
      </c>
      <c r="V21" s="147" t="s">
        <v>35</v>
      </c>
      <c r="W21" s="147" t="s">
        <v>36</v>
      </c>
      <c r="X21" s="147" t="s">
        <v>37</v>
      </c>
      <c r="Y21" s="147" t="s">
        <v>38</v>
      </c>
      <c r="Z21" s="147" t="s">
        <v>8</v>
      </c>
      <c r="AA21" s="147" t="s">
        <v>39</v>
      </c>
      <c r="AB21" s="147" t="s">
        <v>40</v>
      </c>
      <c r="AC21" s="147" t="s">
        <v>41</v>
      </c>
      <c r="AD21" s="148" t="s">
        <v>42</v>
      </c>
      <c r="AE21" s="3"/>
      <c r="AF21" s="352">
        <f>AC25+'Meta 2'!AC25+'Meta 3'!AC25+'Meta 4'!AC25+'Meta 5'!AC25+'Meta 6'!AC25+'Meta 7'!AC25</f>
        <v>6526789402</v>
      </c>
    </row>
    <row r="22" spans="1:41" ht="32" customHeight="1" x14ac:dyDescent="0.2">
      <c r="A22" s="527" t="s">
        <v>43</v>
      </c>
      <c r="B22" s="598"/>
      <c r="C22" s="168"/>
      <c r="D22" s="166"/>
      <c r="E22" s="166"/>
      <c r="F22" s="166"/>
      <c r="G22" s="166"/>
      <c r="H22" s="166"/>
      <c r="I22" s="166"/>
      <c r="J22" s="166"/>
      <c r="K22" s="166"/>
      <c r="L22" s="166"/>
      <c r="M22" s="166"/>
      <c r="N22" s="166"/>
      <c r="O22" s="166">
        <f>SUM(C22:N22)</f>
        <v>0</v>
      </c>
      <c r="P22" s="169"/>
      <c r="Q22" s="168">
        <v>270886100</v>
      </c>
      <c r="R22" s="310"/>
      <c r="S22" s="166"/>
      <c r="T22" s="166">
        <v>21559511</v>
      </c>
      <c r="U22" s="166"/>
      <c r="V22" s="166">
        <f>2139478+34249272-13570647</f>
        <v>22818103</v>
      </c>
      <c r="W22" s="166"/>
      <c r="X22" s="166"/>
      <c r="Y22" s="166"/>
      <c r="Z22" s="166">
        <v>-21404801</v>
      </c>
      <c r="AA22" s="166"/>
      <c r="AB22" s="166"/>
      <c r="AC22" s="373">
        <f>SUM(Q22:AB22)</f>
        <v>293858913</v>
      </c>
      <c r="AD22" s="173"/>
      <c r="AE22" s="3"/>
      <c r="AF22" s="597" t="s">
        <v>44</v>
      </c>
      <c r="AG22" s="597"/>
      <c r="AH22" s="597"/>
      <c r="AI22" s="597"/>
      <c r="AJ22" s="597"/>
      <c r="AK22" s="597"/>
      <c r="AL22" s="597"/>
      <c r="AM22" s="597"/>
    </row>
    <row r="23" spans="1:41" ht="32" customHeight="1" x14ac:dyDescent="0.2">
      <c r="A23" s="528" t="s">
        <v>45</v>
      </c>
      <c r="B23" s="540"/>
      <c r="C23" s="163"/>
      <c r="D23" s="162"/>
      <c r="E23" s="303"/>
      <c r="F23" s="303"/>
      <c r="G23" s="303"/>
      <c r="H23" s="303"/>
      <c r="I23" s="303"/>
      <c r="J23" s="303"/>
      <c r="K23" s="303"/>
      <c r="L23" s="162"/>
      <c r="M23" s="162"/>
      <c r="N23" s="162"/>
      <c r="O23" s="162">
        <f>SUM(C23:N23)</f>
        <v>0</v>
      </c>
      <c r="P23" s="174" t="str">
        <f>IFERROR(O23/(SUMIF(C23:N23,"&gt;0",C22:N22))," ")</f>
        <v xml:space="preserve"> </v>
      </c>
      <c r="Q23" s="309">
        <v>42119000</v>
      </c>
      <c r="R23" s="305">
        <v>143641483</v>
      </c>
      <c r="S23" s="305">
        <v>72012067</v>
      </c>
      <c r="T23" s="305">
        <v>-5686083</v>
      </c>
      <c r="U23" s="305">
        <v>21983446</v>
      </c>
      <c r="V23" s="305">
        <v>11200000</v>
      </c>
      <c r="W23" s="305" t="s">
        <v>46</v>
      </c>
      <c r="X23" s="305" t="s">
        <v>46</v>
      </c>
      <c r="Y23" s="305" t="s">
        <v>46</v>
      </c>
      <c r="Z23" s="305">
        <v>1260000</v>
      </c>
      <c r="AA23" s="162"/>
      <c r="AB23" s="162"/>
      <c r="AC23" s="184">
        <f>SUM(Q23:AB23)</f>
        <v>286529913</v>
      </c>
      <c r="AD23" s="171">
        <f>+AC23/AC22</f>
        <v>0.97505945991163456</v>
      </c>
      <c r="AE23" s="3"/>
      <c r="AF23" s="597"/>
      <c r="AG23" s="597"/>
      <c r="AH23" s="597"/>
      <c r="AI23" s="597"/>
      <c r="AJ23" s="597"/>
      <c r="AK23" s="597"/>
      <c r="AL23" s="597"/>
      <c r="AM23" s="597"/>
    </row>
    <row r="24" spans="1:41" ht="32" customHeight="1" x14ac:dyDescent="0.2">
      <c r="A24" s="528" t="s">
        <v>47</v>
      </c>
      <c r="B24" s="540"/>
      <c r="C24" s="302">
        <v>19304536</v>
      </c>
      <c r="D24" s="306">
        <f>1+1+3347500+1081500+432600+475860+4505045</f>
        <v>9842507</v>
      </c>
      <c r="E24" s="305" t="s">
        <v>48</v>
      </c>
      <c r="F24" s="305" t="s">
        <v>48</v>
      </c>
      <c r="G24" s="305" t="s">
        <v>48</v>
      </c>
      <c r="H24" s="305">
        <v>-3467667</v>
      </c>
      <c r="I24" s="305" t="s">
        <v>49</v>
      </c>
      <c r="J24" s="305" t="s">
        <v>49</v>
      </c>
      <c r="K24" s="305">
        <v>-10127</v>
      </c>
      <c r="L24" s="307"/>
      <c r="M24" s="162"/>
      <c r="N24" s="162"/>
      <c r="O24" s="184">
        <f>SUM(C24:N24)</f>
        <v>25669249</v>
      </c>
      <c r="P24" s="167"/>
      <c r="Q24" s="163"/>
      <c r="R24" s="310">
        <v>11387300</v>
      </c>
      <c r="S24" s="162">
        <v>23590800</v>
      </c>
      <c r="T24" s="162">
        <v>23590800</v>
      </c>
      <c r="U24" s="162">
        <f>23590800+21559511</f>
        <v>45150311</v>
      </c>
      <c r="V24" s="162">
        <f>23590800-13570647</f>
        <v>10020153</v>
      </c>
      <c r="W24" s="162">
        <f>23590800+2139478+11416424</f>
        <v>37146702</v>
      </c>
      <c r="X24" s="162">
        <v>23590800</v>
      </c>
      <c r="Y24" s="162">
        <f>23590800+11416424</f>
        <v>35007224</v>
      </c>
      <c r="Z24" s="162">
        <f>23590800-21404801</f>
        <v>2185999</v>
      </c>
      <c r="AA24" s="162">
        <f>23590800+11416424</f>
        <v>35007224</v>
      </c>
      <c r="AB24" s="162">
        <v>47181600</v>
      </c>
      <c r="AC24" s="162">
        <f>SUM(Q24:AB24)</f>
        <v>293858913</v>
      </c>
      <c r="AD24" s="171"/>
      <c r="AE24" s="3"/>
      <c r="AF24" s="597"/>
      <c r="AG24" s="597"/>
      <c r="AH24" s="597"/>
      <c r="AI24" s="597"/>
      <c r="AJ24" s="597"/>
      <c r="AK24" s="597"/>
      <c r="AL24" s="597"/>
      <c r="AM24" s="597"/>
    </row>
    <row r="25" spans="1:41" ht="32" customHeight="1" x14ac:dyDescent="0.2">
      <c r="A25" s="484" t="s">
        <v>50</v>
      </c>
      <c r="B25" s="547"/>
      <c r="C25" s="301">
        <v>1437194</v>
      </c>
      <c r="D25" s="301">
        <v>18698717</v>
      </c>
      <c r="E25" s="308" t="s">
        <v>51</v>
      </c>
      <c r="F25" s="308">
        <v>5151217</v>
      </c>
      <c r="G25" s="308" t="s">
        <v>49</v>
      </c>
      <c r="H25" s="308">
        <v>382121</v>
      </c>
      <c r="I25" s="308" t="s">
        <v>49</v>
      </c>
      <c r="J25" s="308" t="s">
        <v>49</v>
      </c>
      <c r="K25" s="308" t="s">
        <v>49</v>
      </c>
      <c r="L25" s="165">
        <v>0</v>
      </c>
      <c r="M25" s="165"/>
      <c r="N25" s="165"/>
      <c r="O25" s="165">
        <f>SUM(C25:N25)</f>
        <v>25669249</v>
      </c>
      <c r="P25" s="170">
        <f>IFERROR(O25/(SUMIF(C25:N25,"&gt;0",C24:N24))," ")</f>
        <v>0.99960563683478909</v>
      </c>
      <c r="Q25" s="164"/>
      <c r="R25" s="311">
        <v>944066</v>
      </c>
      <c r="S25" s="311">
        <v>6845767</v>
      </c>
      <c r="T25" s="311">
        <v>20800384</v>
      </c>
      <c r="U25" s="311">
        <v>24932000</v>
      </c>
      <c r="V25" s="311">
        <v>24884866</v>
      </c>
      <c r="W25" s="311">
        <v>50189230</v>
      </c>
      <c r="X25" s="311">
        <v>25436400</v>
      </c>
      <c r="Y25" s="311">
        <v>21724200</v>
      </c>
      <c r="Z25" s="311">
        <v>20789000</v>
      </c>
      <c r="AA25" s="165"/>
      <c r="AB25" s="165"/>
      <c r="AC25" s="165">
        <f>SUM(Q25:AB25)</f>
        <v>196545913</v>
      </c>
      <c r="AD25" s="172">
        <f>+AC25/AC24</f>
        <v>0.66884448388332529</v>
      </c>
      <c r="AE25" s="3"/>
      <c r="AF25" s="597"/>
      <c r="AG25" s="597"/>
      <c r="AH25" s="597"/>
      <c r="AI25" s="597"/>
      <c r="AJ25" s="597"/>
      <c r="AK25" s="597"/>
      <c r="AL25" s="597"/>
      <c r="AM25" s="597"/>
    </row>
    <row r="26" spans="1:41" ht="32" customHeight="1" x14ac:dyDescent="0.2">
      <c r="A26" s="59"/>
      <c r="B26" s="54"/>
      <c r="C26" s="80"/>
      <c r="D26" s="80"/>
      <c r="E26" s="80"/>
      <c r="F26" s="80"/>
      <c r="G26" s="80"/>
      <c r="H26" s="80"/>
      <c r="I26" s="80"/>
      <c r="J26" s="80"/>
      <c r="K26" s="80"/>
      <c r="L26" s="80"/>
      <c r="M26" s="80"/>
      <c r="N26" s="80"/>
      <c r="O26" s="80"/>
      <c r="P26" s="80"/>
      <c r="Q26" s="80"/>
      <c r="R26" s="80"/>
      <c r="S26" s="80"/>
      <c r="T26" s="80"/>
      <c r="U26" s="80"/>
      <c r="V26" s="80"/>
      <c r="W26" s="80"/>
      <c r="X26" s="80"/>
      <c r="Y26" s="80"/>
      <c r="Z26" s="80"/>
      <c r="AA26" s="80"/>
      <c r="AB26" s="80"/>
      <c r="AC26" s="60"/>
      <c r="AD26" s="161"/>
    </row>
    <row r="27" spans="1:41" ht="34" customHeight="1" x14ac:dyDescent="0.2">
      <c r="A27" s="543" t="s">
        <v>52</v>
      </c>
      <c r="B27" s="544"/>
      <c r="C27" s="545"/>
      <c r="D27" s="545"/>
      <c r="E27" s="545"/>
      <c r="F27" s="545"/>
      <c r="G27" s="545"/>
      <c r="H27" s="545"/>
      <c r="I27" s="545"/>
      <c r="J27" s="545"/>
      <c r="K27" s="545"/>
      <c r="L27" s="545"/>
      <c r="M27" s="545"/>
      <c r="N27" s="545"/>
      <c r="O27" s="545"/>
      <c r="P27" s="545"/>
      <c r="Q27" s="545"/>
      <c r="R27" s="545"/>
      <c r="S27" s="545"/>
      <c r="T27" s="545"/>
      <c r="U27" s="545"/>
      <c r="V27" s="545"/>
      <c r="W27" s="545"/>
      <c r="X27" s="545"/>
      <c r="Y27" s="545"/>
      <c r="Z27" s="545"/>
      <c r="AA27" s="545"/>
      <c r="AB27" s="545"/>
      <c r="AC27" s="545"/>
      <c r="AD27" s="546"/>
    </row>
    <row r="28" spans="1:41" ht="15" customHeight="1" x14ac:dyDescent="0.2">
      <c r="A28" s="536" t="s">
        <v>53</v>
      </c>
      <c r="B28" s="538" t="s">
        <v>54</v>
      </c>
      <c r="C28" s="539"/>
      <c r="D28" s="540" t="s">
        <v>55</v>
      </c>
      <c r="E28" s="541"/>
      <c r="F28" s="541"/>
      <c r="G28" s="541"/>
      <c r="H28" s="541"/>
      <c r="I28" s="541"/>
      <c r="J28" s="541"/>
      <c r="K28" s="541"/>
      <c r="L28" s="541"/>
      <c r="M28" s="541"/>
      <c r="N28" s="541"/>
      <c r="O28" s="535"/>
      <c r="P28" s="529" t="s">
        <v>41</v>
      </c>
      <c r="Q28" s="529" t="s">
        <v>56</v>
      </c>
      <c r="R28" s="529"/>
      <c r="S28" s="529"/>
      <c r="T28" s="529"/>
      <c r="U28" s="529"/>
      <c r="V28" s="529"/>
      <c r="W28" s="529"/>
      <c r="X28" s="529"/>
      <c r="Y28" s="529"/>
      <c r="Z28" s="529"/>
      <c r="AA28" s="529"/>
      <c r="AB28" s="529"/>
      <c r="AC28" s="529"/>
      <c r="AD28" s="542"/>
    </row>
    <row r="29" spans="1:41" ht="27" customHeight="1" x14ac:dyDescent="0.2">
      <c r="A29" s="537"/>
      <c r="B29" s="532"/>
      <c r="C29" s="487"/>
      <c r="D29" s="88" t="s">
        <v>30</v>
      </c>
      <c r="E29" s="88" t="s">
        <v>31</v>
      </c>
      <c r="F29" s="88" t="s">
        <v>32</v>
      </c>
      <c r="G29" s="88" t="s">
        <v>33</v>
      </c>
      <c r="H29" s="88" t="s">
        <v>34</v>
      </c>
      <c r="I29" s="88" t="s">
        <v>35</v>
      </c>
      <c r="J29" s="88" t="s">
        <v>36</v>
      </c>
      <c r="K29" s="88" t="s">
        <v>37</v>
      </c>
      <c r="L29" s="88" t="s">
        <v>38</v>
      </c>
      <c r="M29" s="88" t="s">
        <v>8</v>
      </c>
      <c r="N29" s="88" t="s">
        <v>39</v>
      </c>
      <c r="O29" s="88" t="s">
        <v>40</v>
      </c>
      <c r="P29" s="535"/>
      <c r="Q29" s="529"/>
      <c r="R29" s="529"/>
      <c r="S29" s="529"/>
      <c r="T29" s="529"/>
      <c r="U29" s="529"/>
      <c r="V29" s="529"/>
      <c r="W29" s="529"/>
      <c r="X29" s="529"/>
      <c r="Y29" s="529"/>
      <c r="Z29" s="529"/>
      <c r="AA29" s="529"/>
      <c r="AB29" s="529"/>
      <c r="AC29" s="529"/>
      <c r="AD29" s="542"/>
    </row>
    <row r="30" spans="1:41" ht="68.25" customHeight="1" thickBot="1" x14ac:dyDescent="0.25">
      <c r="A30" s="85" t="s">
        <v>57</v>
      </c>
      <c r="B30" s="520"/>
      <c r="C30" s="521"/>
      <c r="D30" s="89"/>
      <c r="E30" s="89"/>
      <c r="F30" s="89"/>
      <c r="G30" s="89"/>
      <c r="H30" s="89"/>
      <c r="I30" s="89"/>
      <c r="J30" s="89"/>
      <c r="K30" s="89"/>
      <c r="L30" s="89"/>
      <c r="M30" s="89"/>
      <c r="N30" s="89"/>
      <c r="O30" s="89"/>
      <c r="P30" s="86">
        <f>SUM(D30:O30)</f>
        <v>0</v>
      </c>
      <c r="Q30" s="522"/>
      <c r="R30" s="522"/>
      <c r="S30" s="522"/>
      <c r="T30" s="522"/>
      <c r="U30" s="522"/>
      <c r="V30" s="522"/>
      <c r="W30" s="522"/>
      <c r="X30" s="522"/>
      <c r="Y30" s="522"/>
      <c r="Z30" s="522"/>
      <c r="AA30" s="522"/>
      <c r="AB30" s="522"/>
      <c r="AC30" s="522"/>
      <c r="AD30" s="523"/>
    </row>
    <row r="31" spans="1:41" ht="45" customHeight="1" thickBot="1" x14ac:dyDescent="0.25">
      <c r="A31" s="524" t="s">
        <v>58</v>
      </c>
      <c r="B31" s="525"/>
      <c r="C31" s="525"/>
      <c r="D31" s="525"/>
      <c r="E31" s="525"/>
      <c r="F31" s="525"/>
      <c r="G31" s="525"/>
      <c r="H31" s="525"/>
      <c r="I31" s="525"/>
      <c r="J31" s="525"/>
      <c r="K31" s="525"/>
      <c r="L31" s="525"/>
      <c r="M31" s="525"/>
      <c r="N31" s="525"/>
      <c r="O31" s="525"/>
      <c r="P31" s="525"/>
      <c r="Q31" s="525"/>
      <c r="R31" s="525"/>
      <c r="S31" s="525"/>
      <c r="T31" s="525"/>
      <c r="U31" s="525"/>
      <c r="V31" s="525"/>
      <c r="W31" s="525"/>
      <c r="X31" s="525"/>
      <c r="Y31" s="525"/>
      <c r="Z31" s="525"/>
      <c r="AA31" s="525"/>
      <c r="AB31" s="525"/>
      <c r="AC31" s="525"/>
      <c r="AD31" s="526"/>
    </row>
    <row r="32" spans="1:41" ht="23" customHeight="1" x14ac:dyDescent="0.2">
      <c r="A32" s="527" t="s">
        <v>59</v>
      </c>
      <c r="B32" s="485" t="s">
        <v>60</v>
      </c>
      <c r="C32" s="488" t="s">
        <v>54</v>
      </c>
      <c r="D32" s="531" t="s">
        <v>61</v>
      </c>
      <c r="E32" s="485"/>
      <c r="F32" s="485"/>
      <c r="G32" s="485"/>
      <c r="H32" s="485"/>
      <c r="I32" s="485"/>
      <c r="J32" s="485"/>
      <c r="K32" s="485"/>
      <c r="L32" s="485"/>
      <c r="M32" s="485"/>
      <c r="N32" s="485"/>
      <c r="O32" s="485"/>
      <c r="P32" s="488"/>
      <c r="Q32" s="531" t="s">
        <v>62</v>
      </c>
      <c r="R32" s="485"/>
      <c r="S32" s="485"/>
      <c r="T32" s="485"/>
      <c r="U32" s="485"/>
      <c r="V32" s="485"/>
      <c r="W32" s="485"/>
      <c r="X32" s="485"/>
      <c r="Y32" s="485"/>
      <c r="Z32" s="485"/>
      <c r="AA32" s="485"/>
      <c r="AB32" s="485"/>
      <c r="AC32" s="485"/>
      <c r="AD32" s="488"/>
      <c r="AG32" s="87"/>
      <c r="AH32" s="87"/>
      <c r="AI32" s="87"/>
      <c r="AJ32" s="87"/>
      <c r="AK32" s="87"/>
      <c r="AL32" s="87"/>
      <c r="AM32" s="87"/>
      <c r="AN32" s="87"/>
      <c r="AO32" s="87"/>
    </row>
    <row r="33" spans="1:41" ht="27" customHeight="1" x14ac:dyDescent="0.2">
      <c r="A33" s="528"/>
      <c r="B33" s="529"/>
      <c r="C33" s="530"/>
      <c r="D33" s="232" t="s">
        <v>30</v>
      </c>
      <c r="E33" s="226" t="s">
        <v>31</v>
      </c>
      <c r="F33" s="226" t="s">
        <v>32</v>
      </c>
      <c r="G33" s="226" t="s">
        <v>33</v>
      </c>
      <c r="H33" s="226" t="s">
        <v>34</v>
      </c>
      <c r="I33" s="226" t="s">
        <v>35</v>
      </c>
      <c r="J33" s="226" t="s">
        <v>36</v>
      </c>
      <c r="K33" s="226" t="s">
        <v>37</v>
      </c>
      <c r="L33" s="226" t="s">
        <v>38</v>
      </c>
      <c r="M33" s="226" t="s">
        <v>8</v>
      </c>
      <c r="N33" s="226" t="s">
        <v>39</v>
      </c>
      <c r="O33" s="226" t="s">
        <v>40</v>
      </c>
      <c r="P33" s="227" t="s">
        <v>41</v>
      </c>
      <c r="Q33" s="535" t="s">
        <v>63</v>
      </c>
      <c r="R33" s="529"/>
      <c r="S33" s="529"/>
      <c r="T33" s="529" t="s">
        <v>64</v>
      </c>
      <c r="U33" s="529"/>
      <c r="V33" s="529"/>
      <c r="W33" s="532" t="s">
        <v>65</v>
      </c>
      <c r="X33" s="533"/>
      <c r="Y33" s="533"/>
      <c r="Z33" s="487"/>
      <c r="AA33" s="532" t="s">
        <v>66</v>
      </c>
      <c r="AB33" s="533"/>
      <c r="AC33" s="533"/>
      <c r="AD33" s="534"/>
      <c r="AG33" s="87"/>
      <c r="AH33" s="87"/>
      <c r="AI33" s="87"/>
      <c r="AJ33" s="87"/>
      <c r="AK33" s="87"/>
      <c r="AL33" s="87"/>
      <c r="AM33" s="87"/>
      <c r="AN33" s="87"/>
      <c r="AO33" s="87"/>
    </row>
    <row r="34" spans="1:41" ht="172" customHeight="1" x14ac:dyDescent="0.2">
      <c r="A34" s="504" t="s">
        <v>57</v>
      </c>
      <c r="B34" s="506">
        <v>0.1</v>
      </c>
      <c r="C34" s="235" t="s">
        <v>67</v>
      </c>
      <c r="D34" s="236">
        <f>D69</f>
        <v>6.5120361083249756E-2</v>
      </c>
      <c r="E34" s="220">
        <f t="shared" ref="E34:O34" si="0">E69</f>
        <v>8.512036108324976E-2</v>
      </c>
      <c r="F34" s="220">
        <f t="shared" si="0"/>
        <v>8.6624874623871626E-2</v>
      </c>
      <c r="G34" s="220">
        <f t="shared" si="0"/>
        <v>8.6624874623871626E-2</v>
      </c>
      <c r="H34" s="220">
        <f t="shared" si="0"/>
        <v>8.6624874623871626E-2</v>
      </c>
      <c r="I34" s="220">
        <f t="shared" si="0"/>
        <v>8.6624874623871626E-2</v>
      </c>
      <c r="J34" s="220">
        <f t="shared" si="0"/>
        <v>8.6624874623871626E-2</v>
      </c>
      <c r="K34" s="220">
        <f t="shared" si="0"/>
        <v>8.6624874623871626E-2</v>
      </c>
      <c r="L34" s="220">
        <f t="shared" si="0"/>
        <v>8.6624874623871626E-2</v>
      </c>
      <c r="M34" s="220">
        <f t="shared" si="0"/>
        <v>8.6624874623871626E-2</v>
      </c>
      <c r="N34" s="220">
        <f t="shared" si="0"/>
        <v>8.6624874623871626E-2</v>
      </c>
      <c r="O34" s="220">
        <f t="shared" si="0"/>
        <v>7.0135406218655966E-2</v>
      </c>
      <c r="P34" s="220">
        <f>SUM(D34:O34)</f>
        <v>1</v>
      </c>
      <c r="Q34" s="508" t="s">
        <v>68</v>
      </c>
      <c r="R34" s="509"/>
      <c r="S34" s="514"/>
      <c r="T34" s="516" t="s">
        <v>69</v>
      </c>
      <c r="U34" s="516"/>
      <c r="V34" s="517"/>
      <c r="W34" s="508" t="s">
        <v>70</v>
      </c>
      <c r="X34" s="509"/>
      <c r="Y34" s="509"/>
      <c r="Z34" s="510"/>
      <c r="AA34" s="508" t="s">
        <v>71</v>
      </c>
      <c r="AB34" s="509"/>
      <c r="AC34" s="509"/>
      <c r="AD34" s="510"/>
      <c r="AG34" s="87"/>
      <c r="AH34" s="87"/>
      <c r="AI34" s="87"/>
      <c r="AJ34" s="87"/>
      <c r="AK34" s="87"/>
      <c r="AL34" s="87"/>
      <c r="AM34" s="87"/>
      <c r="AN34" s="87"/>
      <c r="AO34" s="87"/>
    </row>
    <row r="35" spans="1:41" ht="172" customHeight="1" x14ac:dyDescent="0.2">
      <c r="A35" s="505"/>
      <c r="B35" s="507"/>
      <c r="C35" s="229" t="s">
        <v>72</v>
      </c>
      <c r="D35" s="228">
        <f>D66</f>
        <v>6.5120361083249756E-2</v>
      </c>
      <c r="E35" s="221">
        <f t="shared" ref="E35:M35" si="1">E66</f>
        <v>8.512036108324976E-2</v>
      </c>
      <c r="F35" s="221">
        <f t="shared" si="1"/>
        <v>8.6624874623871626E-2</v>
      </c>
      <c r="G35" s="221">
        <f t="shared" si="1"/>
        <v>8.6624874623871626E-2</v>
      </c>
      <c r="H35" s="221">
        <f t="shared" si="1"/>
        <v>8.6624874623871626E-2</v>
      </c>
      <c r="I35" s="221">
        <f t="shared" si="1"/>
        <v>8.6624874623871626E-2</v>
      </c>
      <c r="J35" s="221">
        <f t="shared" si="1"/>
        <v>8.6624874623871626E-2</v>
      </c>
      <c r="K35" s="221">
        <f t="shared" si="1"/>
        <v>8.6624874623871626E-2</v>
      </c>
      <c r="L35" s="221">
        <f t="shared" si="1"/>
        <v>8.6624874623871626E-2</v>
      </c>
      <c r="M35" s="221">
        <f t="shared" si="1"/>
        <v>8.6624874623871626E-2</v>
      </c>
      <c r="N35" s="275">
        <v>0</v>
      </c>
      <c r="O35" s="275">
        <v>0</v>
      </c>
      <c r="P35" s="222">
        <f>SUM(D35:O35)</f>
        <v>0.84323971915747242</v>
      </c>
      <c r="Q35" s="511"/>
      <c r="R35" s="512"/>
      <c r="S35" s="515"/>
      <c r="T35" s="518"/>
      <c r="U35" s="518"/>
      <c r="V35" s="519"/>
      <c r="W35" s="511"/>
      <c r="X35" s="512"/>
      <c r="Y35" s="512"/>
      <c r="Z35" s="513"/>
      <c r="AA35" s="511"/>
      <c r="AB35" s="512"/>
      <c r="AC35" s="512"/>
      <c r="AD35" s="513"/>
      <c r="AE35" s="49"/>
      <c r="AG35" s="87"/>
      <c r="AH35" s="87"/>
      <c r="AI35" s="87"/>
      <c r="AJ35" s="87"/>
      <c r="AK35" s="87"/>
      <c r="AL35" s="87"/>
      <c r="AM35" s="87"/>
      <c r="AN35" s="87"/>
      <c r="AO35" s="87"/>
    </row>
    <row r="36" spans="1:41" ht="26" customHeight="1" x14ac:dyDescent="0.2">
      <c r="A36" s="483" t="s">
        <v>73</v>
      </c>
      <c r="B36" s="485" t="s">
        <v>74</v>
      </c>
      <c r="C36" s="487" t="s">
        <v>75</v>
      </c>
      <c r="D36" s="485"/>
      <c r="E36" s="485"/>
      <c r="F36" s="485"/>
      <c r="G36" s="485"/>
      <c r="H36" s="485"/>
      <c r="I36" s="485"/>
      <c r="J36" s="485"/>
      <c r="K36" s="485"/>
      <c r="L36" s="485"/>
      <c r="M36" s="485"/>
      <c r="N36" s="485"/>
      <c r="O36" s="485"/>
      <c r="P36" s="488"/>
      <c r="Q36" s="489" t="s">
        <v>76</v>
      </c>
      <c r="R36" s="490"/>
      <c r="S36" s="490"/>
      <c r="T36" s="490"/>
      <c r="U36" s="490"/>
      <c r="V36" s="490"/>
      <c r="W36" s="490"/>
      <c r="X36" s="490"/>
      <c r="Y36" s="490"/>
      <c r="Z36" s="490"/>
      <c r="AA36" s="490"/>
      <c r="AB36" s="490"/>
      <c r="AC36" s="490"/>
      <c r="AD36" s="491"/>
      <c r="AG36" s="87"/>
      <c r="AH36" s="87"/>
      <c r="AI36" s="87"/>
      <c r="AJ36" s="87"/>
      <c r="AK36" s="87"/>
      <c r="AL36" s="87"/>
      <c r="AM36" s="87"/>
      <c r="AN36" s="87"/>
      <c r="AO36" s="87"/>
    </row>
    <row r="37" spans="1:41" ht="42" customHeight="1" thickBot="1" x14ac:dyDescent="0.25">
      <c r="A37" s="484"/>
      <c r="B37" s="486"/>
      <c r="C37" s="232" t="s">
        <v>77</v>
      </c>
      <c r="D37" s="226" t="s">
        <v>78</v>
      </c>
      <c r="E37" s="226" t="s">
        <v>79</v>
      </c>
      <c r="F37" s="226" t="s">
        <v>80</v>
      </c>
      <c r="G37" s="226" t="s">
        <v>81</v>
      </c>
      <c r="H37" s="226" t="s">
        <v>82</v>
      </c>
      <c r="I37" s="226" t="s">
        <v>83</v>
      </c>
      <c r="J37" s="226" t="s">
        <v>84</v>
      </c>
      <c r="K37" s="226" t="s">
        <v>85</v>
      </c>
      <c r="L37" s="226" t="s">
        <v>86</v>
      </c>
      <c r="M37" s="226" t="s">
        <v>87</v>
      </c>
      <c r="N37" s="226" t="s">
        <v>88</v>
      </c>
      <c r="O37" s="226" t="s">
        <v>89</v>
      </c>
      <c r="P37" s="227" t="s">
        <v>90</v>
      </c>
      <c r="Q37" s="492" t="s">
        <v>91</v>
      </c>
      <c r="R37" s="493"/>
      <c r="S37" s="493"/>
      <c r="T37" s="493"/>
      <c r="U37" s="493"/>
      <c r="V37" s="493"/>
      <c r="W37" s="493"/>
      <c r="X37" s="493"/>
      <c r="Y37" s="493"/>
      <c r="Z37" s="493"/>
      <c r="AA37" s="493"/>
      <c r="AB37" s="493"/>
      <c r="AC37" s="493"/>
      <c r="AD37" s="494"/>
      <c r="AG37" s="94"/>
      <c r="AH37" s="94"/>
      <c r="AI37" s="94"/>
      <c r="AJ37" s="94"/>
      <c r="AK37" s="94"/>
      <c r="AL37" s="94"/>
      <c r="AM37" s="94"/>
      <c r="AN37" s="94"/>
      <c r="AO37" s="94"/>
    </row>
    <row r="38" spans="1:41" ht="120" customHeight="1" x14ac:dyDescent="0.2">
      <c r="A38" s="495" t="s">
        <v>92</v>
      </c>
      <c r="B38" s="496">
        <v>0.05</v>
      </c>
      <c r="C38" s="365" t="s">
        <v>67</v>
      </c>
      <c r="D38" s="368">
        <v>0.05</v>
      </c>
      <c r="E38" s="369">
        <v>0.09</v>
      </c>
      <c r="F38" s="369">
        <v>0.09</v>
      </c>
      <c r="G38" s="369">
        <v>0.09</v>
      </c>
      <c r="H38" s="369">
        <v>0.09</v>
      </c>
      <c r="I38" s="369">
        <v>0.09</v>
      </c>
      <c r="J38" s="369">
        <v>0.09</v>
      </c>
      <c r="K38" s="369">
        <v>0.09</v>
      </c>
      <c r="L38" s="369">
        <v>0.09</v>
      </c>
      <c r="M38" s="369">
        <v>0.09</v>
      </c>
      <c r="N38" s="369">
        <v>0.09</v>
      </c>
      <c r="O38" s="369">
        <v>0.05</v>
      </c>
      <c r="P38" s="367">
        <f>SUM(D38:O38)</f>
        <v>0.99999999999999989</v>
      </c>
      <c r="Q38" s="498" t="s">
        <v>93</v>
      </c>
      <c r="R38" s="499"/>
      <c r="S38" s="499"/>
      <c r="T38" s="499"/>
      <c r="U38" s="499"/>
      <c r="V38" s="499"/>
      <c r="W38" s="499"/>
      <c r="X38" s="499"/>
      <c r="Y38" s="499"/>
      <c r="Z38" s="499"/>
      <c r="AA38" s="499"/>
      <c r="AB38" s="499"/>
      <c r="AC38" s="499"/>
      <c r="AD38" s="500"/>
      <c r="AE38" s="97"/>
      <c r="AG38" s="98"/>
      <c r="AH38" s="98"/>
      <c r="AI38" s="98"/>
      <c r="AJ38" s="98"/>
      <c r="AK38" s="98"/>
      <c r="AL38" s="98"/>
      <c r="AM38" s="98"/>
      <c r="AN38" s="98"/>
      <c r="AO38" s="98"/>
    </row>
    <row r="39" spans="1:41" ht="120" customHeight="1" x14ac:dyDescent="0.15">
      <c r="A39" s="473"/>
      <c r="B39" s="497"/>
      <c r="C39" s="244" t="s">
        <v>72</v>
      </c>
      <c r="D39" s="245">
        <v>0.05</v>
      </c>
      <c r="E39" s="245">
        <v>0.09</v>
      </c>
      <c r="F39" s="245">
        <v>0.09</v>
      </c>
      <c r="G39" s="245">
        <v>0.09</v>
      </c>
      <c r="H39" s="245">
        <v>0.09</v>
      </c>
      <c r="I39" s="245">
        <v>0.09</v>
      </c>
      <c r="J39" s="245">
        <v>0.09</v>
      </c>
      <c r="K39" s="245">
        <v>0.09</v>
      </c>
      <c r="L39" s="245">
        <v>0.09</v>
      </c>
      <c r="M39" s="320">
        <v>0.09</v>
      </c>
      <c r="N39" s="242" t="s">
        <v>48</v>
      </c>
      <c r="O39" s="242" t="s">
        <v>48</v>
      </c>
      <c r="P39" s="101">
        <f>SUM(D39:O39)</f>
        <v>0.85999999999999988</v>
      </c>
      <c r="Q39" s="501"/>
      <c r="R39" s="502"/>
      <c r="S39" s="502"/>
      <c r="T39" s="502"/>
      <c r="U39" s="502"/>
      <c r="V39" s="502"/>
      <c r="W39" s="502"/>
      <c r="X39" s="502"/>
      <c r="Y39" s="502"/>
      <c r="Z39" s="502"/>
      <c r="AA39" s="502"/>
      <c r="AB39" s="502"/>
      <c r="AC39" s="502"/>
      <c r="AD39" s="503"/>
      <c r="AE39" s="97"/>
    </row>
    <row r="40" spans="1:41" ht="84" customHeight="1" x14ac:dyDescent="0.2">
      <c r="A40" s="473" t="s">
        <v>94</v>
      </c>
      <c r="B40" s="475">
        <v>0.05</v>
      </c>
      <c r="C40" s="246" t="s">
        <v>67</v>
      </c>
      <c r="D40" s="250">
        <v>0.08</v>
      </c>
      <c r="E40" s="250">
        <v>0.08</v>
      </c>
      <c r="F40" s="250">
        <v>8.3000000000000004E-2</v>
      </c>
      <c r="G40" s="250">
        <v>8.3000000000000004E-2</v>
      </c>
      <c r="H40" s="250">
        <v>8.3000000000000004E-2</v>
      </c>
      <c r="I40" s="250">
        <v>8.3000000000000004E-2</v>
      </c>
      <c r="J40" s="250">
        <v>8.3000000000000004E-2</v>
      </c>
      <c r="K40" s="250">
        <v>8.3000000000000004E-2</v>
      </c>
      <c r="L40" s="250">
        <v>8.3000000000000004E-2</v>
      </c>
      <c r="M40" s="250">
        <v>8.3000000000000004E-2</v>
      </c>
      <c r="N40" s="247">
        <v>8.3000000000000004E-2</v>
      </c>
      <c r="O40" s="247">
        <v>0.09</v>
      </c>
      <c r="P40" s="101">
        <f>SUM(D40:O40)</f>
        <v>0.99699999999999989</v>
      </c>
      <c r="Q40" s="477" t="s">
        <v>95</v>
      </c>
      <c r="R40" s="478"/>
      <c r="S40" s="478"/>
      <c r="T40" s="478"/>
      <c r="U40" s="478"/>
      <c r="V40" s="478"/>
      <c r="W40" s="478"/>
      <c r="X40" s="478"/>
      <c r="Y40" s="478"/>
      <c r="Z40" s="478"/>
      <c r="AA40" s="478"/>
      <c r="AB40" s="478"/>
      <c r="AC40" s="478"/>
      <c r="AD40" s="479"/>
      <c r="AE40" s="97"/>
    </row>
    <row r="41" spans="1:41" ht="126.75" customHeight="1" thickBot="1" x14ac:dyDescent="0.2">
      <c r="A41" s="474"/>
      <c r="B41" s="476"/>
      <c r="C41" s="248" t="s">
        <v>72</v>
      </c>
      <c r="D41" s="254">
        <v>0.08</v>
      </c>
      <c r="E41" s="254">
        <v>0.08</v>
      </c>
      <c r="F41" s="254">
        <v>8.3000000000000004E-2</v>
      </c>
      <c r="G41" s="254">
        <v>8.3000000000000004E-2</v>
      </c>
      <c r="H41" s="254">
        <v>8.3000000000000004E-2</v>
      </c>
      <c r="I41" s="254">
        <v>8.3000000000000004E-2</v>
      </c>
      <c r="J41" s="254">
        <v>8.3000000000000004E-2</v>
      </c>
      <c r="K41" s="254">
        <v>8.3000000000000004E-2</v>
      </c>
      <c r="L41" s="254">
        <v>8.3000000000000004E-2</v>
      </c>
      <c r="M41" s="321">
        <v>8.3000000000000004E-2</v>
      </c>
      <c r="N41" s="243" t="s">
        <v>48</v>
      </c>
      <c r="O41" s="243" t="s">
        <v>48</v>
      </c>
      <c r="P41" s="107">
        <f>SUM(D41:O41)</f>
        <v>0.82399999999999995</v>
      </c>
      <c r="Q41" s="480"/>
      <c r="R41" s="481"/>
      <c r="S41" s="481"/>
      <c r="T41" s="481"/>
      <c r="U41" s="481"/>
      <c r="V41" s="481"/>
      <c r="W41" s="481"/>
      <c r="X41" s="481"/>
      <c r="Y41" s="481"/>
      <c r="Z41" s="481"/>
      <c r="AA41" s="481"/>
      <c r="AB41" s="481"/>
      <c r="AC41" s="481"/>
      <c r="AD41" s="482"/>
      <c r="AE41" s="97"/>
    </row>
    <row r="42" spans="1:41" x14ac:dyDescent="0.2">
      <c r="A42" s="50" t="s">
        <v>96</v>
      </c>
    </row>
    <row r="55" spans="1:30" x14ac:dyDescent="0.2">
      <c r="A55" s="459" t="s">
        <v>97</v>
      </c>
      <c r="B55" s="461" t="s">
        <v>74</v>
      </c>
      <c r="C55" s="463" t="s">
        <v>75</v>
      </c>
      <c r="D55" s="464"/>
      <c r="E55" s="464"/>
      <c r="F55" s="464"/>
      <c r="G55" s="464"/>
      <c r="H55" s="464"/>
      <c r="I55" s="464"/>
      <c r="J55" s="464"/>
      <c r="K55" s="464"/>
      <c r="L55" s="464"/>
      <c r="M55" s="464"/>
      <c r="N55" s="464"/>
      <c r="O55" s="464"/>
      <c r="P55" s="465"/>
      <c r="Q55" s="191"/>
      <c r="R55" s="191"/>
      <c r="S55" s="192"/>
      <c r="T55" s="192"/>
      <c r="U55" s="192"/>
      <c r="V55" s="192"/>
      <c r="W55" s="192"/>
      <c r="X55" s="192"/>
      <c r="Y55" s="192"/>
      <c r="Z55" s="192"/>
      <c r="AA55" s="192"/>
      <c r="AB55" s="192"/>
      <c r="AC55" s="192"/>
      <c r="AD55" s="192"/>
    </row>
    <row r="56" spans="1:30" x14ac:dyDescent="0.2">
      <c r="A56" s="460"/>
      <c r="B56" s="462"/>
      <c r="C56" s="193" t="s">
        <v>77</v>
      </c>
      <c r="D56" s="193" t="s">
        <v>78</v>
      </c>
      <c r="E56" s="193" t="s">
        <v>79</v>
      </c>
      <c r="F56" s="193" t="s">
        <v>80</v>
      </c>
      <c r="G56" s="193" t="s">
        <v>81</v>
      </c>
      <c r="H56" s="193" t="s">
        <v>82</v>
      </c>
      <c r="I56" s="193" t="s">
        <v>83</v>
      </c>
      <c r="J56" s="193" t="s">
        <v>84</v>
      </c>
      <c r="K56" s="193" t="s">
        <v>85</v>
      </c>
      <c r="L56" s="193" t="s">
        <v>86</v>
      </c>
      <c r="M56" s="193" t="s">
        <v>87</v>
      </c>
      <c r="N56" s="193" t="s">
        <v>88</v>
      </c>
      <c r="O56" s="193" t="s">
        <v>89</v>
      </c>
      <c r="P56" s="193" t="s">
        <v>90</v>
      </c>
      <c r="Q56" s="191"/>
      <c r="R56" s="191"/>
      <c r="S56" s="192"/>
      <c r="T56" s="192"/>
      <c r="U56" s="192"/>
      <c r="V56" s="192"/>
      <c r="W56" s="192"/>
      <c r="X56" s="192"/>
      <c r="Y56" s="192"/>
      <c r="Z56" s="192"/>
      <c r="AA56" s="192"/>
      <c r="AB56" s="192"/>
      <c r="AC56" s="192"/>
      <c r="AD56" s="192"/>
    </row>
    <row r="57" spans="1:30" x14ac:dyDescent="0.2">
      <c r="A57" s="466" t="str">
        <f>A38</f>
        <v xml:space="preserve">1. Socializar los lineamientos técnicos del Sistema Distrital de Cuidado con espacios e instancias de participación y ciudadanía en general. </v>
      </c>
      <c r="B57" s="468">
        <f>B38</f>
        <v>0.05</v>
      </c>
      <c r="C57" s="194" t="s">
        <v>67</v>
      </c>
      <c r="D57" s="195">
        <f>D38*$B$38/$P$38</f>
        <v>2.5000000000000009E-3</v>
      </c>
      <c r="E57" s="195">
        <f t="shared" ref="D57:O58" si="2">E38*$B$38/$P$38</f>
        <v>4.5000000000000005E-3</v>
      </c>
      <c r="F57" s="195">
        <f t="shared" si="2"/>
        <v>4.5000000000000005E-3</v>
      </c>
      <c r="G57" s="195">
        <f t="shared" si="2"/>
        <v>4.5000000000000005E-3</v>
      </c>
      <c r="H57" s="195">
        <f t="shared" si="2"/>
        <v>4.5000000000000005E-3</v>
      </c>
      <c r="I57" s="195">
        <f t="shared" si="2"/>
        <v>4.5000000000000005E-3</v>
      </c>
      <c r="J57" s="195">
        <f t="shared" si="2"/>
        <v>4.5000000000000005E-3</v>
      </c>
      <c r="K57" s="195">
        <f t="shared" si="2"/>
        <v>4.5000000000000005E-3</v>
      </c>
      <c r="L57" s="195">
        <f t="shared" si="2"/>
        <v>4.5000000000000005E-3</v>
      </c>
      <c r="M57" s="195">
        <f t="shared" si="2"/>
        <v>4.5000000000000005E-3</v>
      </c>
      <c r="N57" s="195">
        <f t="shared" si="2"/>
        <v>4.5000000000000005E-3</v>
      </c>
      <c r="O57" s="195">
        <f t="shared" si="2"/>
        <v>2.5000000000000009E-3</v>
      </c>
      <c r="P57" s="196">
        <f>SUM(D57:O57)</f>
        <v>5.0000000000000017E-2</v>
      </c>
      <c r="Q57" s="197">
        <v>0.05</v>
      </c>
      <c r="R57" s="198">
        <f t="shared" ref="R57:R65" si="3">+P57-Q57</f>
        <v>0</v>
      </c>
      <c r="S57" s="192"/>
      <c r="T57" s="192"/>
      <c r="U57" s="192"/>
      <c r="V57" s="192"/>
      <c r="W57" s="192"/>
      <c r="X57" s="192"/>
      <c r="Y57" s="192"/>
      <c r="Z57" s="192"/>
      <c r="AA57" s="192"/>
      <c r="AB57" s="192"/>
      <c r="AC57" s="192"/>
      <c r="AD57" s="192"/>
    </row>
    <row r="58" spans="1:30" x14ac:dyDescent="0.2">
      <c r="A58" s="467"/>
      <c r="B58" s="469"/>
      <c r="C58" s="199" t="s">
        <v>72</v>
      </c>
      <c r="D58" s="200">
        <f t="shared" si="2"/>
        <v>2.5000000000000009E-3</v>
      </c>
      <c r="E58" s="200">
        <f t="shared" si="2"/>
        <v>4.5000000000000005E-3</v>
      </c>
      <c r="F58" s="200">
        <f t="shared" si="2"/>
        <v>4.5000000000000005E-3</v>
      </c>
      <c r="G58" s="200">
        <f t="shared" si="2"/>
        <v>4.5000000000000005E-3</v>
      </c>
      <c r="H58" s="200">
        <f t="shared" si="2"/>
        <v>4.5000000000000005E-3</v>
      </c>
      <c r="I58" s="200">
        <f t="shared" si="2"/>
        <v>4.5000000000000005E-3</v>
      </c>
      <c r="J58" s="200">
        <f t="shared" si="2"/>
        <v>4.5000000000000005E-3</v>
      </c>
      <c r="K58" s="200">
        <f t="shared" si="2"/>
        <v>4.5000000000000005E-3</v>
      </c>
      <c r="L58" s="200">
        <f t="shared" si="2"/>
        <v>4.5000000000000005E-3</v>
      </c>
      <c r="M58" s="200">
        <f t="shared" si="2"/>
        <v>4.5000000000000005E-3</v>
      </c>
      <c r="N58" s="200" t="e">
        <f t="shared" si="2"/>
        <v>#VALUE!</v>
      </c>
      <c r="O58" s="200" t="e">
        <f t="shared" si="2"/>
        <v>#VALUE!</v>
      </c>
      <c r="P58" s="201" t="e">
        <f>SUM(D58:O58)</f>
        <v>#VALUE!</v>
      </c>
      <c r="Q58" s="202" t="e">
        <f>+P58</f>
        <v>#VALUE!</v>
      </c>
      <c r="R58" s="198" t="e">
        <f t="shared" si="3"/>
        <v>#VALUE!</v>
      </c>
      <c r="S58" s="192"/>
      <c r="T58" s="192"/>
      <c r="U58" s="192"/>
      <c r="V58" s="192"/>
      <c r="W58" s="192"/>
      <c r="X58" s="192"/>
      <c r="Y58" s="192"/>
      <c r="Z58" s="192"/>
      <c r="AA58" s="192"/>
      <c r="AB58" s="192"/>
      <c r="AC58" s="192"/>
      <c r="AD58" s="192"/>
    </row>
    <row r="59" spans="1:30" x14ac:dyDescent="0.2">
      <c r="A59" s="466" t="str">
        <f>A40</f>
        <v>2. Hacer seguimiento a la implementación del Convenio 913 de 2021 cuyo objeto es "Aunar esfuerzos administrativos para la articulación de servicios intersectoriales en el marco del Sistema Distrital de Cuidado que garantice la prestación efectiva, oportuna, eficiente y eficaz de los servicios"</v>
      </c>
      <c r="B59" s="471">
        <f>B40</f>
        <v>0.05</v>
      </c>
      <c r="C59" s="194" t="s">
        <v>67</v>
      </c>
      <c r="D59" s="195">
        <f t="shared" ref="D59:O60" si="4">D40*$B$40/$P$40</f>
        <v>4.0120361083249758E-3</v>
      </c>
      <c r="E59" s="195">
        <f t="shared" si="4"/>
        <v>4.0120361083249758E-3</v>
      </c>
      <c r="F59" s="195">
        <f t="shared" si="4"/>
        <v>4.1624874623871619E-3</v>
      </c>
      <c r="G59" s="195">
        <f t="shared" si="4"/>
        <v>4.1624874623871619E-3</v>
      </c>
      <c r="H59" s="195">
        <f t="shared" si="4"/>
        <v>4.1624874623871619E-3</v>
      </c>
      <c r="I59" s="195">
        <f t="shared" si="4"/>
        <v>4.1624874623871619E-3</v>
      </c>
      <c r="J59" s="195">
        <f t="shared" si="4"/>
        <v>4.1624874623871619E-3</v>
      </c>
      <c r="K59" s="195">
        <f t="shared" si="4"/>
        <v>4.1624874623871619E-3</v>
      </c>
      <c r="L59" s="195">
        <f t="shared" si="4"/>
        <v>4.1624874623871619E-3</v>
      </c>
      <c r="M59" s="195">
        <f t="shared" si="4"/>
        <v>4.1624874623871619E-3</v>
      </c>
      <c r="N59" s="195">
        <f t="shared" si="4"/>
        <v>4.1624874623871619E-3</v>
      </c>
      <c r="O59" s="195">
        <f t="shared" si="4"/>
        <v>4.5135406218655971E-3</v>
      </c>
      <c r="P59" s="196">
        <f>SUM(D59:O59)</f>
        <v>5.000000000000001E-2</v>
      </c>
      <c r="Q59" s="197">
        <v>2.5000000000000001E-2</v>
      </c>
      <c r="R59" s="198">
        <f t="shared" si="3"/>
        <v>2.5000000000000008E-2</v>
      </c>
      <c r="S59" s="192"/>
      <c r="T59" s="192"/>
      <c r="U59" s="192"/>
      <c r="V59" s="192"/>
      <c r="W59" s="192"/>
      <c r="X59" s="192"/>
      <c r="Y59" s="192"/>
      <c r="Z59" s="192"/>
      <c r="AA59" s="192"/>
      <c r="AB59" s="192"/>
      <c r="AC59" s="192"/>
      <c r="AD59" s="192"/>
    </row>
    <row r="60" spans="1:30" x14ac:dyDescent="0.2">
      <c r="A60" s="470"/>
      <c r="B60" s="472"/>
      <c r="C60" s="203" t="s">
        <v>72</v>
      </c>
      <c r="D60" s="200">
        <f t="shared" si="4"/>
        <v>4.0120361083249758E-3</v>
      </c>
      <c r="E60" s="200">
        <f t="shared" si="4"/>
        <v>4.0120361083249758E-3</v>
      </c>
      <c r="F60" s="200">
        <f t="shared" si="4"/>
        <v>4.1624874623871619E-3</v>
      </c>
      <c r="G60" s="200">
        <f t="shared" si="4"/>
        <v>4.1624874623871619E-3</v>
      </c>
      <c r="H60" s="200">
        <f t="shared" si="4"/>
        <v>4.1624874623871619E-3</v>
      </c>
      <c r="I60" s="200">
        <f t="shared" si="4"/>
        <v>4.1624874623871619E-3</v>
      </c>
      <c r="J60" s="200">
        <f t="shared" si="4"/>
        <v>4.1624874623871619E-3</v>
      </c>
      <c r="K60" s="200">
        <f t="shared" si="4"/>
        <v>4.1624874623871619E-3</v>
      </c>
      <c r="L60" s="200">
        <f t="shared" si="4"/>
        <v>4.1624874623871619E-3</v>
      </c>
      <c r="M60" s="200">
        <f t="shared" si="4"/>
        <v>4.1624874623871619E-3</v>
      </c>
      <c r="N60" s="200" t="e">
        <f t="shared" si="4"/>
        <v>#VALUE!</v>
      </c>
      <c r="O60" s="200" t="e">
        <f t="shared" si="4"/>
        <v>#VALUE!</v>
      </c>
      <c r="P60" s="201" t="e">
        <f>SUM(D60:O60)</f>
        <v>#VALUE!</v>
      </c>
      <c r="Q60" s="202" t="e">
        <f>+P60</f>
        <v>#VALUE!</v>
      </c>
      <c r="R60" s="198" t="e">
        <f t="shared" si="3"/>
        <v>#VALUE!</v>
      </c>
      <c r="S60" s="192"/>
      <c r="T60" s="192"/>
      <c r="U60" s="192"/>
      <c r="V60" s="192"/>
      <c r="W60" s="192"/>
      <c r="X60" s="192"/>
      <c r="Y60" s="192"/>
      <c r="Z60" s="192"/>
      <c r="AA60" s="192"/>
      <c r="AB60" s="192"/>
      <c r="AC60" s="192"/>
      <c r="AD60" s="192"/>
    </row>
    <row r="61" spans="1:30" x14ac:dyDescent="0.2">
      <c r="A61" s="455"/>
      <c r="B61" s="457"/>
      <c r="C61" s="206"/>
      <c r="D61" s="195"/>
      <c r="E61" s="195"/>
      <c r="F61" s="195"/>
      <c r="G61" s="195"/>
      <c r="H61" s="195"/>
      <c r="I61" s="195"/>
      <c r="J61" s="195"/>
      <c r="K61" s="195"/>
      <c r="L61" s="195"/>
      <c r="M61" s="195"/>
      <c r="N61" s="195"/>
      <c r="O61" s="195"/>
      <c r="P61" s="207"/>
      <c r="Q61" s="197"/>
      <c r="R61" s="198"/>
      <c r="S61" s="192"/>
      <c r="T61" s="192"/>
      <c r="U61" s="192"/>
      <c r="V61" s="192"/>
      <c r="W61" s="192"/>
      <c r="X61" s="192"/>
      <c r="Y61" s="192"/>
      <c r="Z61" s="192"/>
      <c r="AA61" s="192"/>
      <c r="AB61" s="192"/>
      <c r="AC61" s="192"/>
      <c r="AD61" s="192"/>
    </row>
    <row r="62" spans="1:30" x14ac:dyDescent="0.2">
      <c r="A62" s="456"/>
      <c r="B62" s="458"/>
      <c r="C62" s="206"/>
      <c r="D62" s="210"/>
      <c r="E62" s="210"/>
      <c r="F62" s="210"/>
      <c r="G62" s="210"/>
      <c r="H62" s="210"/>
      <c r="I62" s="210"/>
      <c r="J62" s="210"/>
      <c r="K62" s="210"/>
      <c r="L62" s="210"/>
      <c r="M62" s="210"/>
      <c r="N62" s="210"/>
      <c r="O62" s="210"/>
      <c r="P62" s="207"/>
      <c r="Q62" s="202"/>
      <c r="R62" s="198"/>
      <c r="S62" s="192"/>
      <c r="T62" s="192"/>
      <c r="U62" s="192"/>
      <c r="V62" s="192"/>
      <c r="W62" s="192"/>
      <c r="X62" s="192"/>
      <c r="Y62" s="192"/>
      <c r="Z62" s="192"/>
      <c r="AA62" s="192"/>
      <c r="AB62" s="192"/>
      <c r="AC62" s="192"/>
      <c r="AD62" s="192"/>
    </row>
    <row r="63" spans="1:30" x14ac:dyDescent="0.2">
      <c r="A63" s="204"/>
      <c r="B63" s="205"/>
      <c r="C63" s="206"/>
      <c r="D63" s="195"/>
      <c r="E63" s="195"/>
      <c r="F63" s="195"/>
      <c r="G63" s="195"/>
      <c r="H63" s="195"/>
      <c r="I63" s="195"/>
      <c r="J63" s="195"/>
      <c r="K63" s="195"/>
      <c r="L63" s="195"/>
      <c r="M63" s="195"/>
      <c r="N63" s="195"/>
      <c r="O63" s="195"/>
      <c r="P63" s="207"/>
      <c r="Q63" s="197"/>
      <c r="R63" s="198"/>
      <c r="S63" s="192"/>
      <c r="T63" s="192"/>
      <c r="U63" s="192"/>
      <c r="V63" s="192"/>
      <c r="W63" s="192"/>
      <c r="X63" s="192"/>
      <c r="Y63" s="192"/>
      <c r="Z63" s="192"/>
      <c r="AA63" s="192"/>
      <c r="AB63" s="192"/>
      <c r="AC63" s="192"/>
      <c r="AD63" s="192"/>
    </row>
    <row r="64" spans="1:30" x14ac:dyDescent="0.2">
      <c r="A64" s="208"/>
      <c r="B64" s="209"/>
      <c r="C64" s="206"/>
      <c r="D64" s="210"/>
      <c r="E64" s="210"/>
      <c r="F64" s="210"/>
      <c r="G64" s="210"/>
      <c r="H64" s="210"/>
      <c r="I64" s="210"/>
      <c r="J64" s="210"/>
      <c r="K64" s="210"/>
      <c r="L64" s="210"/>
      <c r="M64" s="210"/>
      <c r="N64" s="210"/>
      <c r="O64" s="210"/>
      <c r="P64" s="207"/>
      <c r="Q64" s="202"/>
      <c r="R64" s="198"/>
      <c r="S64" s="192"/>
      <c r="T64" s="192"/>
      <c r="U64" s="192"/>
      <c r="V64" s="192"/>
      <c r="W64" s="192"/>
      <c r="X64" s="192"/>
      <c r="Y64" s="192"/>
      <c r="Z64" s="192"/>
      <c r="AA64" s="192"/>
      <c r="AB64" s="192"/>
      <c r="AC64" s="192"/>
      <c r="AD64" s="192"/>
    </row>
    <row r="65" spans="1:30" x14ac:dyDescent="0.2">
      <c r="A65" s="191"/>
      <c r="B65" s="211"/>
      <c r="C65" s="212"/>
      <c r="D65" s="213">
        <f>D58+D60</f>
        <v>6.5120361083249763E-3</v>
      </c>
      <c r="E65" s="213">
        <f t="shared" ref="E65:O65" si="5">E58+E60</f>
        <v>8.5120361083249763E-3</v>
      </c>
      <c r="F65" s="213">
        <f t="shared" si="5"/>
        <v>8.6624874623871632E-3</v>
      </c>
      <c r="G65" s="213">
        <f t="shared" si="5"/>
        <v>8.6624874623871632E-3</v>
      </c>
      <c r="H65" s="213">
        <f t="shared" si="5"/>
        <v>8.6624874623871632E-3</v>
      </c>
      <c r="I65" s="213">
        <f t="shared" si="5"/>
        <v>8.6624874623871632E-3</v>
      </c>
      <c r="J65" s="213">
        <f t="shared" si="5"/>
        <v>8.6624874623871632E-3</v>
      </c>
      <c r="K65" s="213">
        <f t="shared" si="5"/>
        <v>8.6624874623871632E-3</v>
      </c>
      <c r="L65" s="213">
        <f t="shared" si="5"/>
        <v>8.6624874623871632E-3</v>
      </c>
      <c r="M65" s="213">
        <f t="shared" si="5"/>
        <v>8.6624874623871632E-3</v>
      </c>
      <c r="N65" s="213" t="e">
        <f t="shared" si="5"/>
        <v>#VALUE!</v>
      </c>
      <c r="O65" s="213" t="e">
        <f t="shared" si="5"/>
        <v>#VALUE!</v>
      </c>
      <c r="P65" s="213" t="e">
        <f>P58+P60+P62</f>
        <v>#VALUE!</v>
      </c>
      <c r="Q65" s="191"/>
      <c r="R65" s="198" t="e">
        <f t="shared" si="3"/>
        <v>#VALUE!</v>
      </c>
      <c r="S65" s="192"/>
      <c r="T65" s="192"/>
      <c r="U65" s="192"/>
      <c r="V65" s="192"/>
      <c r="W65" s="192"/>
      <c r="X65" s="192"/>
      <c r="Y65" s="192"/>
      <c r="Z65" s="192"/>
      <c r="AA65" s="192"/>
      <c r="AB65" s="192"/>
      <c r="AC65" s="192"/>
      <c r="AD65" s="192"/>
    </row>
    <row r="66" spans="1:30" x14ac:dyDescent="0.2">
      <c r="A66" s="191"/>
      <c r="B66" s="214"/>
      <c r="C66" s="215" t="s">
        <v>72</v>
      </c>
      <c r="D66" s="216">
        <f>D65*$W$17/$B$34</f>
        <v>6.5120361083249756E-2</v>
      </c>
      <c r="E66" s="216">
        <f t="shared" ref="E66:O66" si="6">E65*$W$17/$B$34</f>
        <v>8.512036108324976E-2</v>
      </c>
      <c r="F66" s="216">
        <f t="shared" si="6"/>
        <v>8.6624874623871626E-2</v>
      </c>
      <c r="G66" s="216">
        <f t="shared" si="6"/>
        <v>8.6624874623871626E-2</v>
      </c>
      <c r="H66" s="216">
        <f t="shared" si="6"/>
        <v>8.6624874623871626E-2</v>
      </c>
      <c r="I66" s="216">
        <f t="shared" si="6"/>
        <v>8.6624874623871626E-2</v>
      </c>
      <c r="J66" s="216">
        <f t="shared" si="6"/>
        <v>8.6624874623871626E-2</v>
      </c>
      <c r="K66" s="216">
        <f t="shared" si="6"/>
        <v>8.6624874623871626E-2</v>
      </c>
      <c r="L66" s="216">
        <f t="shared" si="6"/>
        <v>8.6624874623871626E-2</v>
      </c>
      <c r="M66" s="216">
        <f t="shared" si="6"/>
        <v>8.6624874623871626E-2</v>
      </c>
      <c r="N66" s="216" t="e">
        <f t="shared" si="6"/>
        <v>#VALUE!</v>
      </c>
      <c r="O66" s="216" t="e">
        <f t="shared" si="6"/>
        <v>#VALUE!</v>
      </c>
      <c r="P66" s="217" t="e">
        <f>SUM(D66:O66)</f>
        <v>#VALUE!</v>
      </c>
      <c r="Q66" s="218"/>
      <c r="R66" s="191"/>
      <c r="S66" s="192"/>
      <c r="T66" s="192"/>
      <c r="U66" s="192"/>
      <c r="V66" s="192"/>
      <c r="W66" s="192"/>
      <c r="X66" s="192"/>
      <c r="Y66" s="192"/>
      <c r="Z66" s="192"/>
      <c r="AA66" s="192"/>
      <c r="AB66" s="192"/>
      <c r="AC66" s="192"/>
      <c r="AD66" s="192"/>
    </row>
    <row r="67" spans="1:30" x14ac:dyDescent="0.2">
      <c r="A67" s="218"/>
      <c r="B67" s="219"/>
      <c r="C67" s="219"/>
      <c r="D67" s="219"/>
      <c r="E67" s="219"/>
      <c r="F67" s="219"/>
      <c r="G67" s="219"/>
      <c r="H67" s="219"/>
      <c r="I67" s="219"/>
      <c r="J67" s="219"/>
      <c r="K67" s="219"/>
      <c r="L67" s="219"/>
      <c r="M67" s="219"/>
      <c r="N67" s="219"/>
      <c r="O67" s="219"/>
      <c r="P67" s="219"/>
      <c r="Q67" s="218"/>
      <c r="R67" s="218"/>
      <c r="S67" s="192"/>
      <c r="T67" s="192"/>
      <c r="U67" s="192"/>
      <c r="V67" s="192"/>
      <c r="W67" s="192"/>
      <c r="X67" s="192"/>
      <c r="Y67" s="192"/>
      <c r="Z67" s="192"/>
      <c r="AA67" s="192"/>
      <c r="AB67" s="192"/>
      <c r="AC67" s="192"/>
      <c r="AD67" s="192"/>
    </row>
    <row r="68" spans="1:30" x14ac:dyDescent="0.2">
      <c r="A68" s="197"/>
      <c r="B68" s="108"/>
      <c r="C68" s="108"/>
      <c r="D68" s="213">
        <f>+D57+D59</f>
        <v>6.5120361083249763E-3</v>
      </c>
      <c r="E68" s="213">
        <f t="shared" ref="E68:O68" si="7">+E57+E59</f>
        <v>8.5120361083249763E-3</v>
      </c>
      <c r="F68" s="213">
        <f t="shared" si="7"/>
        <v>8.6624874623871632E-3</v>
      </c>
      <c r="G68" s="213">
        <f t="shared" si="7"/>
        <v>8.6624874623871632E-3</v>
      </c>
      <c r="H68" s="213">
        <f t="shared" si="7"/>
        <v>8.6624874623871632E-3</v>
      </c>
      <c r="I68" s="213">
        <f t="shared" si="7"/>
        <v>8.6624874623871632E-3</v>
      </c>
      <c r="J68" s="213">
        <f t="shared" si="7"/>
        <v>8.6624874623871632E-3</v>
      </c>
      <c r="K68" s="213">
        <f t="shared" si="7"/>
        <v>8.6624874623871632E-3</v>
      </c>
      <c r="L68" s="213">
        <f t="shared" si="7"/>
        <v>8.6624874623871632E-3</v>
      </c>
      <c r="M68" s="213">
        <f t="shared" si="7"/>
        <v>8.6624874623871632E-3</v>
      </c>
      <c r="N68" s="213">
        <f t="shared" si="7"/>
        <v>8.6624874623871632E-3</v>
      </c>
      <c r="O68" s="213">
        <f t="shared" si="7"/>
        <v>7.0135406218655976E-3</v>
      </c>
      <c r="P68" s="213">
        <f>+P57+P59+P61</f>
        <v>0.10000000000000003</v>
      </c>
      <c r="Q68" s="197"/>
      <c r="R68" s="197"/>
      <c r="S68" s="192"/>
      <c r="T68" s="192"/>
      <c r="U68" s="192"/>
      <c r="V68" s="192"/>
      <c r="W68" s="192"/>
      <c r="X68" s="192"/>
      <c r="Y68" s="192"/>
      <c r="Z68" s="192"/>
      <c r="AA68" s="192"/>
      <c r="AB68" s="192"/>
      <c r="AC68" s="192"/>
      <c r="AD68" s="192"/>
    </row>
    <row r="69" spans="1:30" x14ac:dyDescent="0.2">
      <c r="A69" s="197"/>
      <c r="B69" s="108"/>
      <c r="C69" s="215" t="s">
        <v>67</v>
      </c>
      <c r="D69" s="216">
        <f>D68*$W$17/$B$34</f>
        <v>6.5120361083249756E-2</v>
      </c>
      <c r="E69" s="216">
        <f t="shared" ref="E69:O69" si="8">E68*$W$17/$B$34</f>
        <v>8.512036108324976E-2</v>
      </c>
      <c r="F69" s="216">
        <f t="shared" si="8"/>
        <v>8.6624874623871626E-2</v>
      </c>
      <c r="G69" s="216">
        <f t="shared" si="8"/>
        <v>8.6624874623871626E-2</v>
      </c>
      <c r="H69" s="216">
        <f t="shared" si="8"/>
        <v>8.6624874623871626E-2</v>
      </c>
      <c r="I69" s="216">
        <f t="shared" si="8"/>
        <v>8.6624874623871626E-2</v>
      </c>
      <c r="J69" s="216">
        <f t="shared" si="8"/>
        <v>8.6624874623871626E-2</v>
      </c>
      <c r="K69" s="216">
        <f t="shared" si="8"/>
        <v>8.6624874623871626E-2</v>
      </c>
      <c r="L69" s="216">
        <f t="shared" si="8"/>
        <v>8.6624874623871626E-2</v>
      </c>
      <c r="M69" s="216">
        <f t="shared" si="8"/>
        <v>8.6624874623871626E-2</v>
      </c>
      <c r="N69" s="216">
        <f t="shared" si="8"/>
        <v>8.6624874623871626E-2</v>
      </c>
      <c r="O69" s="216">
        <f t="shared" si="8"/>
        <v>7.0135406218655966E-2</v>
      </c>
      <c r="P69" s="217">
        <f>SUM(D69:O69)</f>
        <v>1</v>
      </c>
      <c r="Q69" s="197"/>
      <c r="R69" s="197"/>
      <c r="S69" s="192"/>
      <c r="T69" s="192"/>
      <c r="U69" s="192"/>
      <c r="V69" s="192"/>
      <c r="W69" s="192"/>
      <c r="X69" s="192"/>
      <c r="Y69" s="192"/>
      <c r="Z69" s="192"/>
      <c r="AA69" s="192"/>
      <c r="AB69" s="192"/>
      <c r="AC69" s="192"/>
      <c r="AD69" s="192"/>
    </row>
    <row r="70" spans="1:30" x14ac:dyDescent="0.2">
      <c r="A70" s="192"/>
      <c r="Q70" s="192"/>
      <c r="R70" s="192"/>
      <c r="S70" s="192"/>
      <c r="T70" s="192"/>
      <c r="U70" s="192"/>
      <c r="V70" s="192"/>
      <c r="W70" s="192"/>
      <c r="X70" s="192"/>
      <c r="Y70" s="192"/>
      <c r="Z70" s="192"/>
      <c r="AA70" s="192"/>
      <c r="AB70" s="192"/>
      <c r="AC70" s="192"/>
      <c r="AD70" s="192"/>
    </row>
    <row r="71" spans="1:30" x14ac:dyDescent="0.2">
      <c r="A71" s="192"/>
      <c r="Q71" s="192"/>
      <c r="R71" s="192"/>
      <c r="S71" s="192"/>
      <c r="T71" s="192"/>
      <c r="U71" s="192"/>
      <c r="V71" s="192"/>
      <c r="W71" s="192"/>
      <c r="X71" s="192"/>
      <c r="Y71" s="192"/>
      <c r="Z71" s="192"/>
      <c r="AA71" s="192"/>
      <c r="AB71" s="192"/>
      <c r="AC71" s="192"/>
      <c r="AD71" s="192"/>
    </row>
    <row r="72" spans="1:30" x14ac:dyDescent="0.2">
      <c r="A72" s="192"/>
      <c r="Q72" s="192"/>
      <c r="R72" s="192"/>
      <c r="S72" s="192"/>
      <c r="T72" s="192"/>
      <c r="U72" s="192"/>
      <c r="V72" s="192"/>
      <c r="W72" s="192"/>
      <c r="X72" s="192"/>
      <c r="Y72" s="192"/>
      <c r="Z72" s="192"/>
      <c r="AA72" s="192"/>
      <c r="AB72" s="192"/>
      <c r="AC72" s="192"/>
      <c r="AD72" s="192"/>
    </row>
    <row r="73" spans="1:30" x14ac:dyDescent="0.2">
      <c r="A73" s="192"/>
      <c r="Q73" s="192"/>
      <c r="R73" s="192"/>
      <c r="S73" s="192"/>
      <c r="T73" s="192"/>
      <c r="U73" s="192"/>
      <c r="V73" s="192"/>
      <c r="W73" s="192"/>
      <c r="X73" s="192"/>
      <c r="Y73" s="192"/>
      <c r="Z73" s="192"/>
      <c r="AA73" s="192"/>
      <c r="AB73" s="192"/>
      <c r="AC73" s="192"/>
      <c r="AD73" s="192"/>
    </row>
    <row r="74" spans="1:30" x14ac:dyDescent="0.2">
      <c r="A74" s="192"/>
      <c r="Q74" s="192"/>
      <c r="R74" s="192"/>
      <c r="S74" s="192"/>
      <c r="T74" s="192"/>
      <c r="U74" s="192"/>
      <c r="V74" s="192"/>
      <c r="W74" s="192"/>
      <c r="X74" s="192"/>
      <c r="Y74" s="192"/>
      <c r="Z74" s="192"/>
      <c r="AA74" s="192"/>
      <c r="AB74" s="192"/>
      <c r="AC74" s="192"/>
      <c r="AD74" s="192"/>
    </row>
    <row r="75" spans="1:30" x14ac:dyDescent="0.2">
      <c r="A75" s="192"/>
      <c r="Q75" s="192"/>
      <c r="R75" s="192"/>
      <c r="S75" s="192"/>
      <c r="T75" s="192"/>
      <c r="U75" s="192"/>
      <c r="V75" s="192"/>
      <c r="W75" s="192"/>
      <c r="X75" s="192"/>
      <c r="Y75" s="192"/>
      <c r="Z75" s="192"/>
      <c r="AA75" s="192"/>
      <c r="AB75" s="192"/>
      <c r="AC75" s="192"/>
      <c r="AD75" s="192"/>
    </row>
    <row r="76" spans="1:30" x14ac:dyDescent="0.2">
      <c r="A76" s="192"/>
      <c r="Q76" s="192"/>
      <c r="R76" s="192"/>
      <c r="S76" s="192"/>
      <c r="T76" s="192"/>
      <c r="U76" s="192"/>
      <c r="V76" s="192"/>
      <c r="W76" s="192"/>
      <c r="X76" s="192"/>
      <c r="Y76" s="192"/>
      <c r="Z76" s="192"/>
      <c r="AA76" s="192"/>
      <c r="AB76" s="192"/>
      <c r="AC76" s="192"/>
      <c r="AD76" s="192"/>
    </row>
    <row r="77" spans="1:30" x14ac:dyDescent="0.2">
      <c r="A77" s="192"/>
      <c r="Q77" s="192"/>
      <c r="R77" s="192"/>
      <c r="S77" s="192"/>
      <c r="T77" s="192"/>
      <c r="U77" s="192"/>
      <c r="V77" s="192"/>
      <c r="W77" s="192"/>
      <c r="X77" s="192"/>
      <c r="Y77" s="192"/>
      <c r="Z77" s="192"/>
      <c r="AA77" s="192"/>
      <c r="AB77" s="192"/>
      <c r="AC77" s="192"/>
      <c r="AD77" s="192"/>
    </row>
    <row r="78" spans="1:30" x14ac:dyDescent="0.2">
      <c r="A78" s="192"/>
      <c r="Q78" s="192"/>
      <c r="R78" s="192"/>
      <c r="S78" s="192"/>
      <c r="T78" s="192"/>
      <c r="U78" s="192"/>
      <c r="V78" s="192"/>
      <c r="W78" s="192"/>
      <c r="X78" s="192"/>
      <c r="Y78" s="192"/>
      <c r="Z78" s="192"/>
      <c r="AA78" s="192"/>
      <c r="AB78" s="192"/>
      <c r="AC78" s="192"/>
      <c r="AD78" s="192"/>
    </row>
    <row r="79" spans="1:30" x14ac:dyDescent="0.2">
      <c r="A79" s="192"/>
      <c r="Q79" s="192"/>
      <c r="R79" s="192"/>
      <c r="S79" s="192"/>
      <c r="T79" s="192"/>
      <c r="U79" s="192"/>
      <c r="V79" s="192"/>
      <c r="W79" s="192"/>
      <c r="X79" s="192"/>
      <c r="Y79" s="192"/>
      <c r="Z79" s="192"/>
      <c r="AA79" s="192"/>
      <c r="AB79" s="192"/>
      <c r="AC79" s="192"/>
      <c r="AD79" s="192"/>
    </row>
    <row r="80" spans="1:30" x14ac:dyDescent="0.2">
      <c r="A80" s="192"/>
      <c r="Q80" s="192"/>
      <c r="R80" s="192"/>
      <c r="S80" s="192"/>
      <c r="T80" s="192"/>
      <c r="U80" s="192"/>
      <c r="V80" s="192"/>
      <c r="W80" s="192"/>
      <c r="X80" s="192"/>
      <c r="Y80" s="192"/>
      <c r="Z80" s="192"/>
      <c r="AA80" s="192"/>
      <c r="AB80" s="192"/>
      <c r="AC80" s="192"/>
      <c r="AD80" s="192"/>
    </row>
    <row r="81" spans="1:30" x14ac:dyDescent="0.2">
      <c r="A81" s="192"/>
      <c r="Q81" s="192"/>
      <c r="R81" s="192"/>
      <c r="S81" s="192"/>
      <c r="T81" s="192"/>
      <c r="U81" s="192"/>
      <c r="V81" s="192"/>
      <c r="W81" s="192"/>
      <c r="X81" s="192"/>
      <c r="Y81" s="192"/>
      <c r="Z81" s="192"/>
      <c r="AA81" s="192"/>
      <c r="AB81" s="192"/>
      <c r="AC81" s="192"/>
      <c r="AD81" s="192"/>
    </row>
    <row r="82" spans="1:30" x14ac:dyDescent="0.2">
      <c r="A82" s="192"/>
      <c r="Q82" s="192"/>
      <c r="R82" s="192"/>
      <c r="S82" s="192"/>
      <c r="T82" s="192"/>
      <c r="U82" s="192"/>
      <c r="V82" s="192"/>
      <c r="W82" s="192"/>
      <c r="X82" s="192"/>
      <c r="Y82" s="192"/>
      <c r="Z82" s="192"/>
      <c r="AA82" s="192"/>
      <c r="AB82" s="192"/>
      <c r="AC82" s="192"/>
      <c r="AD82" s="192"/>
    </row>
    <row r="83" spans="1:30" x14ac:dyDescent="0.2">
      <c r="A83" s="192"/>
      <c r="Q83" s="192"/>
      <c r="R83" s="192"/>
      <c r="S83" s="192"/>
      <c r="T83" s="192"/>
      <c r="U83" s="192"/>
      <c r="V83" s="192"/>
      <c r="W83" s="192"/>
      <c r="X83" s="192"/>
      <c r="Y83" s="192"/>
      <c r="Z83" s="192"/>
      <c r="AA83" s="192"/>
      <c r="AB83" s="192"/>
      <c r="AC83" s="192"/>
      <c r="AD83" s="192"/>
    </row>
    <row r="84" spans="1:30" x14ac:dyDescent="0.2">
      <c r="A84" s="192"/>
      <c r="Q84" s="192"/>
      <c r="R84" s="192"/>
      <c r="S84" s="192"/>
      <c r="T84" s="192"/>
      <c r="U84" s="192"/>
      <c r="V84" s="192"/>
      <c r="W84" s="192"/>
      <c r="X84" s="192"/>
      <c r="Y84" s="192"/>
      <c r="Z84" s="192"/>
      <c r="AA84" s="192"/>
      <c r="AB84" s="192"/>
      <c r="AC84" s="192"/>
      <c r="AD84" s="192"/>
    </row>
    <row r="85" spans="1:30" x14ac:dyDescent="0.2">
      <c r="A85" s="192"/>
      <c r="Q85" s="192"/>
      <c r="R85" s="192"/>
      <c r="S85" s="192"/>
      <c r="T85" s="192"/>
      <c r="U85" s="192"/>
      <c r="V85" s="192"/>
      <c r="W85" s="192"/>
      <c r="X85" s="192"/>
      <c r="Y85" s="192"/>
      <c r="Z85" s="192"/>
      <c r="AA85" s="192"/>
      <c r="AB85" s="192"/>
      <c r="AC85" s="192"/>
      <c r="AD85" s="192"/>
    </row>
  </sheetData>
  <mergeCells count="86">
    <mergeCell ref="AF22:AM25"/>
    <mergeCell ref="A22:B22"/>
    <mergeCell ref="AC17:AD17"/>
    <mergeCell ref="A7:B9"/>
    <mergeCell ref="C7:C9"/>
    <mergeCell ref="R17:V17"/>
    <mergeCell ref="C11:AD13"/>
    <mergeCell ref="L15:Q15"/>
    <mergeCell ref="A11:B13"/>
    <mergeCell ref="D7:H9"/>
    <mergeCell ref="I7:J9"/>
    <mergeCell ref="K7:L9"/>
    <mergeCell ref="O7:P7"/>
    <mergeCell ref="M8:N8"/>
    <mergeCell ref="O8:P8"/>
    <mergeCell ref="M9:N9"/>
    <mergeCell ref="O9:P9"/>
    <mergeCell ref="M7:N7"/>
    <mergeCell ref="C15:K15"/>
    <mergeCell ref="A1:A4"/>
    <mergeCell ref="B1:AA1"/>
    <mergeCell ref="AB1:AD1"/>
    <mergeCell ref="B2:AA2"/>
    <mergeCell ref="AB2:AD2"/>
    <mergeCell ref="B3:AA4"/>
    <mergeCell ref="AB3:AD3"/>
    <mergeCell ref="AB4:AD4"/>
    <mergeCell ref="A27:AD27"/>
    <mergeCell ref="A23:B23"/>
    <mergeCell ref="A25:B25"/>
    <mergeCell ref="AA15:AD15"/>
    <mergeCell ref="C16:AB16"/>
    <mergeCell ref="A17:B17"/>
    <mergeCell ref="C17:Q17"/>
    <mergeCell ref="R15:X15"/>
    <mergeCell ref="Y15:Z15"/>
    <mergeCell ref="W17:X17"/>
    <mergeCell ref="Y17:AB17"/>
    <mergeCell ref="A15:B15"/>
    <mergeCell ref="A24:B24"/>
    <mergeCell ref="A19:AD19"/>
    <mergeCell ref="Q20:AD20"/>
    <mergeCell ref="C20:P20"/>
    <mergeCell ref="A28:A29"/>
    <mergeCell ref="B28:C29"/>
    <mergeCell ref="D28:O28"/>
    <mergeCell ref="P28:P29"/>
    <mergeCell ref="Q28:AD29"/>
    <mergeCell ref="B30:C30"/>
    <mergeCell ref="Q30:AD30"/>
    <mergeCell ref="A31:AD31"/>
    <mergeCell ref="A32:A33"/>
    <mergeCell ref="B32:B33"/>
    <mergeCell ref="C32:C33"/>
    <mergeCell ref="D32:P32"/>
    <mergeCell ref="Q32:AD32"/>
    <mergeCell ref="W33:Z33"/>
    <mergeCell ref="AA33:AD33"/>
    <mergeCell ref="Q33:S33"/>
    <mergeCell ref="T33:V33"/>
    <mergeCell ref="A34:A35"/>
    <mergeCell ref="B34:B35"/>
    <mergeCell ref="W34:Z35"/>
    <mergeCell ref="AA34:AD35"/>
    <mergeCell ref="Q34:S35"/>
    <mergeCell ref="T34:V35"/>
    <mergeCell ref="A40:A41"/>
    <mergeCell ref="B40:B41"/>
    <mergeCell ref="Q40:AD41"/>
    <mergeCell ref="A36:A37"/>
    <mergeCell ref="B36:B37"/>
    <mergeCell ref="C36:P36"/>
    <mergeCell ref="Q36:AD36"/>
    <mergeCell ref="Q37:AD37"/>
    <mergeCell ref="A38:A39"/>
    <mergeCell ref="B38:B39"/>
    <mergeCell ref="Q38:AD39"/>
    <mergeCell ref="A61:A62"/>
    <mergeCell ref="B61:B62"/>
    <mergeCell ref="A55:A56"/>
    <mergeCell ref="B55:B56"/>
    <mergeCell ref="C55:P55"/>
    <mergeCell ref="A57:A58"/>
    <mergeCell ref="B57:B58"/>
    <mergeCell ref="A59:A60"/>
    <mergeCell ref="B59:B60"/>
  </mergeCells>
  <dataValidations disablePrompts="1" count="3">
    <dataValidation type="textLength" operator="lessThanOrEqual" allowBlank="1" showInputMessage="1" showErrorMessage="1" errorTitle="Máximo 2.000 caracteres" error="Máximo 2.000 caracteres" sqref="AA34 Q34 W34 Q38:AD41" xr:uid="{00000000-0002-0000-0000-000000000000}">
      <formula1>2000</formula1>
    </dataValidation>
    <dataValidation type="textLength" operator="lessThanOrEqual" allowBlank="1" showInputMessage="1" showErrorMessage="1" errorTitle="Máximo 2.000 caracteres" error="Máximo 2.000 caracteres" promptTitle="2.000 caracteres" sqref="Q30:AD30" xr:uid="{00000000-0002-0000-0000-000001000000}">
      <formula1>2000</formula1>
    </dataValidation>
    <dataValidation type="list" allowBlank="1" showInputMessage="1" showErrorMessage="1" sqref="C7:C9" xr:uid="{00000000-0002-0000-0000-000002000000}"/>
  </dataValidations>
  <pageMargins left="0.25" right="0.25" top="0.75" bottom="0.75" header="0.3" footer="0.3"/>
  <pageSetup scale="21" orientation="landscape"/>
  <drawing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pageSetUpPr fitToPage="1"/>
  </sheetPr>
  <dimension ref="A1:BK60"/>
  <sheetViews>
    <sheetView topLeftCell="A9" zoomScale="150" zoomScaleNormal="60" workbookViewId="0">
      <pane xSplit="1" ySplit="2" topLeftCell="R11" activePane="bottomRight" state="frozen"/>
      <selection activeCell="A9" sqref="A9"/>
      <selection pane="topRight" activeCell="B9" sqref="B9"/>
      <selection pane="bottomLeft" activeCell="A11" sqref="A11"/>
      <selection pane="bottomRight" activeCell="D11" sqref="D11:Q31"/>
    </sheetView>
  </sheetViews>
  <sheetFormatPr baseColWidth="10" defaultColWidth="19.5" defaultRowHeight="14" x14ac:dyDescent="0.2"/>
  <cols>
    <col min="1" max="1" width="29.5" style="108" bestFit="1" customWidth="1"/>
    <col min="2" max="17" width="11" style="108" customWidth="1"/>
    <col min="18" max="19" width="12.1640625" style="108" customWidth="1"/>
    <col min="20" max="23" width="8.1640625" style="108" customWidth="1"/>
    <col min="24" max="24" width="9.5" style="108" customWidth="1"/>
    <col min="25" max="25" width="8.1640625" style="108" customWidth="1"/>
    <col min="26" max="30" width="7.83203125" style="108" customWidth="1"/>
    <col min="31" max="31" width="11.33203125" style="108" customWidth="1"/>
    <col min="32" max="32" width="2.33203125" style="108" customWidth="1"/>
    <col min="33" max="33" width="19.5" style="108" customWidth="1"/>
    <col min="34" max="51" width="11.33203125" style="108" customWidth="1"/>
    <col min="52" max="63" width="8.83203125" style="108" customWidth="1"/>
    <col min="64" max="16384" width="19.5" style="108"/>
  </cols>
  <sheetData>
    <row r="1" spans="1:63" ht="16" customHeight="1" x14ac:dyDescent="0.15">
      <c r="A1" s="926" t="s">
        <v>0</v>
      </c>
      <c r="B1" s="927"/>
      <c r="C1" s="927"/>
      <c r="D1" s="927"/>
      <c r="E1" s="927"/>
      <c r="F1" s="927"/>
      <c r="G1" s="927"/>
      <c r="H1" s="927"/>
      <c r="I1" s="927"/>
      <c r="J1" s="927"/>
      <c r="K1" s="927"/>
      <c r="L1" s="927"/>
      <c r="M1" s="927"/>
      <c r="N1" s="927"/>
      <c r="O1" s="927"/>
      <c r="P1" s="927"/>
      <c r="Q1" s="927"/>
      <c r="R1" s="927"/>
      <c r="S1" s="927"/>
      <c r="T1" s="927"/>
      <c r="U1" s="927"/>
      <c r="V1" s="927"/>
      <c r="W1" s="927"/>
      <c r="X1" s="927"/>
      <c r="Y1" s="927"/>
      <c r="Z1" s="927"/>
      <c r="AA1" s="927"/>
      <c r="AB1" s="927"/>
      <c r="AC1" s="927"/>
      <c r="AD1" s="927"/>
      <c r="AE1" s="927"/>
      <c r="AF1" s="927"/>
      <c r="AG1" s="927"/>
      <c r="AH1" s="927"/>
      <c r="AI1" s="927"/>
      <c r="AJ1" s="927"/>
      <c r="AK1" s="927"/>
      <c r="AL1" s="927"/>
      <c r="AM1" s="927"/>
      <c r="AN1" s="927"/>
      <c r="AO1" s="927"/>
      <c r="AP1" s="927"/>
      <c r="AQ1" s="927"/>
      <c r="AR1" s="927"/>
      <c r="AS1" s="927"/>
      <c r="AT1" s="927"/>
      <c r="AU1" s="927"/>
      <c r="AV1" s="927"/>
      <c r="AW1" s="927"/>
      <c r="AX1" s="927"/>
      <c r="AY1" s="927"/>
      <c r="AZ1" s="927"/>
      <c r="BA1" s="927"/>
      <c r="BB1" s="927"/>
      <c r="BC1" s="927"/>
      <c r="BD1" s="927"/>
      <c r="BE1" s="927"/>
      <c r="BF1" s="927"/>
      <c r="BG1" s="927"/>
      <c r="BH1" s="928"/>
      <c r="BI1" s="929" t="s">
        <v>142</v>
      </c>
      <c r="BJ1" s="929"/>
      <c r="BK1" s="930"/>
    </row>
    <row r="2" spans="1:63" ht="16" customHeight="1" x14ac:dyDescent="0.15">
      <c r="A2" s="926" t="s">
        <v>2</v>
      </c>
      <c r="B2" s="927"/>
      <c r="C2" s="927"/>
      <c r="D2" s="927"/>
      <c r="E2" s="927"/>
      <c r="F2" s="927"/>
      <c r="G2" s="927"/>
      <c r="H2" s="927"/>
      <c r="I2" s="927"/>
      <c r="J2" s="927"/>
      <c r="K2" s="927"/>
      <c r="L2" s="927"/>
      <c r="M2" s="927"/>
      <c r="N2" s="927"/>
      <c r="O2" s="927"/>
      <c r="P2" s="927"/>
      <c r="Q2" s="927"/>
      <c r="R2" s="927"/>
      <c r="S2" s="927"/>
      <c r="T2" s="927"/>
      <c r="U2" s="927"/>
      <c r="V2" s="927"/>
      <c r="W2" s="927"/>
      <c r="X2" s="927"/>
      <c r="Y2" s="927"/>
      <c r="Z2" s="927"/>
      <c r="AA2" s="927"/>
      <c r="AB2" s="927"/>
      <c r="AC2" s="927"/>
      <c r="AD2" s="927"/>
      <c r="AE2" s="927"/>
      <c r="AF2" s="927"/>
      <c r="AG2" s="927"/>
      <c r="AH2" s="927"/>
      <c r="AI2" s="927"/>
      <c r="AJ2" s="927"/>
      <c r="AK2" s="927"/>
      <c r="AL2" s="927"/>
      <c r="AM2" s="927"/>
      <c r="AN2" s="927"/>
      <c r="AO2" s="927"/>
      <c r="AP2" s="927"/>
      <c r="AQ2" s="927"/>
      <c r="AR2" s="927"/>
      <c r="AS2" s="927"/>
      <c r="AT2" s="927"/>
      <c r="AU2" s="927"/>
      <c r="AV2" s="927"/>
      <c r="AW2" s="927"/>
      <c r="AX2" s="927"/>
      <c r="AY2" s="927"/>
      <c r="AZ2" s="927"/>
      <c r="BA2" s="927"/>
      <c r="BB2" s="927"/>
      <c r="BC2" s="927"/>
      <c r="BD2" s="927"/>
      <c r="BE2" s="927"/>
      <c r="BF2" s="927"/>
      <c r="BG2" s="927"/>
      <c r="BH2" s="928"/>
      <c r="BI2" s="929" t="s">
        <v>3</v>
      </c>
      <c r="BJ2" s="929"/>
      <c r="BK2" s="930"/>
    </row>
    <row r="3" spans="1:63" ht="26" customHeight="1" x14ac:dyDescent="0.15">
      <c r="A3" s="926" t="s">
        <v>274</v>
      </c>
      <c r="B3" s="927"/>
      <c r="C3" s="927"/>
      <c r="D3" s="927"/>
      <c r="E3" s="927"/>
      <c r="F3" s="927"/>
      <c r="G3" s="927"/>
      <c r="H3" s="927"/>
      <c r="I3" s="927"/>
      <c r="J3" s="927"/>
      <c r="K3" s="927"/>
      <c r="L3" s="927"/>
      <c r="M3" s="927"/>
      <c r="N3" s="927"/>
      <c r="O3" s="927"/>
      <c r="P3" s="927"/>
      <c r="Q3" s="927"/>
      <c r="R3" s="927"/>
      <c r="S3" s="927"/>
      <c r="T3" s="927"/>
      <c r="U3" s="927"/>
      <c r="V3" s="927"/>
      <c r="W3" s="927"/>
      <c r="X3" s="927"/>
      <c r="Y3" s="927"/>
      <c r="Z3" s="927"/>
      <c r="AA3" s="927"/>
      <c r="AB3" s="927"/>
      <c r="AC3" s="927"/>
      <c r="AD3" s="927"/>
      <c r="AE3" s="927"/>
      <c r="AF3" s="927"/>
      <c r="AG3" s="927"/>
      <c r="AH3" s="927"/>
      <c r="AI3" s="927"/>
      <c r="AJ3" s="927"/>
      <c r="AK3" s="927"/>
      <c r="AL3" s="927"/>
      <c r="AM3" s="927"/>
      <c r="AN3" s="927"/>
      <c r="AO3" s="927"/>
      <c r="AP3" s="927"/>
      <c r="AQ3" s="927"/>
      <c r="AR3" s="927"/>
      <c r="AS3" s="927"/>
      <c r="AT3" s="927"/>
      <c r="AU3" s="927"/>
      <c r="AV3" s="927"/>
      <c r="AW3" s="927"/>
      <c r="AX3" s="927"/>
      <c r="AY3" s="927"/>
      <c r="AZ3" s="927"/>
      <c r="BA3" s="927"/>
      <c r="BB3" s="927"/>
      <c r="BC3" s="927"/>
      <c r="BD3" s="927"/>
      <c r="BE3" s="927"/>
      <c r="BF3" s="927"/>
      <c r="BG3" s="927"/>
      <c r="BH3" s="928"/>
      <c r="BI3" s="929" t="s">
        <v>5</v>
      </c>
      <c r="BJ3" s="929"/>
      <c r="BK3" s="930"/>
    </row>
    <row r="4" spans="1:63" ht="16" customHeight="1" x14ac:dyDescent="0.15">
      <c r="A4" s="926" t="s">
        <v>275</v>
      </c>
      <c r="B4" s="927"/>
      <c r="C4" s="927"/>
      <c r="D4" s="927"/>
      <c r="E4" s="927"/>
      <c r="F4" s="927"/>
      <c r="G4" s="927"/>
      <c r="H4" s="927"/>
      <c r="I4" s="927"/>
      <c r="J4" s="927"/>
      <c r="K4" s="927"/>
      <c r="L4" s="927"/>
      <c r="M4" s="927"/>
      <c r="N4" s="927"/>
      <c r="O4" s="927"/>
      <c r="P4" s="927"/>
      <c r="Q4" s="927"/>
      <c r="R4" s="927"/>
      <c r="S4" s="927"/>
      <c r="T4" s="927"/>
      <c r="U4" s="927"/>
      <c r="V4" s="927"/>
      <c r="W4" s="927"/>
      <c r="X4" s="927"/>
      <c r="Y4" s="927"/>
      <c r="Z4" s="927"/>
      <c r="AA4" s="927"/>
      <c r="AB4" s="927"/>
      <c r="AC4" s="927"/>
      <c r="AD4" s="927"/>
      <c r="AE4" s="927"/>
      <c r="AF4" s="927"/>
      <c r="AG4" s="927"/>
      <c r="AH4" s="927"/>
      <c r="AI4" s="927"/>
      <c r="AJ4" s="927"/>
      <c r="AK4" s="927"/>
      <c r="AL4" s="927"/>
      <c r="AM4" s="927"/>
      <c r="AN4" s="927"/>
      <c r="AO4" s="927"/>
      <c r="AP4" s="927"/>
      <c r="AQ4" s="927"/>
      <c r="AR4" s="927"/>
      <c r="AS4" s="927"/>
      <c r="AT4" s="927"/>
      <c r="AU4" s="927"/>
      <c r="AV4" s="927"/>
      <c r="AW4" s="927"/>
      <c r="AX4" s="927"/>
      <c r="AY4" s="927"/>
      <c r="AZ4" s="927"/>
      <c r="BA4" s="927"/>
      <c r="BB4" s="927"/>
      <c r="BC4" s="927"/>
      <c r="BD4" s="927"/>
      <c r="BE4" s="927"/>
      <c r="BF4" s="927"/>
      <c r="BG4" s="927"/>
      <c r="BH4" s="928"/>
      <c r="BI4" s="924" t="s">
        <v>276</v>
      </c>
      <c r="BJ4" s="924"/>
      <c r="BK4" s="925"/>
    </row>
    <row r="5" spans="1:63" ht="26" customHeight="1" x14ac:dyDescent="0.15">
      <c r="A5" s="931" t="s">
        <v>181</v>
      </c>
      <c r="B5" s="932"/>
      <c r="C5" s="932"/>
      <c r="D5" s="932"/>
      <c r="E5" s="932"/>
      <c r="F5" s="932"/>
      <c r="G5" s="932"/>
      <c r="H5" s="932"/>
      <c r="I5" s="932"/>
      <c r="J5" s="932"/>
      <c r="K5" s="932"/>
      <c r="L5" s="932"/>
      <c r="M5" s="932"/>
      <c r="N5" s="932"/>
      <c r="O5" s="932"/>
      <c r="P5" s="932"/>
      <c r="Q5" s="932"/>
      <c r="R5" s="932"/>
      <c r="S5" s="932"/>
      <c r="T5" s="932"/>
      <c r="U5" s="932"/>
      <c r="V5" s="932"/>
      <c r="W5" s="932"/>
      <c r="X5" s="932"/>
      <c r="Y5" s="932"/>
      <c r="Z5" s="932"/>
      <c r="AA5" s="932"/>
      <c r="AB5" s="932"/>
      <c r="AC5" s="932"/>
      <c r="AD5" s="932"/>
      <c r="AE5" s="933"/>
      <c r="AF5" s="272"/>
      <c r="AG5" s="931" t="s">
        <v>277</v>
      </c>
      <c r="AH5" s="932"/>
      <c r="AI5" s="932"/>
      <c r="AJ5" s="932"/>
      <c r="AK5" s="932"/>
      <c r="AL5" s="932"/>
      <c r="AM5" s="932"/>
      <c r="AN5" s="932"/>
      <c r="AO5" s="932"/>
      <c r="AP5" s="932"/>
      <c r="AQ5" s="932"/>
      <c r="AR5" s="932"/>
      <c r="AS5" s="932"/>
      <c r="AT5" s="932"/>
      <c r="AU5" s="932"/>
      <c r="AV5" s="932"/>
      <c r="AW5" s="932"/>
      <c r="AX5" s="932"/>
      <c r="AY5" s="932"/>
      <c r="AZ5" s="932"/>
      <c r="BA5" s="932"/>
      <c r="BB5" s="932"/>
      <c r="BC5" s="932"/>
      <c r="BD5" s="932"/>
      <c r="BE5" s="932"/>
      <c r="BF5" s="932"/>
      <c r="BG5" s="932"/>
      <c r="BH5" s="932"/>
      <c r="BI5" s="932"/>
      <c r="BJ5" s="932"/>
      <c r="BK5" s="933"/>
    </row>
    <row r="6" spans="1:63" ht="31.5" customHeight="1" x14ac:dyDescent="0.15">
      <c r="A6" s="278" t="s">
        <v>278</v>
      </c>
      <c r="B6" s="938" t="s">
        <v>48</v>
      </c>
      <c r="C6" s="938"/>
      <c r="D6" s="938"/>
      <c r="E6" s="938"/>
      <c r="F6" s="938"/>
      <c r="G6" s="938"/>
      <c r="H6" s="938"/>
      <c r="I6" s="938"/>
      <c r="J6" s="938"/>
      <c r="K6" s="938"/>
      <c r="L6" s="938"/>
      <c r="M6" s="938"/>
      <c r="N6" s="938"/>
      <c r="O6" s="938"/>
      <c r="P6" s="938"/>
      <c r="Q6" s="938"/>
      <c r="R6" s="938"/>
      <c r="S6" s="938"/>
      <c r="T6" s="938"/>
      <c r="U6" s="938"/>
      <c r="V6" s="938"/>
      <c r="W6" s="938"/>
      <c r="X6" s="938"/>
      <c r="Y6" s="938"/>
      <c r="Z6" s="938"/>
      <c r="AA6" s="938"/>
      <c r="AB6" s="938"/>
      <c r="AC6" s="938"/>
      <c r="AD6" s="938"/>
      <c r="AE6" s="938"/>
      <c r="AF6" s="938"/>
      <c r="AG6" s="938"/>
      <c r="AH6" s="938"/>
      <c r="AI6" s="938"/>
      <c r="AJ6" s="938"/>
      <c r="AK6" s="938"/>
      <c r="AL6" s="938"/>
      <c r="AM6" s="938"/>
      <c r="AN6" s="938"/>
      <c r="AO6" s="938"/>
      <c r="AP6" s="938"/>
      <c r="AQ6" s="938"/>
      <c r="AR6" s="938"/>
      <c r="AS6" s="938"/>
      <c r="AT6" s="938"/>
      <c r="AU6" s="938"/>
      <c r="AV6" s="938"/>
      <c r="AW6" s="938"/>
      <c r="AX6" s="938"/>
      <c r="AY6" s="938"/>
      <c r="AZ6" s="938"/>
      <c r="BA6" s="938"/>
      <c r="BB6" s="938"/>
      <c r="BC6" s="938"/>
      <c r="BD6" s="938"/>
      <c r="BE6" s="938"/>
      <c r="BF6" s="938"/>
      <c r="BG6" s="938"/>
      <c r="BH6" s="938"/>
      <c r="BI6" s="938"/>
      <c r="BJ6" s="938"/>
      <c r="BK6" s="939"/>
    </row>
    <row r="7" spans="1:63" ht="31.5" customHeight="1" x14ac:dyDescent="0.15">
      <c r="A7" s="278" t="s">
        <v>279</v>
      </c>
      <c r="B7" s="940" t="s">
        <v>280</v>
      </c>
      <c r="C7" s="940"/>
      <c r="D7" s="940"/>
      <c r="E7" s="940"/>
      <c r="F7" s="940"/>
      <c r="G7" s="940"/>
      <c r="H7" s="940"/>
      <c r="I7" s="940"/>
      <c r="J7" s="940"/>
      <c r="K7" s="940"/>
      <c r="L7" s="940"/>
      <c r="M7" s="940"/>
      <c r="N7" s="940"/>
      <c r="O7" s="940"/>
      <c r="P7" s="940"/>
      <c r="Q7" s="940"/>
      <c r="R7" s="940"/>
      <c r="S7" s="940"/>
      <c r="T7" s="940"/>
      <c r="U7" s="940"/>
      <c r="V7" s="940"/>
      <c r="W7" s="940"/>
      <c r="X7" s="940"/>
      <c r="Y7" s="940"/>
      <c r="Z7" s="940"/>
      <c r="AA7" s="940"/>
      <c r="AB7" s="940"/>
      <c r="AC7" s="940"/>
      <c r="AD7" s="940"/>
      <c r="AE7" s="940"/>
      <c r="AF7" s="940"/>
      <c r="AG7" s="940"/>
      <c r="AH7" s="940"/>
      <c r="AI7" s="940"/>
      <c r="AJ7" s="940"/>
      <c r="AK7" s="940"/>
      <c r="AL7" s="940"/>
      <c r="AM7" s="940"/>
      <c r="AN7" s="940"/>
      <c r="AO7" s="940"/>
      <c r="AP7" s="940"/>
      <c r="AQ7" s="940"/>
      <c r="AR7" s="940"/>
      <c r="AS7" s="940"/>
      <c r="AT7" s="940"/>
      <c r="AU7" s="940"/>
      <c r="AV7" s="940"/>
      <c r="AW7" s="940"/>
      <c r="AX7" s="940"/>
      <c r="AY7" s="940"/>
      <c r="AZ7" s="940"/>
      <c r="BA7" s="940"/>
      <c r="BB7" s="940"/>
      <c r="BC7" s="940"/>
      <c r="BD7" s="940"/>
      <c r="BE7" s="940"/>
      <c r="BF7" s="940"/>
      <c r="BG7" s="940"/>
      <c r="BH7" s="940"/>
      <c r="BI7" s="940"/>
      <c r="BJ7" s="940"/>
      <c r="BK7" s="937"/>
    </row>
    <row r="8" spans="1:63" ht="18.75" customHeight="1" x14ac:dyDescent="0.15">
      <c r="A8" s="280" t="s">
        <v>48</v>
      </c>
      <c r="B8" s="280" t="s">
        <v>48</v>
      </c>
      <c r="C8" s="280" t="s">
        <v>48</v>
      </c>
      <c r="D8" s="280" t="s">
        <v>48</v>
      </c>
      <c r="E8" s="280" t="s">
        <v>48</v>
      </c>
      <c r="F8" s="280" t="s">
        <v>48</v>
      </c>
      <c r="G8" s="280" t="s">
        <v>48</v>
      </c>
      <c r="H8" s="280" t="s">
        <v>48</v>
      </c>
      <c r="I8" s="280" t="s">
        <v>48</v>
      </c>
      <c r="J8" s="280" t="s">
        <v>48</v>
      </c>
      <c r="K8" s="280" t="s">
        <v>48</v>
      </c>
      <c r="L8" s="280" t="s">
        <v>48</v>
      </c>
      <c r="M8" s="280" t="s">
        <v>48</v>
      </c>
      <c r="N8" s="280" t="s">
        <v>48</v>
      </c>
      <c r="O8" s="280" t="s">
        <v>48</v>
      </c>
      <c r="P8" s="280" t="s">
        <v>48</v>
      </c>
      <c r="Q8" s="280" t="s">
        <v>48</v>
      </c>
      <c r="R8" s="280" t="s">
        <v>48</v>
      </c>
      <c r="S8" s="280" t="s">
        <v>48</v>
      </c>
      <c r="T8" s="280" t="s">
        <v>48</v>
      </c>
      <c r="U8" s="280" t="s">
        <v>48</v>
      </c>
      <c r="V8" s="280" t="s">
        <v>48</v>
      </c>
      <c r="W8" s="280" t="s">
        <v>48</v>
      </c>
      <c r="X8" s="280" t="s">
        <v>48</v>
      </c>
      <c r="Y8" s="280" t="s">
        <v>48</v>
      </c>
      <c r="Z8" s="280" t="s">
        <v>48</v>
      </c>
      <c r="AA8" s="280" t="s">
        <v>48</v>
      </c>
      <c r="AB8" s="280" t="s">
        <v>48</v>
      </c>
      <c r="AC8" s="280" t="s">
        <v>48</v>
      </c>
      <c r="AD8" s="280" t="s">
        <v>48</v>
      </c>
      <c r="AE8" s="280" t="s">
        <v>48</v>
      </c>
      <c r="AF8" s="272"/>
      <c r="AG8" s="280" t="s">
        <v>48</v>
      </c>
      <c r="AH8" s="280" t="s">
        <v>48</v>
      </c>
      <c r="AI8" s="280" t="s">
        <v>48</v>
      </c>
      <c r="AJ8" s="280" t="s">
        <v>48</v>
      </c>
      <c r="AK8" s="280" t="s">
        <v>48</v>
      </c>
      <c r="AL8" s="280" t="s">
        <v>48</v>
      </c>
      <c r="AM8" s="280" t="s">
        <v>48</v>
      </c>
      <c r="AN8" s="280" t="s">
        <v>48</v>
      </c>
      <c r="AO8" s="280" t="s">
        <v>48</v>
      </c>
      <c r="AP8" s="272"/>
      <c r="AQ8" s="272"/>
      <c r="AR8" s="272"/>
      <c r="AS8" s="272"/>
      <c r="AT8" s="272"/>
      <c r="AU8" s="272"/>
      <c r="AV8" s="272"/>
      <c r="AW8" s="272"/>
      <c r="AX8" s="272"/>
      <c r="AY8" s="272"/>
      <c r="AZ8" s="272"/>
      <c r="BA8" s="272"/>
      <c r="BB8" s="272"/>
      <c r="BC8" s="272"/>
      <c r="BD8" s="272"/>
      <c r="BE8" s="272"/>
      <c r="BF8" s="272"/>
      <c r="BG8" s="272"/>
      <c r="BH8" s="272"/>
      <c r="BI8" s="272"/>
      <c r="BJ8" s="272"/>
      <c r="BK8" s="272"/>
    </row>
    <row r="9" spans="1:63" ht="30" customHeight="1" x14ac:dyDescent="0.15">
      <c r="A9" s="934" t="s">
        <v>281</v>
      </c>
      <c r="B9" s="279" t="s">
        <v>30</v>
      </c>
      <c r="C9" s="281" t="s">
        <v>31</v>
      </c>
      <c r="D9" s="936" t="s">
        <v>32</v>
      </c>
      <c r="E9" s="937"/>
      <c r="F9" s="279" t="s">
        <v>33</v>
      </c>
      <c r="G9" s="281" t="s">
        <v>34</v>
      </c>
      <c r="H9" s="936" t="s">
        <v>35</v>
      </c>
      <c r="I9" s="937"/>
      <c r="J9" s="279" t="s">
        <v>36</v>
      </c>
      <c r="K9" s="281" t="s">
        <v>37</v>
      </c>
      <c r="L9" s="936" t="s">
        <v>38</v>
      </c>
      <c r="M9" s="937"/>
      <c r="N9" s="279" t="s">
        <v>8</v>
      </c>
      <c r="O9" s="281" t="s">
        <v>39</v>
      </c>
      <c r="P9" s="936" t="s">
        <v>40</v>
      </c>
      <c r="Q9" s="937"/>
      <c r="R9" s="940" t="s">
        <v>282</v>
      </c>
      <c r="S9" s="937"/>
      <c r="T9" s="940" t="s">
        <v>283</v>
      </c>
      <c r="U9" s="940"/>
      <c r="V9" s="940"/>
      <c r="W9" s="940"/>
      <c r="X9" s="940"/>
      <c r="Y9" s="937"/>
      <c r="Z9" s="940" t="s">
        <v>284</v>
      </c>
      <c r="AA9" s="940"/>
      <c r="AB9" s="940"/>
      <c r="AC9" s="940"/>
      <c r="AD9" s="940"/>
      <c r="AE9" s="937"/>
      <c r="AF9" s="272"/>
      <c r="AG9" s="934" t="s">
        <v>281</v>
      </c>
      <c r="AH9" s="279" t="s">
        <v>30</v>
      </c>
      <c r="AI9" s="281" t="s">
        <v>31</v>
      </c>
      <c r="AJ9" s="936" t="s">
        <v>32</v>
      </c>
      <c r="AK9" s="937"/>
      <c r="AL9" s="279" t="s">
        <v>33</v>
      </c>
      <c r="AM9" s="281" t="s">
        <v>34</v>
      </c>
      <c r="AN9" s="936" t="s">
        <v>35</v>
      </c>
      <c r="AO9" s="937"/>
      <c r="AP9" s="279" t="s">
        <v>36</v>
      </c>
      <c r="AQ9" s="281" t="s">
        <v>37</v>
      </c>
      <c r="AR9" s="936" t="s">
        <v>38</v>
      </c>
      <c r="AS9" s="937"/>
      <c r="AT9" s="279" t="s">
        <v>8</v>
      </c>
      <c r="AU9" s="281" t="s">
        <v>39</v>
      </c>
      <c r="AV9" s="936" t="s">
        <v>40</v>
      </c>
      <c r="AW9" s="937"/>
      <c r="AX9" s="940" t="s">
        <v>282</v>
      </c>
      <c r="AY9" s="937"/>
      <c r="AZ9" s="940" t="s">
        <v>283</v>
      </c>
      <c r="BA9" s="940"/>
      <c r="BB9" s="940"/>
      <c r="BC9" s="940"/>
      <c r="BD9" s="940"/>
      <c r="BE9" s="937"/>
      <c r="BF9" s="940" t="s">
        <v>284</v>
      </c>
      <c r="BG9" s="940"/>
      <c r="BH9" s="940"/>
      <c r="BI9" s="940"/>
      <c r="BJ9" s="940"/>
      <c r="BK9" s="937"/>
    </row>
    <row r="10" spans="1:63" ht="36" customHeight="1" x14ac:dyDescent="0.15">
      <c r="A10" s="935"/>
      <c r="B10" s="282" t="s">
        <v>285</v>
      </c>
      <c r="C10" s="282" t="s">
        <v>285</v>
      </c>
      <c r="D10" s="282" t="s">
        <v>285</v>
      </c>
      <c r="E10" s="282" t="s">
        <v>286</v>
      </c>
      <c r="F10" s="282" t="s">
        <v>285</v>
      </c>
      <c r="G10" s="282" t="s">
        <v>285</v>
      </c>
      <c r="H10" s="282" t="s">
        <v>285</v>
      </c>
      <c r="I10" s="282" t="s">
        <v>286</v>
      </c>
      <c r="J10" s="282" t="s">
        <v>285</v>
      </c>
      <c r="K10" s="282" t="s">
        <v>285</v>
      </c>
      <c r="L10" s="282" t="s">
        <v>285</v>
      </c>
      <c r="M10" s="282" t="s">
        <v>286</v>
      </c>
      <c r="N10" s="282" t="s">
        <v>285</v>
      </c>
      <c r="O10" s="282" t="s">
        <v>285</v>
      </c>
      <c r="P10" s="282" t="s">
        <v>285</v>
      </c>
      <c r="Q10" s="282" t="s">
        <v>286</v>
      </c>
      <c r="R10" s="282" t="s">
        <v>285</v>
      </c>
      <c r="S10" s="282" t="s">
        <v>286</v>
      </c>
      <c r="T10" s="283" t="s">
        <v>287</v>
      </c>
      <c r="U10" s="283" t="s">
        <v>288</v>
      </c>
      <c r="V10" s="283" t="s">
        <v>289</v>
      </c>
      <c r="W10" s="283" t="s">
        <v>290</v>
      </c>
      <c r="X10" s="284" t="s">
        <v>291</v>
      </c>
      <c r="Y10" s="283" t="s">
        <v>292</v>
      </c>
      <c r="Z10" s="282" t="s">
        <v>293</v>
      </c>
      <c r="AA10" s="282" t="s">
        <v>294</v>
      </c>
      <c r="AB10" s="282" t="s">
        <v>295</v>
      </c>
      <c r="AC10" s="282" t="s">
        <v>296</v>
      </c>
      <c r="AD10" s="282" t="s">
        <v>297</v>
      </c>
      <c r="AE10" s="282" t="s">
        <v>298</v>
      </c>
      <c r="AF10" s="272"/>
      <c r="AG10" s="935"/>
      <c r="AH10" s="282" t="s">
        <v>285</v>
      </c>
      <c r="AI10" s="282" t="s">
        <v>285</v>
      </c>
      <c r="AJ10" s="282" t="s">
        <v>285</v>
      </c>
      <c r="AK10" s="282" t="s">
        <v>286</v>
      </c>
      <c r="AL10" s="282" t="s">
        <v>285</v>
      </c>
      <c r="AM10" s="282" t="s">
        <v>285</v>
      </c>
      <c r="AN10" s="282" t="s">
        <v>285</v>
      </c>
      <c r="AO10" s="282" t="s">
        <v>286</v>
      </c>
      <c r="AP10" s="282" t="s">
        <v>285</v>
      </c>
      <c r="AQ10" s="282" t="s">
        <v>285</v>
      </c>
      <c r="AR10" s="282" t="s">
        <v>285</v>
      </c>
      <c r="AS10" s="282" t="s">
        <v>286</v>
      </c>
      <c r="AT10" s="282" t="s">
        <v>285</v>
      </c>
      <c r="AU10" s="282" t="s">
        <v>285</v>
      </c>
      <c r="AV10" s="282" t="s">
        <v>285</v>
      </c>
      <c r="AW10" s="282" t="s">
        <v>286</v>
      </c>
      <c r="AX10" s="282" t="s">
        <v>285</v>
      </c>
      <c r="AY10" s="282" t="s">
        <v>286</v>
      </c>
      <c r="AZ10" s="283" t="s">
        <v>287</v>
      </c>
      <c r="BA10" s="283" t="s">
        <v>288</v>
      </c>
      <c r="BB10" s="283" t="s">
        <v>289</v>
      </c>
      <c r="BC10" s="283" t="s">
        <v>290</v>
      </c>
      <c r="BD10" s="284" t="s">
        <v>291</v>
      </c>
      <c r="BE10" s="283" t="s">
        <v>292</v>
      </c>
      <c r="BF10" s="283" t="s">
        <v>293</v>
      </c>
      <c r="BG10" s="283" t="s">
        <v>294</v>
      </c>
      <c r="BH10" s="283" t="s">
        <v>295</v>
      </c>
      <c r="BI10" s="283" t="s">
        <v>296</v>
      </c>
      <c r="BJ10" s="283" t="s">
        <v>297</v>
      </c>
      <c r="BK10" s="283" t="s">
        <v>298</v>
      </c>
    </row>
    <row r="11" spans="1:63" ht="15" x14ac:dyDescent="0.15">
      <c r="A11" s="285" t="s">
        <v>299</v>
      </c>
      <c r="B11" s="286" t="s">
        <v>48</v>
      </c>
      <c r="C11" s="286" t="s">
        <v>48</v>
      </c>
      <c r="D11" s="286">
        <v>37</v>
      </c>
      <c r="E11" s="286" t="s">
        <v>48</v>
      </c>
      <c r="F11" s="286">
        <v>43</v>
      </c>
      <c r="G11" s="286">
        <v>208</v>
      </c>
      <c r="H11" s="286">
        <v>107</v>
      </c>
      <c r="I11" s="286" t="s">
        <v>48</v>
      </c>
      <c r="J11" s="287">
        <v>51</v>
      </c>
      <c r="K11" s="287">
        <v>86</v>
      </c>
      <c r="L11" s="287">
        <v>63</v>
      </c>
      <c r="M11" s="286" t="s">
        <v>48</v>
      </c>
      <c r="N11" s="393">
        <f>36+26+87</f>
        <v>149</v>
      </c>
      <c r="O11" s="286" t="s">
        <v>48</v>
      </c>
      <c r="P11" s="286" t="s">
        <v>48</v>
      </c>
      <c r="Q11" s="286" t="s">
        <v>48</v>
      </c>
      <c r="R11" s="288">
        <f>+SUM(B11:Q11)</f>
        <v>744</v>
      </c>
      <c r="S11" s="289" t="s">
        <v>300</v>
      </c>
      <c r="T11" s="290" t="s">
        <v>48</v>
      </c>
      <c r="U11" s="290" t="s">
        <v>48</v>
      </c>
      <c r="V11" s="290" t="s">
        <v>48</v>
      </c>
      <c r="W11" s="290" t="s">
        <v>48</v>
      </c>
      <c r="X11" s="291" t="s">
        <v>48</v>
      </c>
      <c r="Y11" s="290" t="s">
        <v>48</v>
      </c>
      <c r="Z11" s="290" t="s">
        <v>48</v>
      </c>
      <c r="AA11" s="290" t="s">
        <v>48</v>
      </c>
      <c r="AB11" s="290" t="s">
        <v>48</v>
      </c>
      <c r="AC11" s="290" t="s">
        <v>48</v>
      </c>
      <c r="AD11" s="290" t="s">
        <v>48</v>
      </c>
      <c r="AE11" s="292" t="s">
        <v>48</v>
      </c>
      <c r="AF11" s="272"/>
      <c r="AG11" s="285" t="s">
        <v>299</v>
      </c>
      <c r="AH11" s="286" t="s">
        <v>48</v>
      </c>
      <c r="AI11" s="286" t="s">
        <v>48</v>
      </c>
      <c r="AJ11" s="286" t="s">
        <v>48</v>
      </c>
      <c r="AK11" s="286" t="s">
        <v>48</v>
      </c>
      <c r="AL11" s="286" t="s">
        <v>48</v>
      </c>
      <c r="AM11" s="286" t="s">
        <v>48</v>
      </c>
      <c r="AN11" s="286" t="s">
        <v>48</v>
      </c>
      <c r="AO11" s="286" t="s">
        <v>48</v>
      </c>
      <c r="AP11" s="286" t="s">
        <v>48</v>
      </c>
      <c r="AQ11" s="286" t="s">
        <v>48</v>
      </c>
      <c r="AR11" s="286" t="s">
        <v>48</v>
      </c>
      <c r="AS11" s="286" t="s">
        <v>48</v>
      </c>
      <c r="AT11" s="286" t="s">
        <v>48</v>
      </c>
      <c r="AU11" s="286" t="s">
        <v>48</v>
      </c>
      <c r="AV11" s="286" t="s">
        <v>48</v>
      </c>
      <c r="AW11" s="286" t="s">
        <v>48</v>
      </c>
      <c r="AX11" s="288">
        <v>0</v>
      </c>
      <c r="AY11" s="289" t="s">
        <v>301</v>
      </c>
      <c r="AZ11" s="290" t="s">
        <v>48</v>
      </c>
      <c r="BA11" s="290" t="s">
        <v>48</v>
      </c>
      <c r="BB11" s="290" t="s">
        <v>48</v>
      </c>
      <c r="BC11" s="290" t="s">
        <v>48</v>
      </c>
      <c r="BD11" s="291" t="s">
        <v>48</v>
      </c>
      <c r="BE11" s="290" t="s">
        <v>48</v>
      </c>
      <c r="BF11" s="290" t="s">
        <v>48</v>
      </c>
      <c r="BG11" s="290" t="s">
        <v>48</v>
      </c>
      <c r="BH11" s="290" t="s">
        <v>48</v>
      </c>
      <c r="BI11" s="290" t="s">
        <v>48</v>
      </c>
      <c r="BJ11" s="290" t="s">
        <v>48</v>
      </c>
      <c r="BK11" s="292" t="s">
        <v>48</v>
      </c>
    </row>
    <row r="12" spans="1:63" x14ac:dyDescent="0.15">
      <c r="A12" s="285" t="s">
        <v>302</v>
      </c>
      <c r="B12" s="293" t="s">
        <v>48</v>
      </c>
      <c r="C12" s="293" t="s">
        <v>48</v>
      </c>
      <c r="D12" s="293">
        <v>3</v>
      </c>
      <c r="E12" s="293" t="s">
        <v>48</v>
      </c>
      <c r="F12" s="291">
        <v>19</v>
      </c>
      <c r="G12" s="293">
        <v>8</v>
      </c>
      <c r="H12" s="293">
        <v>15</v>
      </c>
      <c r="I12" s="293" t="s">
        <v>48</v>
      </c>
      <c r="J12" s="294" t="s">
        <v>48</v>
      </c>
      <c r="K12" s="294" t="s">
        <v>48</v>
      </c>
      <c r="L12" s="294">
        <v>23</v>
      </c>
      <c r="M12" s="293" t="s">
        <v>48</v>
      </c>
      <c r="N12" s="394">
        <v>15</v>
      </c>
      <c r="O12" s="293" t="s">
        <v>48</v>
      </c>
      <c r="P12" s="293" t="s">
        <v>48</v>
      </c>
      <c r="Q12" s="293" t="s">
        <v>48</v>
      </c>
      <c r="R12" s="288">
        <f t="shared" ref="R12:R31" si="0">+SUM(B12:Q12)</f>
        <v>83</v>
      </c>
      <c r="S12" s="296" t="s">
        <v>300</v>
      </c>
      <c r="T12" s="291" t="s">
        <v>48</v>
      </c>
      <c r="U12" s="291" t="s">
        <v>48</v>
      </c>
      <c r="V12" s="291" t="s">
        <v>48</v>
      </c>
      <c r="W12" s="291" t="s">
        <v>48</v>
      </c>
      <c r="X12" s="291" t="s">
        <v>48</v>
      </c>
      <c r="Y12" s="291" t="s">
        <v>48</v>
      </c>
      <c r="Z12" s="291" t="s">
        <v>48</v>
      </c>
      <c r="AA12" s="291" t="s">
        <v>48</v>
      </c>
      <c r="AB12" s="291" t="s">
        <v>48</v>
      </c>
      <c r="AC12" s="291" t="s">
        <v>48</v>
      </c>
      <c r="AD12" s="291" t="s">
        <v>48</v>
      </c>
      <c r="AE12" s="291" t="s">
        <v>48</v>
      </c>
      <c r="AF12" s="272"/>
      <c r="AG12" s="285" t="s">
        <v>302</v>
      </c>
      <c r="AH12" s="293" t="s">
        <v>48</v>
      </c>
      <c r="AI12" s="293" t="s">
        <v>48</v>
      </c>
      <c r="AJ12" s="293" t="s">
        <v>48</v>
      </c>
      <c r="AK12" s="293" t="s">
        <v>48</v>
      </c>
      <c r="AL12" s="293" t="s">
        <v>48</v>
      </c>
      <c r="AM12" s="293" t="s">
        <v>48</v>
      </c>
      <c r="AN12" s="293" t="s">
        <v>48</v>
      </c>
      <c r="AO12" s="293" t="s">
        <v>48</v>
      </c>
      <c r="AP12" s="293" t="s">
        <v>48</v>
      </c>
      <c r="AQ12" s="293" t="s">
        <v>48</v>
      </c>
      <c r="AR12" s="293" t="s">
        <v>48</v>
      </c>
      <c r="AS12" s="293" t="s">
        <v>48</v>
      </c>
      <c r="AT12" s="293" t="s">
        <v>48</v>
      </c>
      <c r="AU12" s="293" t="s">
        <v>48</v>
      </c>
      <c r="AV12" s="293" t="s">
        <v>48</v>
      </c>
      <c r="AW12" s="293" t="s">
        <v>48</v>
      </c>
      <c r="AX12" s="295">
        <v>0</v>
      </c>
      <c r="AY12" s="296" t="s">
        <v>301</v>
      </c>
      <c r="AZ12" s="291" t="s">
        <v>48</v>
      </c>
      <c r="BA12" s="291" t="s">
        <v>48</v>
      </c>
      <c r="BB12" s="291" t="s">
        <v>48</v>
      </c>
      <c r="BC12" s="291" t="s">
        <v>48</v>
      </c>
      <c r="BD12" s="291" t="s">
        <v>48</v>
      </c>
      <c r="BE12" s="291" t="s">
        <v>48</v>
      </c>
      <c r="BF12" s="291" t="s">
        <v>48</v>
      </c>
      <c r="BG12" s="291" t="s">
        <v>48</v>
      </c>
      <c r="BH12" s="291" t="s">
        <v>48</v>
      </c>
      <c r="BI12" s="291" t="s">
        <v>48</v>
      </c>
      <c r="BJ12" s="291" t="s">
        <v>48</v>
      </c>
      <c r="BK12" s="291" t="s">
        <v>48</v>
      </c>
    </row>
    <row r="13" spans="1:63" x14ac:dyDescent="0.15">
      <c r="A13" s="285" t="s">
        <v>303</v>
      </c>
      <c r="B13" s="293" t="s">
        <v>48</v>
      </c>
      <c r="C13" s="293" t="s">
        <v>48</v>
      </c>
      <c r="D13" s="293">
        <v>8</v>
      </c>
      <c r="E13" s="293" t="s">
        <v>48</v>
      </c>
      <c r="F13" s="291">
        <v>14</v>
      </c>
      <c r="G13" s="293">
        <v>12</v>
      </c>
      <c r="H13" s="293">
        <v>15</v>
      </c>
      <c r="I13" s="293" t="s">
        <v>48</v>
      </c>
      <c r="J13" s="294">
        <v>12</v>
      </c>
      <c r="K13" s="294">
        <v>17</v>
      </c>
      <c r="L13" s="294">
        <v>13</v>
      </c>
      <c r="M13" s="293" t="s">
        <v>48</v>
      </c>
      <c r="N13" s="395">
        <v>20</v>
      </c>
      <c r="O13" s="293" t="s">
        <v>48</v>
      </c>
      <c r="P13" s="293" t="s">
        <v>48</v>
      </c>
      <c r="Q13" s="293" t="s">
        <v>48</v>
      </c>
      <c r="R13" s="288">
        <f t="shared" si="0"/>
        <v>111</v>
      </c>
      <c r="S13" s="296" t="s">
        <v>300</v>
      </c>
      <c r="T13" s="291" t="s">
        <v>48</v>
      </c>
      <c r="U13" s="291" t="s">
        <v>48</v>
      </c>
      <c r="V13" s="291" t="s">
        <v>48</v>
      </c>
      <c r="W13" s="291" t="s">
        <v>48</v>
      </c>
      <c r="X13" s="291" t="s">
        <v>48</v>
      </c>
      <c r="Y13" s="291" t="s">
        <v>48</v>
      </c>
      <c r="Z13" s="291" t="s">
        <v>48</v>
      </c>
      <c r="AA13" s="291" t="s">
        <v>48</v>
      </c>
      <c r="AB13" s="291" t="s">
        <v>48</v>
      </c>
      <c r="AC13" s="291" t="s">
        <v>48</v>
      </c>
      <c r="AD13" s="291" t="s">
        <v>48</v>
      </c>
      <c r="AE13" s="291" t="s">
        <v>48</v>
      </c>
      <c r="AF13" s="272"/>
      <c r="AG13" s="285" t="s">
        <v>303</v>
      </c>
      <c r="AH13" s="293" t="s">
        <v>48</v>
      </c>
      <c r="AI13" s="293" t="s">
        <v>48</v>
      </c>
      <c r="AJ13" s="293" t="s">
        <v>48</v>
      </c>
      <c r="AK13" s="293" t="s">
        <v>48</v>
      </c>
      <c r="AL13" s="293" t="s">
        <v>48</v>
      </c>
      <c r="AM13" s="293" t="s">
        <v>48</v>
      </c>
      <c r="AN13" s="293" t="s">
        <v>48</v>
      </c>
      <c r="AO13" s="293" t="s">
        <v>48</v>
      </c>
      <c r="AP13" s="293" t="s">
        <v>48</v>
      </c>
      <c r="AQ13" s="293" t="s">
        <v>48</v>
      </c>
      <c r="AR13" s="293" t="s">
        <v>48</v>
      </c>
      <c r="AS13" s="293" t="s">
        <v>48</v>
      </c>
      <c r="AT13" s="293" t="s">
        <v>48</v>
      </c>
      <c r="AU13" s="293" t="s">
        <v>48</v>
      </c>
      <c r="AV13" s="293" t="s">
        <v>48</v>
      </c>
      <c r="AW13" s="293" t="s">
        <v>48</v>
      </c>
      <c r="AX13" s="295">
        <v>0</v>
      </c>
      <c r="AY13" s="296" t="s">
        <v>301</v>
      </c>
      <c r="AZ13" s="291" t="s">
        <v>48</v>
      </c>
      <c r="BA13" s="291" t="s">
        <v>48</v>
      </c>
      <c r="BB13" s="291" t="s">
        <v>48</v>
      </c>
      <c r="BC13" s="291" t="s">
        <v>48</v>
      </c>
      <c r="BD13" s="291" t="s">
        <v>48</v>
      </c>
      <c r="BE13" s="291" t="s">
        <v>48</v>
      </c>
      <c r="BF13" s="291" t="s">
        <v>48</v>
      </c>
      <c r="BG13" s="291" t="s">
        <v>48</v>
      </c>
      <c r="BH13" s="291" t="s">
        <v>48</v>
      </c>
      <c r="BI13" s="291" t="s">
        <v>48</v>
      </c>
      <c r="BJ13" s="291" t="s">
        <v>48</v>
      </c>
      <c r="BK13" s="291" t="s">
        <v>48</v>
      </c>
    </row>
    <row r="14" spans="1:63" x14ac:dyDescent="0.15">
      <c r="A14" s="285" t="s">
        <v>304</v>
      </c>
      <c r="B14" s="293" t="s">
        <v>48</v>
      </c>
      <c r="C14" s="293" t="s">
        <v>48</v>
      </c>
      <c r="D14" s="293" t="s">
        <v>48</v>
      </c>
      <c r="E14" s="293" t="s">
        <v>48</v>
      </c>
      <c r="F14" s="291">
        <v>18</v>
      </c>
      <c r="G14" s="293" t="s">
        <v>48</v>
      </c>
      <c r="H14" s="293" t="s">
        <v>48</v>
      </c>
      <c r="I14" s="293" t="s">
        <v>48</v>
      </c>
      <c r="J14" s="294">
        <v>7</v>
      </c>
      <c r="K14" s="294" t="s">
        <v>48</v>
      </c>
      <c r="L14" s="294" t="s">
        <v>48</v>
      </c>
      <c r="M14" s="293" t="s">
        <v>48</v>
      </c>
      <c r="N14" s="395">
        <v>22</v>
      </c>
      <c r="O14" s="293" t="s">
        <v>48</v>
      </c>
      <c r="P14" s="293" t="s">
        <v>48</v>
      </c>
      <c r="Q14" s="293" t="s">
        <v>48</v>
      </c>
      <c r="R14" s="288">
        <f t="shared" si="0"/>
        <v>47</v>
      </c>
      <c r="S14" s="296" t="s">
        <v>300</v>
      </c>
      <c r="T14" s="291" t="s">
        <v>48</v>
      </c>
      <c r="U14" s="291" t="s">
        <v>48</v>
      </c>
      <c r="V14" s="291" t="s">
        <v>48</v>
      </c>
      <c r="W14" s="291" t="s">
        <v>48</v>
      </c>
      <c r="X14" s="291" t="s">
        <v>48</v>
      </c>
      <c r="Y14" s="291" t="s">
        <v>48</v>
      </c>
      <c r="Z14" s="291" t="s">
        <v>48</v>
      </c>
      <c r="AA14" s="291" t="s">
        <v>48</v>
      </c>
      <c r="AB14" s="291" t="s">
        <v>48</v>
      </c>
      <c r="AC14" s="291" t="s">
        <v>48</v>
      </c>
      <c r="AD14" s="291" t="s">
        <v>48</v>
      </c>
      <c r="AE14" s="291" t="s">
        <v>48</v>
      </c>
      <c r="AF14" s="272"/>
      <c r="AG14" s="285" t="s">
        <v>304</v>
      </c>
      <c r="AH14" s="293" t="s">
        <v>48</v>
      </c>
      <c r="AI14" s="293" t="s">
        <v>48</v>
      </c>
      <c r="AJ14" s="293" t="s">
        <v>48</v>
      </c>
      <c r="AK14" s="293" t="s">
        <v>48</v>
      </c>
      <c r="AL14" s="293" t="s">
        <v>48</v>
      </c>
      <c r="AM14" s="293" t="s">
        <v>48</v>
      </c>
      <c r="AN14" s="293" t="s">
        <v>48</v>
      </c>
      <c r="AO14" s="293" t="s">
        <v>48</v>
      </c>
      <c r="AP14" s="293" t="s">
        <v>48</v>
      </c>
      <c r="AQ14" s="293" t="s">
        <v>48</v>
      </c>
      <c r="AR14" s="293" t="s">
        <v>48</v>
      </c>
      <c r="AS14" s="293" t="s">
        <v>48</v>
      </c>
      <c r="AT14" s="293" t="s">
        <v>48</v>
      </c>
      <c r="AU14" s="293" t="s">
        <v>48</v>
      </c>
      <c r="AV14" s="293" t="s">
        <v>48</v>
      </c>
      <c r="AW14" s="293" t="s">
        <v>48</v>
      </c>
      <c r="AX14" s="295">
        <v>0</v>
      </c>
      <c r="AY14" s="296" t="s">
        <v>301</v>
      </c>
      <c r="AZ14" s="291" t="s">
        <v>48</v>
      </c>
      <c r="BA14" s="291" t="s">
        <v>48</v>
      </c>
      <c r="BB14" s="291" t="s">
        <v>48</v>
      </c>
      <c r="BC14" s="291" t="s">
        <v>48</v>
      </c>
      <c r="BD14" s="291" t="s">
        <v>48</v>
      </c>
      <c r="BE14" s="291" t="s">
        <v>48</v>
      </c>
      <c r="BF14" s="291" t="s">
        <v>48</v>
      </c>
      <c r="BG14" s="291" t="s">
        <v>48</v>
      </c>
      <c r="BH14" s="291" t="s">
        <v>48</v>
      </c>
      <c r="BI14" s="291" t="s">
        <v>48</v>
      </c>
      <c r="BJ14" s="291" t="s">
        <v>48</v>
      </c>
      <c r="BK14" s="291" t="s">
        <v>48</v>
      </c>
    </row>
    <row r="15" spans="1:63" x14ac:dyDescent="0.15">
      <c r="A15" s="285" t="s">
        <v>305</v>
      </c>
      <c r="B15" s="293" t="s">
        <v>48</v>
      </c>
      <c r="C15" s="293" t="s">
        <v>48</v>
      </c>
      <c r="D15" s="293" t="s">
        <v>48</v>
      </c>
      <c r="E15" s="293" t="s">
        <v>48</v>
      </c>
      <c r="F15" s="291">
        <v>22</v>
      </c>
      <c r="G15" s="293">
        <v>42</v>
      </c>
      <c r="H15" s="293" t="s">
        <v>48</v>
      </c>
      <c r="I15" s="293" t="s">
        <v>48</v>
      </c>
      <c r="J15" s="294">
        <v>10</v>
      </c>
      <c r="K15" s="294">
        <v>19</v>
      </c>
      <c r="L15" s="294">
        <v>47</v>
      </c>
      <c r="M15" s="293" t="s">
        <v>48</v>
      </c>
      <c r="N15" s="394">
        <v>34</v>
      </c>
      <c r="O15" s="293" t="s">
        <v>48</v>
      </c>
      <c r="P15" s="293" t="s">
        <v>48</v>
      </c>
      <c r="Q15" s="293" t="s">
        <v>48</v>
      </c>
      <c r="R15" s="288">
        <f t="shared" si="0"/>
        <v>174</v>
      </c>
      <c r="S15" s="296" t="s">
        <v>300</v>
      </c>
      <c r="T15" s="291" t="s">
        <v>48</v>
      </c>
      <c r="U15" s="291" t="s">
        <v>48</v>
      </c>
      <c r="V15" s="291" t="s">
        <v>48</v>
      </c>
      <c r="W15" s="291" t="s">
        <v>48</v>
      </c>
      <c r="X15" s="291" t="s">
        <v>48</v>
      </c>
      <c r="Y15" s="291" t="s">
        <v>48</v>
      </c>
      <c r="Z15" s="291" t="s">
        <v>48</v>
      </c>
      <c r="AA15" s="291" t="s">
        <v>48</v>
      </c>
      <c r="AB15" s="291" t="s">
        <v>48</v>
      </c>
      <c r="AC15" s="291" t="s">
        <v>48</v>
      </c>
      <c r="AD15" s="291" t="s">
        <v>48</v>
      </c>
      <c r="AE15" s="291" t="s">
        <v>48</v>
      </c>
      <c r="AF15" s="272"/>
      <c r="AG15" s="285" t="s">
        <v>305</v>
      </c>
      <c r="AH15" s="293" t="s">
        <v>48</v>
      </c>
      <c r="AI15" s="293" t="s">
        <v>48</v>
      </c>
      <c r="AJ15" s="293" t="s">
        <v>48</v>
      </c>
      <c r="AK15" s="293" t="s">
        <v>48</v>
      </c>
      <c r="AL15" s="293" t="s">
        <v>48</v>
      </c>
      <c r="AM15" s="293" t="s">
        <v>48</v>
      </c>
      <c r="AN15" s="293" t="s">
        <v>48</v>
      </c>
      <c r="AO15" s="293" t="s">
        <v>48</v>
      </c>
      <c r="AP15" s="293" t="s">
        <v>48</v>
      </c>
      <c r="AQ15" s="293" t="s">
        <v>48</v>
      </c>
      <c r="AR15" s="293" t="s">
        <v>48</v>
      </c>
      <c r="AS15" s="293" t="s">
        <v>48</v>
      </c>
      <c r="AT15" s="293" t="s">
        <v>48</v>
      </c>
      <c r="AU15" s="293" t="s">
        <v>48</v>
      </c>
      <c r="AV15" s="293" t="s">
        <v>48</v>
      </c>
      <c r="AW15" s="293" t="s">
        <v>48</v>
      </c>
      <c r="AX15" s="295">
        <v>0</v>
      </c>
      <c r="AY15" s="296" t="s">
        <v>301</v>
      </c>
      <c r="AZ15" s="291" t="s">
        <v>48</v>
      </c>
      <c r="BA15" s="291" t="s">
        <v>48</v>
      </c>
      <c r="BB15" s="291" t="s">
        <v>48</v>
      </c>
      <c r="BC15" s="291" t="s">
        <v>48</v>
      </c>
      <c r="BD15" s="291" t="s">
        <v>48</v>
      </c>
      <c r="BE15" s="291" t="s">
        <v>48</v>
      </c>
      <c r="BF15" s="291" t="s">
        <v>48</v>
      </c>
      <c r="BG15" s="291" t="s">
        <v>48</v>
      </c>
      <c r="BH15" s="291" t="s">
        <v>48</v>
      </c>
      <c r="BI15" s="291" t="s">
        <v>48</v>
      </c>
      <c r="BJ15" s="291" t="s">
        <v>48</v>
      </c>
      <c r="BK15" s="291" t="s">
        <v>48</v>
      </c>
    </row>
    <row r="16" spans="1:63" x14ac:dyDescent="0.15">
      <c r="A16" s="285" t="s">
        <v>306</v>
      </c>
      <c r="B16" s="293" t="s">
        <v>48</v>
      </c>
      <c r="C16" s="293" t="s">
        <v>48</v>
      </c>
      <c r="D16" s="293">
        <v>16</v>
      </c>
      <c r="E16" s="293" t="s">
        <v>48</v>
      </c>
      <c r="F16" s="291">
        <v>11</v>
      </c>
      <c r="G16" s="293" t="s">
        <v>48</v>
      </c>
      <c r="H16" s="293">
        <v>27</v>
      </c>
      <c r="I16" s="293" t="s">
        <v>48</v>
      </c>
      <c r="J16" s="294">
        <v>12</v>
      </c>
      <c r="K16" s="294" t="s">
        <v>48</v>
      </c>
      <c r="L16" s="294">
        <v>10</v>
      </c>
      <c r="M16" s="293" t="s">
        <v>48</v>
      </c>
      <c r="N16" s="395"/>
      <c r="O16" s="293" t="s">
        <v>48</v>
      </c>
      <c r="P16" s="293" t="s">
        <v>48</v>
      </c>
      <c r="Q16" s="293" t="s">
        <v>48</v>
      </c>
      <c r="R16" s="288">
        <f t="shared" si="0"/>
        <v>76</v>
      </c>
      <c r="S16" s="296" t="s">
        <v>300</v>
      </c>
      <c r="T16" s="291" t="s">
        <v>48</v>
      </c>
      <c r="U16" s="291" t="s">
        <v>48</v>
      </c>
      <c r="V16" s="291" t="s">
        <v>48</v>
      </c>
      <c r="W16" s="291" t="s">
        <v>48</v>
      </c>
      <c r="X16" s="291" t="s">
        <v>48</v>
      </c>
      <c r="Y16" s="291" t="s">
        <v>48</v>
      </c>
      <c r="Z16" s="291" t="s">
        <v>48</v>
      </c>
      <c r="AA16" s="291" t="s">
        <v>48</v>
      </c>
      <c r="AB16" s="291" t="s">
        <v>48</v>
      </c>
      <c r="AC16" s="291" t="s">
        <v>48</v>
      </c>
      <c r="AD16" s="291" t="s">
        <v>48</v>
      </c>
      <c r="AE16" s="291" t="s">
        <v>48</v>
      </c>
      <c r="AF16" s="272"/>
      <c r="AG16" s="285" t="s">
        <v>306</v>
      </c>
      <c r="AH16" s="293" t="s">
        <v>48</v>
      </c>
      <c r="AI16" s="293" t="s">
        <v>48</v>
      </c>
      <c r="AJ16" s="293" t="s">
        <v>48</v>
      </c>
      <c r="AK16" s="293" t="s">
        <v>48</v>
      </c>
      <c r="AL16" s="293" t="s">
        <v>48</v>
      </c>
      <c r="AM16" s="293" t="s">
        <v>48</v>
      </c>
      <c r="AN16" s="293" t="s">
        <v>48</v>
      </c>
      <c r="AO16" s="293" t="s">
        <v>48</v>
      </c>
      <c r="AP16" s="293" t="s">
        <v>48</v>
      </c>
      <c r="AQ16" s="293" t="s">
        <v>48</v>
      </c>
      <c r="AR16" s="293" t="s">
        <v>48</v>
      </c>
      <c r="AS16" s="293" t="s">
        <v>48</v>
      </c>
      <c r="AT16" s="293" t="s">
        <v>48</v>
      </c>
      <c r="AU16" s="293" t="s">
        <v>48</v>
      </c>
      <c r="AV16" s="293" t="s">
        <v>48</v>
      </c>
      <c r="AW16" s="293" t="s">
        <v>48</v>
      </c>
      <c r="AX16" s="295">
        <v>0</v>
      </c>
      <c r="AY16" s="296" t="s">
        <v>301</v>
      </c>
      <c r="AZ16" s="291" t="s">
        <v>48</v>
      </c>
      <c r="BA16" s="291" t="s">
        <v>48</v>
      </c>
      <c r="BB16" s="291" t="s">
        <v>48</v>
      </c>
      <c r="BC16" s="291" t="s">
        <v>48</v>
      </c>
      <c r="BD16" s="291" t="s">
        <v>48</v>
      </c>
      <c r="BE16" s="291" t="s">
        <v>48</v>
      </c>
      <c r="BF16" s="291" t="s">
        <v>48</v>
      </c>
      <c r="BG16" s="291" t="s">
        <v>48</v>
      </c>
      <c r="BH16" s="291" t="s">
        <v>48</v>
      </c>
      <c r="BI16" s="291" t="s">
        <v>48</v>
      </c>
      <c r="BJ16" s="291" t="s">
        <v>48</v>
      </c>
      <c r="BK16" s="291" t="s">
        <v>48</v>
      </c>
    </row>
    <row r="17" spans="1:63" x14ac:dyDescent="0.15">
      <c r="A17" s="285" t="s">
        <v>307</v>
      </c>
      <c r="B17" s="293" t="s">
        <v>48</v>
      </c>
      <c r="C17" s="293" t="s">
        <v>48</v>
      </c>
      <c r="D17" s="293" t="s">
        <v>48</v>
      </c>
      <c r="E17" s="293" t="s">
        <v>48</v>
      </c>
      <c r="F17" s="293" t="s">
        <v>48</v>
      </c>
      <c r="G17" s="293">
        <v>31</v>
      </c>
      <c r="H17" s="293" t="s">
        <v>48</v>
      </c>
      <c r="I17" s="293" t="s">
        <v>48</v>
      </c>
      <c r="J17" s="294">
        <v>19</v>
      </c>
      <c r="K17" s="294">
        <v>38</v>
      </c>
      <c r="L17" s="294">
        <v>13</v>
      </c>
      <c r="M17" s="293" t="s">
        <v>48</v>
      </c>
      <c r="N17" s="395">
        <v>26</v>
      </c>
      <c r="O17" s="293" t="s">
        <v>48</v>
      </c>
      <c r="P17" s="293" t="s">
        <v>48</v>
      </c>
      <c r="Q17" s="293" t="s">
        <v>48</v>
      </c>
      <c r="R17" s="288">
        <f t="shared" si="0"/>
        <v>127</v>
      </c>
      <c r="S17" s="296" t="s">
        <v>300</v>
      </c>
      <c r="T17" s="291" t="s">
        <v>48</v>
      </c>
      <c r="U17" s="291" t="s">
        <v>48</v>
      </c>
      <c r="V17" s="291" t="s">
        <v>48</v>
      </c>
      <c r="W17" s="291" t="s">
        <v>48</v>
      </c>
      <c r="X17" s="291" t="s">
        <v>48</v>
      </c>
      <c r="Y17" s="291" t="s">
        <v>48</v>
      </c>
      <c r="Z17" s="291" t="s">
        <v>48</v>
      </c>
      <c r="AA17" s="291" t="s">
        <v>48</v>
      </c>
      <c r="AB17" s="291" t="s">
        <v>48</v>
      </c>
      <c r="AC17" s="291" t="s">
        <v>48</v>
      </c>
      <c r="AD17" s="291" t="s">
        <v>48</v>
      </c>
      <c r="AE17" s="291" t="s">
        <v>48</v>
      </c>
      <c r="AF17" s="272"/>
      <c r="AG17" s="285" t="s">
        <v>307</v>
      </c>
      <c r="AH17" s="293" t="s">
        <v>48</v>
      </c>
      <c r="AI17" s="293" t="s">
        <v>48</v>
      </c>
      <c r="AJ17" s="293" t="s">
        <v>48</v>
      </c>
      <c r="AK17" s="293" t="s">
        <v>48</v>
      </c>
      <c r="AL17" s="293" t="s">
        <v>48</v>
      </c>
      <c r="AM17" s="293" t="s">
        <v>48</v>
      </c>
      <c r="AN17" s="293" t="s">
        <v>48</v>
      </c>
      <c r="AO17" s="293" t="s">
        <v>48</v>
      </c>
      <c r="AP17" s="293" t="s">
        <v>48</v>
      </c>
      <c r="AQ17" s="293" t="s">
        <v>48</v>
      </c>
      <c r="AR17" s="293" t="s">
        <v>48</v>
      </c>
      <c r="AS17" s="293" t="s">
        <v>48</v>
      </c>
      <c r="AT17" s="293" t="s">
        <v>48</v>
      </c>
      <c r="AU17" s="293" t="s">
        <v>48</v>
      </c>
      <c r="AV17" s="293" t="s">
        <v>48</v>
      </c>
      <c r="AW17" s="293" t="s">
        <v>48</v>
      </c>
      <c r="AX17" s="295">
        <v>0</v>
      </c>
      <c r="AY17" s="296" t="s">
        <v>301</v>
      </c>
      <c r="AZ17" s="291" t="s">
        <v>48</v>
      </c>
      <c r="BA17" s="291" t="s">
        <v>48</v>
      </c>
      <c r="BB17" s="291" t="s">
        <v>48</v>
      </c>
      <c r="BC17" s="291" t="s">
        <v>48</v>
      </c>
      <c r="BD17" s="291" t="s">
        <v>48</v>
      </c>
      <c r="BE17" s="291" t="s">
        <v>48</v>
      </c>
      <c r="BF17" s="291" t="s">
        <v>48</v>
      </c>
      <c r="BG17" s="291" t="s">
        <v>48</v>
      </c>
      <c r="BH17" s="291" t="s">
        <v>48</v>
      </c>
      <c r="BI17" s="291" t="s">
        <v>48</v>
      </c>
      <c r="BJ17" s="291" t="s">
        <v>48</v>
      </c>
      <c r="BK17" s="291" t="s">
        <v>48</v>
      </c>
    </row>
    <row r="18" spans="1:63" x14ac:dyDescent="0.15">
      <c r="A18" s="285" t="s">
        <v>308</v>
      </c>
      <c r="B18" s="293" t="s">
        <v>48</v>
      </c>
      <c r="C18" s="293" t="s">
        <v>48</v>
      </c>
      <c r="D18" s="293">
        <v>10</v>
      </c>
      <c r="E18" s="293" t="s">
        <v>48</v>
      </c>
      <c r="F18" s="291">
        <v>22</v>
      </c>
      <c r="G18" s="293">
        <v>27</v>
      </c>
      <c r="H18" s="293">
        <v>20</v>
      </c>
      <c r="I18" s="293" t="s">
        <v>48</v>
      </c>
      <c r="J18" s="294" t="s">
        <v>48</v>
      </c>
      <c r="K18" s="294" t="s">
        <v>48</v>
      </c>
      <c r="L18" s="294">
        <v>10</v>
      </c>
      <c r="M18" s="293" t="s">
        <v>48</v>
      </c>
      <c r="N18" s="395">
        <v>36</v>
      </c>
      <c r="O18" s="293" t="s">
        <v>48</v>
      </c>
      <c r="P18" s="293" t="s">
        <v>48</v>
      </c>
      <c r="Q18" s="293" t="s">
        <v>48</v>
      </c>
      <c r="R18" s="288">
        <f t="shared" si="0"/>
        <v>125</v>
      </c>
      <c r="S18" s="296" t="s">
        <v>300</v>
      </c>
      <c r="T18" s="291" t="s">
        <v>48</v>
      </c>
      <c r="U18" s="291" t="s">
        <v>48</v>
      </c>
      <c r="V18" s="291" t="s">
        <v>48</v>
      </c>
      <c r="W18" s="291" t="s">
        <v>48</v>
      </c>
      <c r="X18" s="291" t="s">
        <v>48</v>
      </c>
      <c r="Y18" s="291" t="s">
        <v>48</v>
      </c>
      <c r="Z18" s="291" t="s">
        <v>48</v>
      </c>
      <c r="AA18" s="291" t="s">
        <v>48</v>
      </c>
      <c r="AB18" s="291" t="s">
        <v>48</v>
      </c>
      <c r="AC18" s="291" t="s">
        <v>48</v>
      </c>
      <c r="AD18" s="291" t="s">
        <v>48</v>
      </c>
      <c r="AE18" s="291" t="s">
        <v>48</v>
      </c>
      <c r="AF18" s="272"/>
      <c r="AG18" s="285" t="s">
        <v>308</v>
      </c>
      <c r="AH18" s="293" t="s">
        <v>48</v>
      </c>
      <c r="AI18" s="293" t="s">
        <v>48</v>
      </c>
      <c r="AJ18" s="293" t="s">
        <v>48</v>
      </c>
      <c r="AK18" s="293" t="s">
        <v>48</v>
      </c>
      <c r="AL18" s="293" t="s">
        <v>48</v>
      </c>
      <c r="AM18" s="293" t="s">
        <v>48</v>
      </c>
      <c r="AN18" s="293" t="s">
        <v>48</v>
      </c>
      <c r="AO18" s="293" t="s">
        <v>48</v>
      </c>
      <c r="AP18" s="293" t="s">
        <v>48</v>
      </c>
      <c r="AQ18" s="293" t="s">
        <v>48</v>
      </c>
      <c r="AR18" s="293" t="s">
        <v>48</v>
      </c>
      <c r="AS18" s="293" t="s">
        <v>48</v>
      </c>
      <c r="AT18" s="293" t="s">
        <v>48</v>
      </c>
      <c r="AU18" s="293" t="s">
        <v>48</v>
      </c>
      <c r="AV18" s="293" t="s">
        <v>48</v>
      </c>
      <c r="AW18" s="293" t="s">
        <v>48</v>
      </c>
      <c r="AX18" s="295">
        <v>0</v>
      </c>
      <c r="AY18" s="296" t="s">
        <v>301</v>
      </c>
      <c r="AZ18" s="291" t="s">
        <v>48</v>
      </c>
      <c r="BA18" s="291" t="s">
        <v>48</v>
      </c>
      <c r="BB18" s="291" t="s">
        <v>48</v>
      </c>
      <c r="BC18" s="291" t="s">
        <v>48</v>
      </c>
      <c r="BD18" s="291" t="s">
        <v>48</v>
      </c>
      <c r="BE18" s="291" t="s">
        <v>48</v>
      </c>
      <c r="BF18" s="291" t="s">
        <v>48</v>
      </c>
      <c r="BG18" s="291" t="s">
        <v>48</v>
      </c>
      <c r="BH18" s="291" t="s">
        <v>48</v>
      </c>
      <c r="BI18" s="291" t="s">
        <v>48</v>
      </c>
      <c r="BJ18" s="291" t="s">
        <v>48</v>
      </c>
      <c r="BK18" s="291" t="s">
        <v>48</v>
      </c>
    </row>
    <row r="19" spans="1:63" x14ac:dyDescent="0.15">
      <c r="A19" s="285" t="s">
        <v>309</v>
      </c>
      <c r="B19" s="293" t="s">
        <v>48</v>
      </c>
      <c r="C19" s="293" t="s">
        <v>48</v>
      </c>
      <c r="D19" s="293">
        <v>27</v>
      </c>
      <c r="E19" s="293" t="s">
        <v>48</v>
      </c>
      <c r="F19" s="291">
        <v>47</v>
      </c>
      <c r="G19" s="293">
        <v>28</v>
      </c>
      <c r="H19" s="293">
        <v>28</v>
      </c>
      <c r="I19" s="293" t="s">
        <v>48</v>
      </c>
      <c r="J19" s="294">
        <v>30</v>
      </c>
      <c r="K19" s="294">
        <v>32</v>
      </c>
      <c r="L19" s="294">
        <v>41</v>
      </c>
      <c r="M19" s="293" t="s">
        <v>48</v>
      </c>
      <c r="N19" s="394">
        <v>30</v>
      </c>
      <c r="O19" s="293" t="s">
        <v>48</v>
      </c>
      <c r="P19" s="293" t="s">
        <v>48</v>
      </c>
      <c r="Q19" s="293" t="s">
        <v>48</v>
      </c>
      <c r="R19" s="288">
        <f t="shared" si="0"/>
        <v>263</v>
      </c>
      <c r="S19" s="296" t="s">
        <v>300</v>
      </c>
      <c r="T19" s="291" t="s">
        <v>48</v>
      </c>
      <c r="U19" s="291" t="s">
        <v>48</v>
      </c>
      <c r="V19" s="291" t="s">
        <v>48</v>
      </c>
      <c r="W19" s="291" t="s">
        <v>48</v>
      </c>
      <c r="X19" s="291" t="s">
        <v>48</v>
      </c>
      <c r="Y19" s="291" t="s">
        <v>48</v>
      </c>
      <c r="Z19" s="291" t="s">
        <v>48</v>
      </c>
      <c r="AA19" s="291" t="s">
        <v>48</v>
      </c>
      <c r="AB19" s="291" t="s">
        <v>48</v>
      </c>
      <c r="AC19" s="291" t="s">
        <v>48</v>
      </c>
      <c r="AD19" s="291" t="s">
        <v>48</v>
      </c>
      <c r="AE19" s="291" t="s">
        <v>48</v>
      </c>
      <c r="AF19" s="272"/>
      <c r="AG19" s="285" t="s">
        <v>309</v>
      </c>
      <c r="AH19" s="293" t="s">
        <v>48</v>
      </c>
      <c r="AI19" s="293" t="s">
        <v>48</v>
      </c>
      <c r="AJ19" s="293" t="s">
        <v>48</v>
      </c>
      <c r="AK19" s="293" t="s">
        <v>48</v>
      </c>
      <c r="AL19" s="293" t="s">
        <v>48</v>
      </c>
      <c r="AM19" s="293" t="s">
        <v>48</v>
      </c>
      <c r="AN19" s="293" t="s">
        <v>48</v>
      </c>
      <c r="AO19" s="293" t="s">
        <v>48</v>
      </c>
      <c r="AP19" s="293" t="s">
        <v>48</v>
      </c>
      <c r="AQ19" s="293" t="s">
        <v>48</v>
      </c>
      <c r="AR19" s="293" t="s">
        <v>48</v>
      </c>
      <c r="AS19" s="293" t="s">
        <v>48</v>
      </c>
      <c r="AT19" s="293" t="s">
        <v>48</v>
      </c>
      <c r="AU19" s="293" t="s">
        <v>48</v>
      </c>
      <c r="AV19" s="293" t="s">
        <v>48</v>
      </c>
      <c r="AW19" s="293" t="s">
        <v>48</v>
      </c>
      <c r="AX19" s="295">
        <v>0</v>
      </c>
      <c r="AY19" s="296" t="s">
        <v>301</v>
      </c>
      <c r="AZ19" s="291" t="s">
        <v>48</v>
      </c>
      <c r="BA19" s="291" t="s">
        <v>48</v>
      </c>
      <c r="BB19" s="291" t="s">
        <v>48</v>
      </c>
      <c r="BC19" s="291" t="s">
        <v>48</v>
      </c>
      <c r="BD19" s="291" t="s">
        <v>48</v>
      </c>
      <c r="BE19" s="291" t="s">
        <v>48</v>
      </c>
      <c r="BF19" s="291" t="s">
        <v>48</v>
      </c>
      <c r="BG19" s="291" t="s">
        <v>48</v>
      </c>
      <c r="BH19" s="291" t="s">
        <v>48</v>
      </c>
      <c r="BI19" s="293" t="s">
        <v>48</v>
      </c>
      <c r="BJ19" s="293" t="s">
        <v>48</v>
      </c>
      <c r="BK19" s="293" t="s">
        <v>48</v>
      </c>
    </row>
    <row r="20" spans="1:63" x14ac:dyDescent="0.15">
      <c r="A20" s="285" t="s">
        <v>310</v>
      </c>
      <c r="B20" s="293" t="s">
        <v>48</v>
      </c>
      <c r="C20" s="293" t="s">
        <v>48</v>
      </c>
      <c r="D20" s="293">
        <v>15</v>
      </c>
      <c r="E20" s="293" t="s">
        <v>48</v>
      </c>
      <c r="F20" s="291">
        <v>18</v>
      </c>
      <c r="G20" s="293">
        <v>9</v>
      </c>
      <c r="H20" s="293">
        <v>13</v>
      </c>
      <c r="I20" s="293" t="s">
        <v>48</v>
      </c>
      <c r="J20" s="294">
        <v>10</v>
      </c>
      <c r="K20" s="294">
        <v>13</v>
      </c>
      <c r="L20" s="294" t="s">
        <v>48</v>
      </c>
      <c r="M20" s="293" t="s">
        <v>48</v>
      </c>
      <c r="N20" s="395">
        <v>22</v>
      </c>
      <c r="O20" s="293" t="s">
        <v>48</v>
      </c>
      <c r="P20" s="293" t="s">
        <v>48</v>
      </c>
      <c r="Q20" s="293" t="s">
        <v>48</v>
      </c>
      <c r="R20" s="288">
        <f t="shared" si="0"/>
        <v>100</v>
      </c>
      <c r="S20" s="296" t="s">
        <v>300</v>
      </c>
      <c r="T20" s="291" t="s">
        <v>48</v>
      </c>
      <c r="U20" s="291" t="s">
        <v>48</v>
      </c>
      <c r="V20" s="291" t="s">
        <v>48</v>
      </c>
      <c r="W20" s="291" t="s">
        <v>48</v>
      </c>
      <c r="X20" s="291" t="s">
        <v>48</v>
      </c>
      <c r="Y20" s="291" t="s">
        <v>48</v>
      </c>
      <c r="Z20" s="291" t="s">
        <v>48</v>
      </c>
      <c r="AA20" s="291" t="s">
        <v>48</v>
      </c>
      <c r="AB20" s="291" t="s">
        <v>48</v>
      </c>
      <c r="AC20" s="291" t="s">
        <v>48</v>
      </c>
      <c r="AD20" s="291" t="s">
        <v>48</v>
      </c>
      <c r="AE20" s="291" t="s">
        <v>48</v>
      </c>
      <c r="AF20" s="272"/>
      <c r="AG20" s="285" t="s">
        <v>310</v>
      </c>
      <c r="AH20" s="293" t="s">
        <v>48</v>
      </c>
      <c r="AI20" s="293" t="s">
        <v>48</v>
      </c>
      <c r="AJ20" s="293" t="s">
        <v>48</v>
      </c>
      <c r="AK20" s="293" t="s">
        <v>48</v>
      </c>
      <c r="AL20" s="293" t="s">
        <v>48</v>
      </c>
      <c r="AM20" s="293" t="s">
        <v>48</v>
      </c>
      <c r="AN20" s="293" t="s">
        <v>48</v>
      </c>
      <c r="AO20" s="293" t="s">
        <v>48</v>
      </c>
      <c r="AP20" s="293" t="s">
        <v>48</v>
      </c>
      <c r="AQ20" s="293" t="s">
        <v>48</v>
      </c>
      <c r="AR20" s="293" t="s">
        <v>48</v>
      </c>
      <c r="AS20" s="293" t="s">
        <v>48</v>
      </c>
      <c r="AT20" s="293" t="s">
        <v>48</v>
      </c>
      <c r="AU20" s="293" t="s">
        <v>48</v>
      </c>
      <c r="AV20" s="293" t="s">
        <v>48</v>
      </c>
      <c r="AW20" s="293" t="s">
        <v>48</v>
      </c>
      <c r="AX20" s="295">
        <v>0</v>
      </c>
      <c r="AY20" s="296" t="s">
        <v>301</v>
      </c>
      <c r="AZ20" s="291" t="s">
        <v>48</v>
      </c>
      <c r="BA20" s="291" t="s">
        <v>48</v>
      </c>
      <c r="BB20" s="291" t="s">
        <v>48</v>
      </c>
      <c r="BC20" s="291" t="s">
        <v>48</v>
      </c>
      <c r="BD20" s="291" t="s">
        <v>48</v>
      </c>
      <c r="BE20" s="291" t="s">
        <v>48</v>
      </c>
      <c r="BF20" s="291" t="s">
        <v>48</v>
      </c>
      <c r="BG20" s="291" t="s">
        <v>48</v>
      </c>
      <c r="BH20" s="291" t="s">
        <v>48</v>
      </c>
      <c r="BI20" s="293" t="s">
        <v>48</v>
      </c>
      <c r="BJ20" s="293" t="s">
        <v>48</v>
      </c>
      <c r="BK20" s="293" t="s">
        <v>48</v>
      </c>
    </row>
    <row r="21" spans="1:63" x14ac:dyDescent="0.15">
      <c r="A21" s="285" t="s">
        <v>311</v>
      </c>
      <c r="B21" s="293" t="s">
        <v>48</v>
      </c>
      <c r="C21" s="293" t="s">
        <v>48</v>
      </c>
      <c r="D21" s="293">
        <v>12</v>
      </c>
      <c r="E21" s="293" t="s">
        <v>48</v>
      </c>
      <c r="F21" s="291">
        <v>7</v>
      </c>
      <c r="G21" s="293">
        <v>18</v>
      </c>
      <c r="H21" s="293">
        <v>13</v>
      </c>
      <c r="I21" s="293" t="s">
        <v>48</v>
      </c>
      <c r="J21" s="294">
        <v>10</v>
      </c>
      <c r="K21" s="294">
        <v>15</v>
      </c>
      <c r="L21" s="294">
        <v>15</v>
      </c>
      <c r="M21" s="293" t="s">
        <v>48</v>
      </c>
      <c r="N21" s="395">
        <v>11</v>
      </c>
      <c r="O21" s="293" t="s">
        <v>48</v>
      </c>
      <c r="P21" s="293" t="s">
        <v>48</v>
      </c>
      <c r="Q21" s="293" t="s">
        <v>48</v>
      </c>
      <c r="R21" s="288">
        <f t="shared" si="0"/>
        <v>101</v>
      </c>
      <c r="S21" s="296" t="s">
        <v>300</v>
      </c>
      <c r="T21" s="291" t="s">
        <v>48</v>
      </c>
      <c r="U21" s="291" t="s">
        <v>48</v>
      </c>
      <c r="V21" s="291" t="s">
        <v>48</v>
      </c>
      <c r="W21" s="291" t="s">
        <v>48</v>
      </c>
      <c r="X21" s="291" t="s">
        <v>48</v>
      </c>
      <c r="Y21" s="291" t="s">
        <v>48</v>
      </c>
      <c r="Z21" s="291" t="s">
        <v>48</v>
      </c>
      <c r="AA21" s="291" t="s">
        <v>48</v>
      </c>
      <c r="AB21" s="291" t="s">
        <v>48</v>
      </c>
      <c r="AC21" s="291" t="s">
        <v>48</v>
      </c>
      <c r="AD21" s="291" t="s">
        <v>48</v>
      </c>
      <c r="AE21" s="291" t="s">
        <v>48</v>
      </c>
      <c r="AF21" s="272"/>
      <c r="AG21" s="285" t="s">
        <v>311</v>
      </c>
      <c r="AH21" s="293" t="s">
        <v>48</v>
      </c>
      <c r="AI21" s="293" t="s">
        <v>48</v>
      </c>
      <c r="AJ21" s="293" t="s">
        <v>48</v>
      </c>
      <c r="AK21" s="293" t="s">
        <v>48</v>
      </c>
      <c r="AL21" s="293" t="s">
        <v>48</v>
      </c>
      <c r="AM21" s="293" t="s">
        <v>48</v>
      </c>
      <c r="AN21" s="293" t="s">
        <v>48</v>
      </c>
      <c r="AO21" s="293" t="s">
        <v>48</v>
      </c>
      <c r="AP21" s="293" t="s">
        <v>48</v>
      </c>
      <c r="AQ21" s="293" t="s">
        <v>48</v>
      </c>
      <c r="AR21" s="293" t="s">
        <v>48</v>
      </c>
      <c r="AS21" s="293" t="s">
        <v>48</v>
      </c>
      <c r="AT21" s="293" t="s">
        <v>48</v>
      </c>
      <c r="AU21" s="293" t="s">
        <v>48</v>
      </c>
      <c r="AV21" s="293" t="s">
        <v>48</v>
      </c>
      <c r="AW21" s="293" t="s">
        <v>48</v>
      </c>
      <c r="AX21" s="295">
        <v>0</v>
      </c>
      <c r="AY21" s="296" t="s">
        <v>301</v>
      </c>
      <c r="AZ21" s="291" t="s">
        <v>48</v>
      </c>
      <c r="BA21" s="291" t="s">
        <v>48</v>
      </c>
      <c r="BB21" s="291" t="s">
        <v>48</v>
      </c>
      <c r="BC21" s="291" t="s">
        <v>48</v>
      </c>
      <c r="BD21" s="291" t="s">
        <v>48</v>
      </c>
      <c r="BE21" s="291" t="s">
        <v>48</v>
      </c>
      <c r="BF21" s="291" t="s">
        <v>48</v>
      </c>
      <c r="BG21" s="291" t="s">
        <v>48</v>
      </c>
      <c r="BH21" s="291" t="s">
        <v>48</v>
      </c>
      <c r="BI21" s="293" t="s">
        <v>48</v>
      </c>
      <c r="BJ21" s="293" t="s">
        <v>48</v>
      </c>
      <c r="BK21" s="293" t="s">
        <v>48</v>
      </c>
    </row>
    <row r="22" spans="1:63" x14ac:dyDescent="0.15">
      <c r="A22" s="285" t="s">
        <v>312</v>
      </c>
      <c r="B22" s="293" t="s">
        <v>48</v>
      </c>
      <c r="C22" s="293" t="s">
        <v>48</v>
      </c>
      <c r="D22" s="293">
        <v>14</v>
      </c>
      <c r="E22" s="293" t="s">
        <v>48</v>
      </c>
      <c r="F22" s="291">
        <v>20</v>
      </c>
      <c r="G22" s="293">
        <v>29</v>
      </c>
      <c r="H22" s="293">
        <v>16</v>
      </c>
      <c r="I22" s="293" t="s">
        <v>48</v>
      </c>
      <c r="J22" s="294" t="s">
        <v>48</v>
      </c>
      <c r="K22" s="294">
        <v>16</v>
      </c>
      <c r="L22" s="294">
        <v>39</v>
      </c>
      <c r="M22" s="293" t="s">
        <v>48</v>
      </c>
      <c r="N22" s="394">
        <v>28</v>
      </c>
      <c r="O22" s="293" t="s">
        <v>48</v>
      </c>
      <c r="P22" s="293" t="s">
        <v>48</v>
      </c>
      <c r="Q22" s="293" t="s">
        <v>48</v>
      </c>
      <c r="R22" s="288">
        <f t="shared" si="0"/>
        <v>162</v>
      </c>
      <c r="S22" s="296" t="s">
        <v>300</v>
      </c>
      <c r="T22" s="291" t="s">
        <v>48</v>
      </c>
      <c r="U22" s="291" t="s">
        <v>48</v>
      </c>
      <c r="V22" s="291" t="s">
        <v>48</v>
      </c>
      <c r="W22" s="291" t="s">
        <v>48</v>
      </c>
      <c r="X22" s="291" t="s">
        <v>48</v>
      </c>
      <c r="Y22" s="291" t="s">
        <v>48</v>
      </c>
      <c r="Z22" s="291" t="s">
        <v>48</v>
      </c>
      <c r="AA22" s="291" t="s">
        <v>48</v>
      </c>
      <c r="AB22" s="291" t="s">
        <v>48</v>
      </c>
      <c r="AC22" s="291" t="s">
        <v>48</v>
      </c>
      <c r="AD22" s="291" t="s">
        <v>48</v>
      </c>
      <c r="AE22" s="291" t="s">
        <v>48</v>
      </c>
      <c r="AF22" s="272"/>
      <c r="AG22" s="285" t="s">
        <v>312</v>
      </c>
      <c r="AH22" s="293" t="s">
        <v>48</v>
      </c>
      <c r="AI22" s="293" t="s">
        <v>48</v>
      </c>
      <c r="AJ22" s="293" t="s">
        <v>48</v>
      </c>
      <c r="AK22" s="293" t="s">
        <v>48</v>
      </c>
      <c r="AL22" s="293" t="s">
        <v>48</v>
      </c>
      <c r="AM22" s="293" t="s">
        <v>48</v>
      </c>
      <c r="AN22" s="293" t="s">
        <v>48</v>
      </c>
      <c r="AO22" s="293" t="s">
        <v>48</v>
      </c>
      <c r="AP22" s="293" t="s">
        <v>48</v>
      </c>
      <c r="AQ22" s="293" t="s">
        <v>48</v>
      </c>
      <c r="AR22" s="293" t="s">
        <v>48</v>
      </c>
      <c r="AS22" s="293" t="s">
        <v>48</v>
      </c>
      <c r="AT22" s="293" t="s">
        <v>48</v>
      </c>
      <c r="AU22" s="293" t="s">
        <v>48</v>
      </c>
      <c r="AV22" s="293" t="s">
        <v>48</v>
      </c>
      <c r="AW22" s="293" t="s">
        <v>48</v>
      </c>
      <c r="AX22" s="295">
        <v>0</v>
      </c>
      <c r="AY22" s="296" t="s">
        <v>301</v>
      </c>
      <c r="AZ22" s="291" t="s">
        <v>48</v>
      </c>
      <c r="BA22" s="291" t="s">
        <v>48</v>
      </c>
      <c r="BB22" s="291" t="s">
        <v>48</v>
      </c>
      <c r="BC22" s="291" t="s">
        <v>48</v>
      </c>
      <c r="BD22" s="291" t="s">
        <v>48</v>
      </c>
      <c r="BE22" s="291" t="s">
        <v>48</v>
      </c>
      <c r="BF22" s="291" t="s">
        <v>48</v>
      </c>
      <c r="BG22" s="291" t="s">
        <v>48</v>
      </c>
      <c r="BH22" s="291" t="s">
        <v>48</v>
      </c>
      <c r="BI22" s="291" t="s">
        <v>48</v>
      </c>
      <c r="BJ22" s="291" t="s">
        <v>48</v>
      </c>
      <c r="BK22" s="291" t="s">
        <v>48</v>
      </c>
    </row>
    <row r="23" spans="1:63" x14ac:dyDescent="0.15">
      <c r="A23" s="285" t="s">
        <v>313</v>
      </c>
      <c r="B23" s="293" t="s">
        <v>48</v>
      </c>
      <c r="C23" s="293" t="s">
        <v>48</v>
      </c>
      <c r="D23" s="293">
        <v>18</v>
      </c>
      <c r="E23" s="293" t="s">
        <v>48</v>
      </c>
      <c r="F23" s="291">
        <v>24</v>
      </c>
      <c r="G23" s="293" t="s">
        <v>48</v>
      </c>
      <c r="H23" s="293">
        <v>2</v>
      </c>
      <c r="I23" s="293" t="s">
        <v>48</v>
      </c>
      <c r="J23" s="294">
        <v>7</v>
      </c>
      <c r="K23" s="294" t="s">
        <v>48</v>
      </c>
      <c r="L23" s="294" t="s">
        <v>48</v>
      </c>
      <c r="M23" s="293" t="s">
        <v>48</v>
      </c>
      <c r="N23" s="395">
        <v>27</v>
      </c>
      <c r="O23" s="293" t="s">
        <v>48</v>
      </c>
      <c r="P23" s="293" t="s">
        <v>48</v>
      </c>
      <c r="Q23" s="293" t="s">
        <v>48</v>
      </c>
      <c r="R23" s="288">
        <f t="shared" si="0"/>
        <v>78</v>
      </c>
      <c r="S23" s="296" t="s">
        <v>300</v>
      </c>
      <c r="T23" s="291" t="s">
        <v>48</v>
      </c>
      <c r="U23" s="291" t="s">
        <v>48</v>
      </c>
      <c r="V23" s="291" t="s">
        <v>48</v>
      </c>
      <c r="W23" s="291" t="s">
        <v>48</v>
      </c>
      <c r="X23" s="291" t="s">
        <v>48</v>
      </c>
      <c r="Y23" s="291" t="s">
        <v>48</v>
      </c>
      <c r="Z23" s="291" t="s">
        <v>48</v>
      </c>
      <c r="AA23" s="291" t="s">
        <v>48</v>
      </c>
      <c r="AB23" s="291" t="s">
        <v>48</v>
      </c>
      <c r="AC23" s="291" t="s">
        <v>48</v>
      </c>
      <c r="AD23" s="291" t="s">
        <v>48</v>
      </c>
      <c r="AE23" s="291" t="s">
        <v>48</v>
      </c>
      <c r="AF23" s="272"/>
      <c r="AG23" s="285" t="s">
        <v>313</v>
      </c>
      <c r="AH23" s="293" t="s">
        <v>48</v>
      </c>
      <c r="AI23" s="293" t="s">
        <v>48</v>
      </c>
      <c r="AJ23" s="293" t="s">
        <v>48</v>
      </c>
      <c r="AK23" s="293" t="s">
        <v>48</v>
      </c>
      <c r="AL23" s="293" t="s">
        <v>48</v>
      </c>
      <c r="AM23" s="293" t="s">
        <v>48</v>
      </c>
      <c r="AN23" s="293" t="s">
        <v>48</v>
      </c>
      <c r="AO23" s="293" t="s">
        <v>48</v>
      </c>
      <c r="AP23" s="293" t="s">
        <v>48</v>
      </c>
      <c r="AQ23" s="293" t="s">
        <v>48</v>
      </c>
      <c r="AR23" s="293" t="s">
        <v>48</v>
      </c>
      <c r="AS23" s="293" t="s">
        <v>48</v>
      </c>
      <c r="AT23" s="293" t="s">
        <v>48</v>
      </c>
      <c r="AU23" s="293" t="s">
        <v>48</v>
      </c>
      <c r="AV23" s="293" t="s">
        <v>48</v>
      </c>
      <c r="AW23" s="293" t="s">
        <v>48</v>
      </c>
      <c r="AX23" s="295">
        <v>0</v>
      </c>
      <c r="AY23" s="296" t="s">
        <v>301</v>
      </c>
      <c r="AZ23" s="291" t="s">
        <v>48</v>
      </c>
      <c r="BA23" s="291" t="s">
        <v>48</v>
      </c>
      <c r="BB23" s="291" t="s">
        <v>48</v>
      </c>
      <c r="BC23" s="291" t="s">
        <v>48</v>
      </c>
      <c r="BD23" s="291" t="s">
        <v>48</v>
      </c>
      <c r="BE23" s="291" t="s">
        <v>48</v>
      </c>
      <c r="BF23" s="291" t="s">
        <v>48</v>
      </c>
      <c r="BG23" s="291" t="s">
        <v>48</v>
      </c>
      <c r="BH23" s="291" t="s">
        <v>48</v>
      </c>
      <c r="BI23" s="291" t="s">
        <v>48</v>
      </c>
      <c r="BJ23" s="291" t="s">
        <v>48</v>
      </c>
      <c r="BK23" s="291" t="s">
        <v>48</v>
      </c>
    </row>
    <row r="24" spans="1:63" x14ac:dyDescent="0.15">
      <c r="A24" s="285" t="s">
        <v>314</v>
      </c>
      <c r="B24" s="293" t="s">
        <v>48</v>
      </c>
      <c r="C24" s="293" t="s">
        <v>48</v>
      </c>
      <c r="D24" s="293" t="s">
        <v>48</v>
      </c>
      <c r="E24" s="293" t="s">
        <v>48</v>
      </c>
      <c r="F24" s="293" t="s">
        <v>48</v>
      </c>
      <c r="G24" s="293">
        <v>9</v>
      </c>
      <c r="H24" s="293" t="s">
        <v>48</v>
      </c>
      <c r="I24" s="293" t="s">
        <v>48</v>
      </c>
      <c r="J24" s="294" t="s">
        <v>48</v>
      </c>
      <c r="K24" s="294" t="s">
        <v>48</v>
      </c>
      <c r="L24" s="294">
        <v>15</v>
      </c>
      <c r="M24" s="293" t="s">
        <v>48</v>
      </c>
      <c r="N24" s="395">
        <v>29</v>
      </c>
      <c r="O24" s="293" t="s">
        <v>48</v>
      </c>
      <c r="P24" s="293" t="s">
        <v>48</v>
      </c>
      <c r="Q24" s="293" t="s">
        <v>48</v>
      </c>
      <c r="R24" s="288">
        <f t="shared" si="0"/>
        <v>53</v>
      </c>
      <c r="S24" s="296" t="s">
        <v>300</v>
      </c>
      <c r="T24" s="291" t="s">
        <v>48</v>
      </c>
      <c r="U24" s="291" t="s">
        <v>48</v>
      </c>
      <c r="V24" s="291" t="s">
        <v>48</v>
      </c>
      <c r="W24" s="291" t="s">
        <v>48</v>
      </c>
      <c r="X24" s="291" t="s">
        <v>48</v>
      </c>
      <c r="Y24" s="291" t="s">
        <v>48</v>
      </c>
      <c r="Z24" s="291" t="s">
        <v>48</v>
      </c>
      <c r="AA24" s="291" t="s">
        <v>48</v>
      </c>
      <c r="AB24" s="291" t="s">
        <v>48</v>
      </c>
      <c r="AC24" s="291" t="s">
        <v>48</v>
      </c>
      <c r="AD24" s="291" t="s">
        <v>48</v>
      </c>
      <c r="AE24" s="291" t="s">
        <v>48</v>
      </c>
      <c r="AF24" s="272"/>
      <c r="AG24" s="285" t="s">
        <v>314</v>
      </c>
      <c r="AH24" s="293" t="s">
        <v>48</v>
      </c>
      <c r="AI24" s="293" t="s">
        <v>48</v>
      </c>
      <c r="AJ24" s="293" t="s">
        <v>48</v>
      </c>
      <c r="AK24" s="293" t="s">
        <v>48</v>
      </c>
      <c r="AL24" s="293" t="s">
        <v>48</v>
      </c>
      <c r="AM24" s="293" t="s">
        <v>48</v>
      </c>
      <c r="AN24" s="293" t="s">
        <v>48</v>
      </c>
      <c r="AO24" s="293" t="s">
        <v>48</v>
      </c>
      <c r="AP24" s="293" t="s">
        <v>48</v>
      </c>
      <c r="AQ24" s="293" t="s">
        <v>48</v>
      </c>
      <c r="AR24" s="293" t="s">
        <v>48</v>
      </c>
      <c r="AS24" s="293" t="s">
        <v>48</v>
      </c>
      <c r="AT24" s="293" t="s">
        <v>48</v>
      </c>
      <c r="AU24" s="293" t="s">
        <v>48</v>
      </c>
      <c r="AV24" s="293" t="s">
        <v>48</v>
      </c>
      <c r="AW24" s="293" t="s">
        <v>48</v>
      </c>
      <c r="AX24" s="295">
        <v>0</v>
      </c>
      <c r="AY24" s="296" t="s">
        <v>301</v>
      </c>
      <c r="AZ24" s="291" t="s">
        <v>48</v>
      </c>
      <c r="BA24" s="291" t="s">
        <v>48</v>
      </c>
      <c r="BB24" s="291" t="s">
        <v>48</v>
      </c>
      <c r="BC24" s="291" t="s">
        <v>48</v>
      </c>
      <c r="BD24" s="291" t="s">
        <v>48</v>
      </c>
      <c r="BE24" s="291" t="s">
        <v>48</v>
      </c>
      <c r="BF24" s="291" t="s">
        <v>48</v>
      </c>
      <c r="BG24" s="291" t="s">
        <v>48</v>
      </c>
      <c r="BH24" s="291" t="s">
        <v>48</v>
      </c>
      <c r="BI24" s="291" t="s">
        <v>48</v>
      </c>
      <c r="BJ24" s="291" t="s">
        <v>48</v>
      </c>
      <c r="BK24" s="291" t="s">
        <v>48</v>
      </c>
    </row>
    <row r="25" spans="1:63" x14ac:dyDescent="0.15">
      <c r="A25" s="285" t="s">
        <v>315</v>
      </c>
      <c r="B25" s="293" t="s">
        <v>48</v>
      </c>
      <c r="C25" s="293" t="s">
        <v>48</v>
      </c>
      <c r="D25" s="293">
        <v>15</v>
      </c>
      <c r="E25" s="293" t="s">
        <v>48</v>
      </c>
      <c r="F25" s="291">
        <v>15</v>
      </c>
      <c r="G25" s="293">
        <v>15</v>
      </c>
      <c r="H25" s="293">
        <v>12</v>
      </c>
      <c r="I25" s="293" t="s">
        <v>48</v>
      </c>
      <c r="J25" s="294">
        <v>12</v>
      </c>
      <c r="K25" s="294">
        <v>20</v>
      </c>
      <c r="L25" s="294">
        <v>15</v>
      </c>
      <c r="M25" s="293" t="s">
        <v>48</v>
      </c>
      <c r="N25" s="395">
        <v>9</v>
      </c>
      <c r="O25" s="293" t="s">
        <v>48</v>
      </c>
      <c r="P25" s="293" t="s">
        <v>48</v>
      </c>
      <c r="Q25" s="293" t="s">
        <v>48</v>
      </c>
      <c r="R25" s="288">
        <f t="shared" si="0"/>
        <v>113</v>
      </c>
      <c r="S25" s="296" t="s">
        <v>300</v>
      </c>
      <c r="T25" s="291" t="s">
        <v>48</v>
      </c>
      <c r="U25" s="291" t="s">
        <v>48</v>
      </c>
      <c r="V25" s="291" t="s">
        <v>48</v>
      </c>
      <c r="W25" s="291" t="s">
        <v>48</v>
      </c>
      <c r="X25" s="291" t="s">
        <v>48</v>
      </c>
      <c r="Y25" s="291" t="s">
        <v>48</v>
      </c>
      <c r="Z25" s="291" t="s">
        <v>48</v>
      </c>
      <c r="AA25" s="291" t="s">
        <v>48</v>
      </c>
      <c r="AB25" s="291" t="s">
        <v>48</v>
      </c>
      <c r="AC25" s="291" t="s">
        <v>48</v>
      </c>
      <c r="AD25" s="291" t="s">
        <v>48</v>
      </c>
      <c r="AE25" s="291" t="s">
        <v>48</v>
      </c>
      <c r="AF25" s="272"/>
      <c r="AG25" s="285" t="s">
        <v>315</v>
      </c>
      <c r="AH25" s="293" t="s">
        <v>48</v>
      </c>
      <c r="AI25" s="293" t="s">
        <v>48</v>
      </c>
      <c r="AJ25" s="293" t="s">
        <v>48</v>
      </c>
      <c r="AK25" s="293" t="s">
        <v>48</v>
      </c>
      <c r="AL25" s="293" t="s">
        <v>48</v>
      </c>
      <c r="AM25" s="293" t="s">
        <v>48</v>
      </c>
      <c r="AN25" s="293" t="s">
        <v>48</v>
      </c>
      <c r="AO25" s="293" t="s">
        <v>48</v>
      </c>
      <c r="AP25" s="293" t="s">
        <v>48</v>
      </c>
      <c r="AQ25" s="293" t="s">
        <v>48</v>
      </c>
      <c r="AR25" s="293" t="s">
        <v>48</v>
      </c>
      <c r="AS25" s="293" t="s">
        <v>48</v>
      </c>
      <c r="AT25" s="293" t="s">
        <v>48</v>
      </c>
      <c r="AU25" s="293" t="s">
        <v>48</v>
      </c>
      <c r="AV25" s="293" t="s">
        <v>48</v>
      </c>
      <c r="AW25" s="293" t="s">
        <v>48</v>
      </c>
      <c r="AX25" s="295">
        <v>0</v>
      </c>
      <c r="AY25" s="296" t="s">
        <v>301</v>
      </c>
      <c r="AZ25" s="291" t="s">
        <v>48</v>
      </c>
      <c r="BA25" s="291" t="s">
        <v>48</v>
      </c>
      <c r="BB25" s="291" t="s">
        <v>48</v>
      </c>
      <c r="BC25" s="291" t="s">
        <v>48</v>
      </c>
      <c r="BD25" s="291" t="s">
        <v>48</v>
      </c>
      <c r="BE25" s="291" t="s">
        <v>48</v>
      </c>
      <c r="BF25" s="291" t="s">
        <v>48</v>
      </c>
      <c r="BG25" s="291" t="s">
        <v>48</v>
      </c>
      <c r="BH25" s="291" t="s">
        <v>48</v>
      </c>
      <c r="BI25" s="291" t="s">
        <v>48</v>
      </c>
      <c r="BJ25" s="291" t="s">
        <v>48</v>
      </c>
      <c r="BK25" s="291" t="s">
        <v>48</v>
      </c>
    </row>
    <row r="26" spans="1:63" x14ac:dyDescent="0.15">
      <c r="A26" s="285" t="s">
        <v>316</v>
      </c>
      <c r="B26" s="293" t="s">
        <v>48</v>
      </c>
      <c r="C26" s="293" t="s">
        <v>48</v>
      </c>
      <c r="D26" s="293">
        <v>24</v>
      </c>
      <c r="E26" s="293" t="s">
        <v>48</v>
      </c>
      <c r="F26" s="293" t="s">
        <v>48</v>
      </c>
      <c r="G26" s="293">
        <v>20</v>
      </c>
      <c r="H26" s="293">
        <v>15</v>
      </c>
      <c r="I26" s="293" t="s">
        <v>48</v>
      </c>
      <c r="J26" s="294" t="s">
        <v>48</v>
      </c>
      <c r="K26" s="294">
        <v>19</v>
      </c>
      <c r="L26" s="294">
        <v>5</v>
      </c>
      <c r="M26" s="293" t="s">
        <v>48</v>
      </c>
      <c r="N26" s="395">
        <v>8</v>
      </c>
      <c r="O26" s="293" t="s">
        <v>48</v>
      </c>
      <c r="P26" s="293" t="s">
        <v>48</v>
      </c>
      <c r="Q26" s="293" t="s">
        <v>48</v>
      </c>
      <c r="R26" s="288">
        <f t="shared" si="0"/>
        <v>91</v>
      </c>
      <c r="S26" s="296" t="s">
        <v>300</v>
      </c>
      <c r="T26" s="291" t="s">
        <v>48</v>
      </c>
      <c r="U26" s="291" t="s">
        <v>48</v>
      </c>
      <c r="V26" s="291" t="s">
        <v>48</v>
      </c>
      <c r="W26" s="291" t="s">
        <v>48</v>
      </c>
      <c r="X26" s="291" t="s">
        <v>48</v>
      </c>
      <c r="Y26" s="291" t="s">
        <v>48</v>
      </c>
      <c r="Z26" s="291" t="s">
        <v>48</v>
      </c>
      <c r="AA26" s="291" t="s">
        <v>48</v>
      </c>
      <c r="AB26" s="291" t="s">
        <v>48</v>
      </c>
      <c r="AC26" s="291" t="s">
        <v>48</v>
      </c>
      <c r="AD26" s="291" t="s">
        <v>48</v>
      </c>
      <c r="AE26" s="291" t="s">
        <v>48</v>
      </c>
      <c r="AF26" s="272"/>
      <c r="AG26" s="285" t="s">
        <v>316</v>
      </c>
      <c r="AH26" s="293" t="s">
        <v>48</v>
      </c>
      <c r="AI26" s="293" t="s">
        <v>48</v>
      </c>
      <c r="AJ26" s="293" t="s">
        <v>48</v>
      </c>
      <c r="AK26" s="293" t="s">
        <v>48</v>
      </c>
      <c r="AL26" s="293" t="s">
        <v>48</v>
      </c>
      <c r="AM26" s="293" t="s">
        <v>48</v>
      </c>
      <c r="AN26" s="293" t="s">
        <v>48</v>
      </c>
      <c r="AO26" s="293" t="s">
        <v>48</v>
      </c>
      <c r="AP26" s="293" t="s">
        <v>48</v>
      </c>
      <c r="AQ26" s="293" t="s">
        <v>48</v>
      </c>
      <c r="AR26" s="293" t="s">
        <v>48</v>
      </c>
      <c r="AS26" s="293" t="s">
        <v>48</v>
      </c>
      <c r="AT26" s="293" t="s">
        <v>48</v>
      </c>
      <c r="AU26" s="293" t="s">
        <v>48</v>
      </c>
      <c r="AV26" s="293" t="s">
        <v>48</v>
      </c>
      <c r="AW26" s="293" t="s">
        <v>48</v>
      </c>
      <c r="AX26" s="295">
        <v>0</v>
      </c>
      <c r="AY26" s="296" t="s">
        <v>301</v>
      </c>
      <c r="AZ26" s="291" t="s">
        <v>48</v>
      </c>
      <c r="BA26" s="291" t="s">
        <v>48</v>
      </c>
      <c r="BB26" s="291" t="s">
        <v>48</v>
      </c>
      <c r="BC26" s="291" t="s">
        <v>48</v>
      </c>
      <c r="BD26" s="291" t="s">
        <v>48</v>
      </c>
      <c r="BE26" s="291" t="s">
        <v>48</v>
      </c>
      <c r="BF26" s="291" t="s">
        <v>48</v>
      </c>
      <c r="BG26" s="291" t="s">
        <v>48</v>
      </c>
      <c r="BH26" s="291" t="s">
        <v>48</v>
      </c>
      <c r="BI26" s="291" t="s">
        <v>48</v>
      </c>
      <c r="BJ26" s="291" t="s">
        <v>48</v>
      </c>
      <c r="BK26" s="291" t="s">
        <v>48</v>
      </c>
    </row>
    <row r="27" spans="1:63" x14ac:dyDescent="0.15">
      <c r="A27" s="285" t="s">
        <v>317</v>
      </c>
      <c r="B27" s="293" t="s">
        <v>48</v>
      </c>
      <c r="C27" s="293" t="s">
        <v>48</v>
      </c>
      <c r="D27" s="293" t="s">
        <v>48</v>
      </c>
      <c r="E27" s="293" t="s">
        <v>48</v>
      </c>
      <c r="F27" s="293" t="s">
        <v>48</v>
      </c>
      <c r="G27" s="293">
        <v>59</v>
      </c>
      <c r="H27" s="293">
        <v>17</v>
      </c>
      <c r="I27" s="293" t="s">
        <v>48</v>
      </c>
      <c r="J27" s="294">
        <v>9</v>
      </c>
      <c r="K27" s="294">
        <v>25</v>
      </c>
      <c r="L27" s="294">
        <v>26</v>
      </c>
      <c r="M27" s="293" t="s">
        <v>48</v>
      </c>
      <c r="N27" s="394">
        <v>20</v>
      </c>
      <c r="O27" s="293" t="s">
        <v>48</v>
      </c>
      <c r="P27" s="293" t="s">
        <v>48</v>
      </c>
      <c r="Q27" s="293" t="s">
        <v>48</v>
      </c>
      <c r="R27" s="288">
        <f t="shared" si="0"/>
        <v>156</v>
      </c>
      <c r="S27" s="296" t="s">
        <v>300</v>
      </c>
      <c r="T27" s="291" t="s">
        <v>48</v>
      </c>
      <c r="U27" s="291" t="s">
        <v>48</v>
      </c>
      <c r="V27" s="291" t="s">
        <v>48</v>
      </c>
      <c r="W27" s="291" t="s">
        <v>48</v>
      </c>
      <c r="X27" s="291" t="s">
        <v>48</v>
      </c>
      <c r="Y27" s="291" t="s">
        <v>48</v>
      </c>
      <c r="Z27" s="291" t="s">
        <v>48</v>
      </c>
      <c r="AA27" s="291" t="s">
        <v>48</v>
      </c>
      <c r="AB27" s="291" t="s">
        <v>48</v>
      </c>
      <c r="AC27" s="291" t="s">
        <v>48</v>
      </c>
      <c r="AD27" s="291" t="s">
        <v>48</v>
      </c>
      <c r="AE27" s="291" t="s">
        <v>48</v>
      </c>
      <c r="AF27" s="272"/>
      <c r="AG27" s="285" t="s">
        <v>317</v>
      </c>
      <c r="AH27" s="293" t="s">
        <v>48</v>
      </c>
      <c r="AI27" s="293" t="s">
        <v>48</v>
      </c>
      <c r="AJ27" s="293" t="s">
        <v>48</v>
      </c>
      <c r="AK27" s="293" t="s">
        <v>48</v>
      </c>
      <c r="AL27" s="293" t="s">
        <v>48</v>
      </c>
      <c r="AM27" s="293" t="s">
        <v>48</v>
      </c>
      <c r="AN27" s="293" t="s">
        <v>48</v>
      </c>
      <c r="AO27" s="293" t="s">
        <v>48</v>
      </c>
      <c r="AP27" s="293" t="s">
        <v>48</v>
      </c>
      <c r="AQ27" s="293" t="s">
        <v>48</v>
      </c>
      <c r="AR27" s="293" t="s">
        <v>48</v>
      </c>
      <c r="AS27" s="293" t="s">
        <v>48</v>
      </c>
      <c r="AT27" s="293" t="s">
        <v>48</v>
      </c>
      <c r="AU27" s="293" t="s">
        <v>48</v>
      </c>
      <c r="AV27" s="293" t="s">
        <v>48</v>
      </c>
      <c r="AW27" s="293" t="s">
        <v>48</v>
      </c>
      <c r="AX27" s="295">
        <v>0</v>
      </c>
      <c r="AY27" s="296" t="s">
        <v>301</v>
      </c>
      <c r="AZ27" s="291" t="s">
        <v>48</v>
      </c>
      <c r="BA27" s="291" t="s">
        <v>48</v>
      </c>
      <c r="BB27" s="291" t="s">
        <v>48</v>
      </c>
      <c r="BC27" s="291" t="s">
        <v>48</v>
      </c>
      <c r="BD27" s="291" t="s">
        <v>48</v>
      </c>
      <c r="BE27" s="291" t="s">
        <v>48</v>
      </c>
      <c r="BF27" s="291" t="s">
        <v>48</v>
      </c>
      <c r="BG27" s="291" t="s">
        <v>48</v>
      </c>
      <c r="BH27" s="291" t="s">
        <v>48</v>
      </c>
      <c r="BI27" s="291" t="s">
        <v>48</v>
      </c>
      <c r="BJ27" s="291" t="s">
        <v>48</v>
      </c>
      <c r="BK27" s="291" t="s">
        <v>48</v>
      </c>
    </row>
    <row r="28" spans="1:63" x14ac:dyDescent="0.15">
      <c r="A28" s="285" t="s">
        <v>318</v>
      </c>
      <c r="B28" s="293" t="s">
        <v>48</v>
      </c>
      <c r="C28" s="293" t="s">
        <v>48</v>
      </c>
      <c r="D28" s="293">
        <v>6</v>
      </c>
      <c r="E28" s="293" t="s">
        <v>48</v>
      </c>
      <c r="F28" s="293" t="s">
        <v>48</v>
      </c>
      <c r="G28" s="293">
        <v>13</v>
      </c>
      <c r="H28" s="293" t="s">
        <v>48</v>
      </c>
      <c r="I28" s="293" t="s">
        <v>48</v>
      </c>
      <c r="J28" s="294">
        <v>14</v>
      </c>
      <c r="K28" s="294" t="s">
        <v>48</v>
      </c>
      <c r="L28" s="294" t="s">
        <v>48</v>
      </c>
      <c r="M28" s="293" t="s">
        <v>48</v>
      </c>
      <c r="N28" s="395">
        <v>9</v>
      </c>
      <c r="O28" s="293" t="s">
        <v>48</v>
      </c>
      <c r="P28" s="293" t="s">
        <v>48</v>
      </c>
      <c r="Q28" s="293" t="s">
        <v>48</v>
      </c>
      <c r="R28" s="288">
        <f t="shared" si="0"/>
        <v>42</v>
      </c>
      <c r="S28" s="296" t="s">
        <v>300</v>
      </c>
      <c r="T28" s="291" t="s">
        <v>48</v>
      </c>
      <c r="U28" s="291" t="s">
        <v>48</v>
      </c>
      <c r="V28" s="291" t="s">
        <v>48</v>
      </c>
      <c r="W28" s="291" t="s">
        <v>48</v>
      </c>
      <c r="X28" s="291" t="s">
        <v>48</v>
      </c>
      <c r="Y28" s="291" t="s">
        <v>48</v>
      </c>
      <c r="Z28" s="291" t="s">
        <v>48</v>
      </c>
      <c r="AA28" s="291" t="s">
        <v>48</v>
      </c>
      <c r="AB28" s="291" t="s">
        <v>48</v>
      </c>
      <c r="AC28" s="291" t="s">
        <v>48</v>
      </c>
      <c r="AD28" s="291" t="s">
        <v>48</v>
      </c>
      <c r="AE28" s="291" t="s">
        <v>48</v>
      </c>
      <c r="AF28" s="272"/>
      <c r="AG28" s="285" t="s">
        <v>318</v>
      </c>
      <c r="AH28" s="293" t="s">
        <v>48</v>
      </c>
      <c r="AI28" s="293" t="s">
        <v>48</v>
      </c>
      <c r="AJ28" s="293" t="s">
        <v>48</v>
      </c>
      <c r="AK28" s="293" t="s">
        <v>48</v>
      </c>
      <c r="AL28" s="293" t="s">
        <v>48</v>
      </c>
      <c r="AM28" s="293" t="s">
        <v>48</v>
      </c>
      <c r="AN28" s="293" t="s">
        <v>48</v>
      </c>
      <c r="AO28" s="293" t="s">
        <v>48</v>
      </c>
      <c r="AP28" s="293" t="s">
        <v>48</v>
      </c>
      <c r="AQ28" s="293" t="s">
        <v>48</v>
      </c>
      <c r="AR28" s="293" t="s">
        <v>48</v>
      </c>
      <c r="AS28" s="293" t="s">
        <v>48</v>
      </c>
      <c r="AT28" s="293" t="s">
        <v>48</v>
      </c>
      <c r="AU28" s="293" t="s">
        <v>48</v>
      </c>
      <c r="AV28" s="293" t="s">
        <v>48</v>
      </c>
      <c r="AW28" s="293" t="s">
        <v>48</v>
      </c>
      <c r="AX28" s="295">
        <v>0</v>
      </c>
      <c r="AY28" s="296" t="s">
        <v>301</v>
      </c>
      <c r="AZ28" s="291" t="s">
        <v>48</v>
      </c>
      <c r="BA28" s="291" t="s">
        <v>48</v>
      </c>
      <c r="BB28" s="291" t="s">
        <v>48</v>
      </c>
      <c r="BC28" s="291" t="s">
        <v>48</v>
      </c>
      <c r="BD28" s="291" t="s">
        <v>48</v>
      </c>
      <c r="BE28" s="291" t="s">
        <v>48</v>
      </c>
      <c r="BF28" s="291" t="s">
        <v>48</v>
      </c>
      <c r="BG28" s="291" t="s">
        <v>48</v>
      </c>
      <c r="BH28" s="291" t="s">
        <v>48</v>
      </c>
      <c r="BI28" s="291" t="s">
        <v>48</v>
      </c>
      <c r="BJ28" s="291" t="s">
        <v>48</v>
      </c>
      <c r="BK28" s="291" t="s">
        <v>48</v>
      </c>
    </row>
    <row r="29" spans="1:63" x14ac:dyDescent="0.15">
      <c r="A29" s="285" t="s">
        <v>319</v>
      </c>
      <c r="B29" s="293" t="s">
        <v>48</v>
      </c>
      <c r="C29" s="293" t="s">
        <v>48</v>
      </c>
      <c r="D29" s="293" t="s">
        <v>48</v>
      </c>
      <c r="E29" s="293" t="s">
        <v>48</v>
      </c>
      <c r="F29" s="293" t="s">
        <v>48</v>
      </c>
      <c r="G29" s="293">
        <v>39</v>
      </c>
      <c r="H29" s="293">
        <v>31</v>
      </c>
      <c r="I29" s="293" t="s">
        <v>48</v>
      </c>
      <c r="J29" s="294" t="s">
        <v>48</v>
      </c>
      <c r="K29" s="294">
        <v>10</v>
      </c>
      <c r="L29" s="294">
        <v>17</v>
      </c>
      <c r="M29" s="293" t="s">
        <v>48</v>
      </c>
      <c r="N29" s="395">
        <v>30</v>
      </c>
      <c r="O29" s="293" t="s">
        <v>48</v>
      </c>
      <c r="P29" s="293" t="s">
        <v>48</v>
      </c>
      <c r="Q29" s="293" t="s">
        <v>48</v>
      </c>
      <c r="R29" s="288">
        <f t="shared" si="0"/>
        <v>127</v>
      </c>
      <c r="S29" s="296" t="s">
        <v>300</v>
      </c>
      <c r="T29" s="291" t="s">
        <v>48</v>
      </c>
      <c r="U29" s="291" t="s">
        <v>48</v>
      </c>
      <c r="V29" s="291" t="s">
        <v>48</v>
      </c>
      <c r="W29" s="291" t="s">
        <v>48</v>
      </c>
      <c r="X29" s="291" t="s">
        <v>48</v>
      </c>
      <c r="Y29" s="291" t="s">
        <v>48</v>
      </c>
      <c r="Z29" s="291" t="s">
        <v>48</v>
      </c>
      <c r="AA29" s="291" t="s">
        <v>48</v>
      </c>
      <c r="AB29" s="291" t="s">
        <v>48</v>
      </c>
      <c r="AC29" s="291" t="s">
        <v>48</v>
      </c>
      <c r="AD29" s="291" t="s">
        <v>48</v>
      </c>
      <c r="AE29" s="291" t="s">
        <v>48</v>
      </c>
      <c r="AF29" s="272"/>
      <c r="AG29" s="285" t="s">
        <v>319</v>
      </c>
      <c r="AH29" s="293" t="s">
        <v>48</v>
      </c>
      <c r="AI29" s="293" t="s">
        <v>48</v>
      </c>
      <c r="AJ29" s="293" t="s">
        <v>48</v>
      </c>
      <c r="AK29" s="293" t="s">
        <v>48</v>
      </c>
      <c r="AL29" s="293" t="s">
        <v>48</v>
      </c>
      <c r="AM29" s="293" t="s">
        <v>48</v>
      </c>
      <c r="AN29" s="293" t="s">
        <v>48</v>
      </c>
      <c r="AO29" s="293" t="s">
        <v>48</v>
      </c>
      <c r="AP29" s="293" t="s">
        <v>48</v>
      </c>
      <c r="AQ29" s="293" t="s">
        <v>48</v>
      </c>
      <c r="AR29" s="293" t="s">
        <v>48</v>
      </c>
      <c r="AS29" s="293" t="s">
        <v>48</v>
      </c>
      <c r="AT29" s="293" t="s">
        <v>48</v>
      </c>
      <c r="AU29" s="293" t="s">
        <v>48</v>
      </c>
      <c r="AV29" s="293" t="s">
        <v>48</v>
      </c>
      <c r="AW29" s="293" t="s">
        <v>48</v>
      </c>
      <c r="AX29" s="295">
        <v>0</v>
      </c>
      <c r="AY29" s="296" t="s">
        <v>301</v>
      </c>
      <c r="AZ29" s="291" t="s">
        <v>48</v>
      </c>
      <c r="BA29" s="291" t="s">
        <v>48</v>
      </c>
      <c r="BB29" s="291" t="s">
        <v>48</v>
      </c>
      <c r="BC29" s="291" t="s">
        <v>48</v>
      </c>
      <c r="BD29" s="291" t="s">
        <v>48</v>
      </c>
      <c r="BE29" s="291" t="s">
        <v>48</v>
      </c>
      <c r="BF29" s="291" t="s">
        <v>48</v>
      </c>
      <c r="BG29" s="291" t="s">
        <v>48</v>
      </c>
      <c r="BH29" s="291" t="s">
        <v>48</v>
      </c>
      <c r="BI29" s="291" t="s">
        <v>48</v>
      </c>
      <c r="BJ29" s="291" t="s">
        <v>48</v>
      </c>
      <c r="BK29" s="291" t="s">
        <v>48</v>
      </c>
    </row>
    <row r="30" spans="1:63" x14ac:dyDescent="0.15">
      <c r="A30" s="285" t="s">
        <v>320</v>
      </c>
      <c r="B30" s="293" t="s">
        <v>48</v>
      </c>
      <c r="C30" s="293" t="s">
        <v>48</v>
      </c>
      <c r="D30" s="293">
        <v>15</v>
      </c>
      <c r="E30" s="293" t="s">
        <v>48</v>
      </c>
      <c r="F30" s="291">
        <v>17</v>
      </c>
      <c r="G30" s="293">
        <v>29</v>
      </c>
      <c r="H30" s="293">
        <v>40</v>
      </c>
      <c r="I30" s="293" t="s">
        <v>48</v>
      </c>
      <c r="J30" s="294">
        <v>15</v>
      </c>
      <c r="K30" s="294">
        <v>45</v>
      </c>
      <c r="L30" s="294">
        <v>33</v>
      </c>
      <c r="M30" s="293" t="s">
        <v>48</v>
      </c>
      <c r="N30" s="395">
        <f>24+34</f>
        <v>58</v>
      </c>
      <c r="O30" s="293" t="s">
        <v>48</v>
      </c>
      <c r="P30" s="293" t="s">
        <v>48</v>
      </c>
      <c r="Q30" s="293" t="s">
        <v>48</v>
      </c>
      <c r="R30" s="288">
        <f t="shared" si="0"/>
        <v>252</v>
      </c>
      <c r="S30" s="296" t="s">
        <v>300</v>
      </c>
      <c r="T30" s="291" t="s">
        <v>48</v>
      </c>
      <c r="U30" s="291" t="s">
        <v>48</v>
      </c>
      <c r="V30" s="291" t="s">
        <v>48</v>
      </c>
      <c r="W30" s="291" t="s">
        <v>48</v>
      </c>
      <c r="X30" s="291" t="s">
        <v>48</v>
      </c>
      <c r="Y30" s="291" t="s">
        <v>48</v>
      </c>
      <c r="Z30" s="291" t="s">
        <v>48</v>
      </c>
      <c r="AA30" s="291" t="s">
        <v>48</v>
      </c>
      <c r="AB30" s="291" t="s">
        <v>48</v>
      </c>
      <c r="AC30" s="291" t="s">
        <v>48</v>
      </c>
      <c r="AD30" s="291" t="s">
        <v>48</v>
      </c>
      <c r="AE30" s="291" t="s">
        <v>48</v>
      </c>
      <c r="AF30" s="272"/>
      <c r="AG30" s="285" t="s">
        <v>320</v>
      </c>
      <c r="AH30" s="293" t="s">
        <v>48</v>
      </c>
      <c r="AI30" s="293" t="s">
        <v>48</v>
      </c>
      <c r="AJ30" s="293" t="s">
        <v>48</v>
      </c>
      <c r="AK30" s="293" t="s">
        <v>48</v>
      </c>
      <c r="AL30" s="293" t="s">
        <v>48</v>
      </c>
      <c r="AM30" s="293" t="s">
        <v>48</v>
      </c>
      <c r="AN30" s="293" t="s">
        <v>48</v>
      </c>
      <c r="AO30" s="293" t="s">
        <v>48</v>
      </c>
      <c r="AP30" s="293" t="s">
        <v>48</v>
      </c>
      <c r="AQ30" s="293" t="s">
        <v>48</v>
      </c>
      <c r="AR30" s="293" t="s">
        <v>48</v>
      </c>
      <c r="AS30" s="293" t="s">
        <v>48</v>
      </c>
      <c r="AT30" s="293" t="s">
        <v>48</v>
      </c>
      <c r="AU30" s="293" t="s">
        <v>48</v>
      </c>
      <c r="AV30" s="293" t="s">
        <v>48</v>
      </c>
      <c r="AW30" s="293" t="s">
        <v>48</v>
      </c>
      <c r="AX30" s="295">
        <v>0</v>
      </c>
      <c r="AY30" s="296" t="s">
        <v>301</v>
      </c>
      <c r="AZ30" s="291" t="s">
        <v>48</v>
      </c>
      <c r="BA30" s="291" t="s">
        <v>48</v>
      </c>
      <c r="BB30" s="291" t="s">
        <v>48</v>
      </c>
      <c r="BC30" s="291" t="s">
        <v>48</v>
      </c>
      <c r="BD30" s="291" t="s">
        <v>48</v>
      </c>
      <c r="BE30" s="291" t="s">
        <v>48</v>
      </c>
      <c r="BF30" s="291" t="s">
        <v>48</v>
      </c>
      <c r="BG30" s="291" t="s">
        <v>48</v>
      </c>
      <c r="BH30" s="291" t="s">
        <v>48</v>
      </c>
      <c r="BI30" s="291" t="s">
        <v>48</v>
      </c>
      <c r="BJ30" s="291" t="s">
        <v>48</v>
      </c>
      <c r="BK30" s="291" t="s">
        <v>48</v>
      </c>
    </row>
    <row r="31" spans="1:63" x14ac:dyDescent="0.15">
      <c r="A31" s="285" t="s">
        <v>321</v>
      </c>
      <c r="B31" s="293" t="s">
        <v>48</v>
      </c>
      <c r="C31" s="293" t="s">
        <v>48</v>
      </c>
      <c r="D31" s="293" t="s">
        <v>48</v>
      </c>
      <c r="E31" s="293" t="s">
        <v>48</v>
      </c>
      <c r="F31" s="293" t="s">
        <v>48</v>
      </c>
      <c r="G31" s="293" t="s">
        <v>48</v>
      </c>
      <c r="H31" s="293" t="s">
        <v>48</v>
      </c>
      <c r="I31" s="293" t="s">
        <v>48</v>
      </c>
      <c r="J31" s="294" t="s">
        <v>48</v>
      </c>
      <c r="K31" s="294" t="s">
        <v>48</v>
      </c>
      <c r="L31" s="294" t="s">
        <v>48</v>
      </c>
      <c r="M31" s="293" t="s">
        <v>48</v>
      </c>
      <c r="N31" s="395"/>
      <c r="O31" s="293" t="s">
        <v>48</v>
      </c>
      <c r="P31" s="293" t="s">
        <v>48</v>
      </c>
      <c r="Q31" s="293" t="s">
        <v>48</v>
      </c>
      <c r="R31" s="288">
        <f t="shared" si="0"/>
        <v>0</v>
      </c>
      <c r="S31" s="296" t="s">
        <v>300</v>
      </c>
      <c r="T31" s="291" t="s">
        <v>48</v>
      </c>
      <c r="U31" s="291" t="s">
        <v>48</v>
      </c>
      <c r="V31" s="291" t="s">
        <v>48</v>
      </c>
      <c r="W31" s="291" t="s">
        <v>48</v>
      </c>
      <c r="X31" s="291" t="s">
        <v>48</v>
      </c>
      <c r="Y31" s="291" t="s">
        <v>48</v>
      </c>
      <c r="Z31" s="291" t="s">
        <v>48</v>
      </c>
      <c r="AA31" s="291" t="s">
        <v>48</v>
      </c>
      <c r="AB31" s="291" t="s">
        <v>48</v>
      </c>
      <c r="AC31" s="291" t="s">
        <v>48</v>
      </c>
      <c r="AD31" s="291" t="s">
        <v>48</v>
      </c>
      <c r="AE31" s="291" t="s">
        <v>48</v>
      </c>
      <c r="AF31" s="272"/>
      <c r="AG31" s="285" t="s">
        <v>321</v>
      </c>
      <c r="AH31" s="293" t="s">
        <v>48</v>
      </c>
      <c r="AI31" s="293" t="s">
        <v>48</v>
      </c>
      <c r="AJ31" s="293" t="s">
        <v>48</v>
      </c>
      <c r="AK31" s="293" t="s">
        <v>48</v>
      </c>
      <c r="AL31" s="293" t="s">
        <v>48</v>
      </c>
      <c r="AM31" s="293" t="s">
        <v>48</v>
      </c>
      <c r="AN31" s="293" t="s">
        <v>48</v>
      </c>
      <c r="AO31" s="293" t="s">
        <v>48</v>
      </c>
      <c r="AP31" s="293" t="s">
        <v>48</v>
      </c>
      <c r="AQ31" s="293" t="s">
        <v>48</v>
      </c>
      <c r="AR31" s="293" t="s">
        <v>48</v>
      </c>
      <c r="AS31" s="293" t="s">
        <v>48</v>
      </c>
      <c r="AT31" s="293" t="s">
        <v>48</v>
      </c>
      <c r="AU31" s="293" t="s">
        <v>48</v>
      </c>
      <c r="AV31" s="293" t="s">
        <v>48</v>
      </c>
      <c r="AW31" s="293" t="s">
        <v>48</v>
      </c>
      <c r="AX31" s="295">
        <v>0</v>
      </c>
      <c r="AY31" s="296" t="s">
        <v>301</v>
      </c>
      <c r="AZ31" s="291" t="s">
        <v>48</v>
      </c>
      <c r="BA31" s="291" t="s">
        <v>48</v>
      </c>
      <c r="BB31" s="291" t="s">
        <v>48</v>
      </c>
      <c r="BC31" s="291" t="s">
        <v>48</v>
      </c>
      <c r="BD31" s="291" t="s">
        <v>48</v>
      </c>
      <c r="BE31" s="291" t="s">
        <v>48</v>
      </c>
      <c r="BF31" s="291" t="s">
        <v>48</v>
      </c>
      <c r="BG31" s="291" t="s">
        <v>48</v>
      </c>
      <c r="BH31" s="291" t="s">
        <v>48</v>
      </c>
      <c r="BI31" s="291" t="s">
        <v>48</v>
      </c>
      <c r="BJ31" s="291" t="s">
        <v>48</v>
      </c>
      <c r="BK31" s="291" t="s">
        <v>48</v>
      </c>
    </row>
    <row r="32" spans="1:63" x14ac:dyDescent="0.15">
      <c r="A32" s="297" t="s">
        <v>322</v>
      </c>
      <c r="B32" s="296">
        <v>0</v>
      </c>
      <c r="C32" s="296">
        <v>0</v>
      </c>
      <c r="D32" s="296">
        <f>+SUM(D11:D31)</f>
        <v>220</v>
      </c>
      <c r="E32" s="296" t="s">
        <v>323</v>
      </c>
      <c r="F32" s="296">
        <f>+SUM(F11:F31)</f>
        <v>297</v>
      </c>
      <c r="G32" s="296">
        <f>+SUM(G11:G31)</f>
        <v>596</v>
      </c>
      <c r="H32" s="296">
        <f>+SUM(H11:H31)</f>
        <v>371</v>
      </c>
      <c r="I32" s="296" t="s">
        <v>323</v>
      </c>
      <c r="J32" s="296">
        <f>+SUM(J11:J31)</f>
        <v>218</v>
      </c>
      <c r="K32" s="296">
        <f>+SUM(K11:K31)</f>
        <v>355</v>
      </c>
      <c r="L32" s="296">
        <f>+SUM(L11:L31)</f>
        <v>385</v>
      </c>
      <c r="M32" s="296"/>
      <c r="N32" s="296">
        <f>+SUM(N11:N31)</f>
        <v>583</v>
      </c>
      <c r="O32" s="296">
        <v>0</v>
      </c>
      <c r="P32" s="296">
        <v>0</v>
      </c>
      <c r="Q32" s="296"/>
      <c r="R32" s="296">
        <f>+SUM(R11:R31)</f>
        <v>3025</v>
      </c>
      <c r="S32" s="296" t="s">
        <v>300</v>
      </c>
      <c r="T32" s="296">
        <v>0</v>
      </c>
      <c r="U32" s="296">
        <v>0</v>
      </c>
      <c r="V32" s="296">
        <v>0</v>
      </c>
      <c r="W32" s="296">
        <v>0</v>
      </c>
      <c r="X32" s="296">
        <v>0</v>
      </c>
      <c r="Y32" s="296">
        <v>0</v>
      </c>
      <c r="Z32" s="296">
        <v>0</v>
      </c>
      <c r="AA32" s="296">
        <v>0</v>
      </c>
      <c r="AB32" s="296">
        <v>0</v>
      </c>
      <c r="AC32" s="296">
        <v>0</v>
      </c>
      <c r="AD32" s="296">
        <v>0</v>
      </c>
      <c r="AE32" s="296">
        <v>0</v>
      </c>
      <c r="AF32" s="272"/>
      <c r="AG32" s="297" t="s">
        <v>322</v>
      </c>
      <c r="AH32" s="296">
        <v>0</v>
      </c>
      <c r="AI32" s="296">
        <v>0</v>
      </c>
      <c r="AJ32" s="296">
        <v>0</v>
      </c>
      <c r="AK32" s="296" t="s">
        <v>323</v>
      </c>
      <c r="AL32" s="296">
        <v>0</v>
      </c>
      <c r="AM32" s="296">
        <v>0</v>
      </c>
      <c r="AN32" s="296">
        <v>0</v>
      </c>
      <c r="AO32" s="296" t="s">
        <v>323</v>
      </c>
      <c r="AP32" s="296">
        <v>0</v>
      </c>
      <c r="AQ32" s="296">
        <v>0</v>
      </c>
      <c r="AR32" s="296">
        <v>0</v>
      </c>
      <c r="AS32" s="296" t="s">
        <v>323</v>
      </c>
      <c r="AT32" s="296">
        <v>0</v>
      </c>
      <c r="AU32" s="296">
        <v>0</v>
      </c>
      <c r="AV32" s="296">
        <v>0</v>
      </c>
      <c r="AW32" s="296" t="s">
        <v>323</v>
      </c>
      <c r="AX32" s="298">
        <v>0</v>
      </c>
      <c r="AY32" s="296" t="s">
        <v>301</v>
      </c>
      <c r="AZ32" s="296">
        <v>0</v>
      </c>
      <c r="BA32" s="296">
        <v>0</v>
      </c>
      <c r="BB32" s="296">
        <v>0</v>
      </c>
      <c r="BC32" s="296">
        <v>0</v>
      </c>
      <c r="BD32" s="296">
        <v>0</v>
      </c>
      <c r="BE32" s="296">
        <v>0</v>
      </c>
      <c r="BF32" s="296">
        <v>0</v>
      </c>
      <c r="BG32" s="296">
        <v>0</v>
      </c>
      <c r="BH32" s="296">
        <v>0</v>
      </c>
      <c r="BI32" s="296">
        <v>0</v>
      </c>
      <c r="BJ32" s="296">
        <v>0</v>
      </c>
      <c r="BK32" s="296">
        <v>0</v>
      </c>
    </row>
    <row r="33" spans="1:63" x14ac:dyDescent="0.15">
      <c r="A33" s="272"/>
      <c r="B33" s="272"/>
      <c r="C33" s="272"/>
      <c r="D33" s="272"/>
      <c r="E33" s="272"/>
      <c r="F33" s="272"/>
      <c r="G33" s="272"/>
      <c r="H33" s="272"/>
      <c r="I33" s="272"/>
      <c r="J33" s="272"/>
      <c r="K33" s="272"/>
      <c r="L33" s="272"/>
      <c r="M33" s="272"/>
      <c r="N33" s="272"/>
      <c r="O33" s="272"/>
      <c r="P33" s="272"/>
      <c r="Q33" s="272"/>
      <c r="R33" s="272">
        <v>0</v>
      </c>
      <c r="S33" s="272"/>
      <c r="T33" s="272"/>
      <c r="U33" s="272"/>
      <c r="V33" s="272"/>
      <c r="W33" s="272"/>
      <c r="X33" s="272"/>
      <c r="Y33" s="272"/>
      <c r="Z33" s="272"/>
      <c r="AA33" s="272"/>
      <c r="AB33" s="272"/>
      <c r="AC33" s="272"/>
      <c r="AD33" s="272"/>
      <c r="AE33" s="272"/>
      <c r="AF33" s="272"/>
      <c r="AG33" s="272"/>
      <c r="AH33" s="272"/>
      <c r="AI33" s="272"/>
      <c r="AJ33" s="272"/>
      <c r="AK33" s="272"/>
      <c r="AL33" s="272"/>
      <c r="AM33" s="272"/>
      <c r="AN33" s="272"/>
      <c r="AO33" s="272"/>
      <c r="AP33" s="272"/>
      <c r="AQ33" s="272"/>
      <c r="AR33" s="272"/>
      <c r="AS33" s="272"/>
      <c r="AT33" s="272"/>
      <c r="AU33" s="272"/>
      <c r="AV33" s="272"/>
      <c r="AW33" s="272"/>
      <c r="AX33" s="272"/>
      <c r="AY33" s="272"/>
      <c r="AZ33" s="272"/>
      <c r="BA33" s="272"/>
      <c r="BB33" s="272"/>
      <c r="BC33" s="272"/>
      <c r="BD33" s="272"/>
      <c r="BE33" s="272"/>
      <c r="BF33" s="272"/>
      <c r="BG33" s="272"/>
      <c r="BH33" s="272"/>
      <c r="BI33" s="272"/>
      <c r="BJ33" s="272"/>
      <c r="BK33" s="272"/>
    </row>
    <row r="34" spans="1:63" ht="33.75" customHeight="1" x14ac:dyDescent="0.15">
      <c r="A34" s="299" t="s">
        <v>278</v>
      </c>
      <c r="B34" s="938" t="s">
        <v>48</v>
      </c>
      <c r="C34" s="938"/>
      <c r="D34" s="938"/>
      <c r="E34" s="938"/>
      <c r="F34" s="938"/>
      <c r="G34" s="938"/>
      <c r="H34" s="938"/>
      <c r="I34" s="938"/>
      <c r="J34" s="938"/>
      <c r="K34" s="938"/>
      <c r="L34" s="938"/>
      <c r="M34" s="938"/>
      <c r="N34" s="938"/>
      <c r="O34" s="938"/>
      <c r="P34" s="938"/>
      <c r="Q34" s="938"/>
      <c r="R34" s="938"/>
      <c r="S34" s="938"/>
      <c r="T34" s="938"/>
      <c r="U34" s="938"/>
      <c r="V34" s="938"/>
      <c r="W34" s="938"/>
      <c r="X34" s="938"/>
      <c r="Y34" s="938"/>
      <c r="Z34" s="938"/>
      <c r="AA34" s="938"/>
      <c r="AB34" s="938"/>
      <c r="AC34" s="938"/>
      <c r="AD34" s="938"/>
      <c r="AE34" s="938"/>
      <c r="AF34" s="938"/>
      <c r="AG34" s="938"/>
      <c r="AH34" s="938"/>
      <c r="AI34" s="938"/>
      <c r="AJ34" s="938"/>
      <c r="AK34" s="938"/>
      <c r="AL34" s="938"/>
      <c r="AM34" s="938"/>
      <c r="AN34" s="938"/>
      <c r="AO34" s="938"/>
      <c r="AP34" s="938"/>
      <c r="AQ34" s="938"/>
      <c r="AR34" s="938"/>
      <c r="AS34" s="938"/>
      <c r="AT34" s="938"/>
      <c r="AU34" s="938"/>
      <c r="AV34" s="938"/>
      <c r="AW34" s="938"/>
      <c r="AX34" s="938"/>
      <c r="AY34" s="938"/>
      <c r="AZ34" s="938"/>
      <c r="BA34" s="938"/>
      <c r="BB34" s="938"/>
      <c r="BC34" s="938"/>
      <c r="BD34" s="938"/>
      <c r="BE34" s="938"/>
      <c r="BF34" s="938"/>
      <c r="BG34" s="938"/>
      <c r="BH34" s="938"/>
      <c r="BI34" s="938"/>
      <c r="BJ34" s="938"/>
      <c r="BK34" s="939"/>
    </row>
    <row r="35" spans="1:63" ht="33.75" customHeight="1" x14ac:dyDescent="0.15">
      <c r="A35" s="278" t="s">
        <v>279</v>
      </c>
      <c r="B35" s="940" t="s">
        <v>324</v>
      </c>
      <c r="C35" s="940"/>
      <c r="D35" s="940"/>
      <c r="E35" s="940"/>
      <c r="F35" s="940"/>
      <c r="G35" s="940"/>
      <c r="H35" s="940"/>
      <c r="I35" s="940"/>
      <c r="J35" s="940"/>
      <c r="K35" s="940"/>
      <c r="L35" s="940"/>
      <c r="M35" s="940"/>
      <c r="N35" s="940"/>
      <c r="O35" s="940"/>
      <c r="P35" s="940"/>
      <c r="Q35" s="940"/>
      <c r="R35" s="940"/>
      <c r="S35" s="940"/>
      <c r="T35" s="940"/>
      <c r="U35" s="940"/>
      <c r="V35" s="940"/>
      <c r="W35" s="940"/>
      <c r="X35" s="940"/>
      <c r="Y35" s="940"/>
      <c r="Z35" s="940"/>
      <c r="AA35" s="940"/>
      <c r="AB35" s="940"/>
      <c r="AC35" s="940"/>
      <c r="AD35" s="940"/>
      <c r="AE35" s="940"/>
      <c r="AF35" s="940"/>
      <c r="AG35" s="940"/>
      <c r="AH35" s="940"/>
      <c r="AI35" s="940"/>
      <c r="AJ35" s="940"/>
      <c r="AK35" s="940"/>
      <c r="AL35" s="940"/>
      <c r="AM35" s="940"/>
      <c r="AN35" s="940"/>
      <c r="AO35" s="940"/>
      <c r="AP35" s="940"/>
      <c r="AQ35" s="940"/>
      <c r="AR35" s="940"/>
      <c r="AS35" s="940"/>
      <c r="AT35" s="940"/>
      <c r="AU35" s="940"/>
      <c r="AV35" s="940"/>
      <c r="AW35" s="940"/>
      <c r="AX35" s="940"/>
      <c r="AY35" s="940"/>
      <c r="AZ35" s="940"/>
      <c r="BA35" s="940"/>
      <c r="BB35" s="940"/>
      <c r="BC35" s="940"/>
      <c r="BD35" s="940"/>
      <c r="BE35" s="940"/>
      <c r="BF35" s="940"/>
      <c r="BG35" s="940"/>
      <c r="BH35" s="940"/>
      <c r="BI35" s="940"/>
      <c r="BJ35" s="940"/>
      <c r="BK35" s="937"/>
    </row>
    <row r="36" spans="1:63" x14ac:dyDescent="0.15">
      <c r="A36" s="272"/>
      <c r="B36" s="272"/>
      <c r="C36" s="272"/>
      <c r="D36" s="272"/>
      <c r="E36" s="272"/>
      <c r="F36" s="272"/>
      <c r="G36" s="272"/>
      <c r="H36" s="272"/>
      <c r="I36" s="272"/>
      <c r="J36" s="272"/>
      <c r="K36" s="272"/>
      <c r="L36" s="272"/>
      <c r="M36" s="272"/>
      <c r="N36" s="272"/>
      <c r="O36" s="272"/>
      <c r="P36" s="272"/>
      <c r="Q36" s="272"/>
      <c r="R36" s="272"/>
      <c r="S36" s="272"/>
      <c r="T36" s="272"/>
      <c r="U36" s="272"/>
      <c r="V36" s="272"/>
      <c r="W36" s="272"/>
      <c r="X36" s="272"/>
      <c r="Y36" s="272"/>
      <c r="Z36" s="272"/>
      <c r="AA36" s="272"/>
      <c r="AB36" s="272"/>
      <c r="AC36" s="272"/>
      <c r="AD36" s="272"/>
      <c r="AE36" s="272"/>
      <c r="AF36" s="272"/>
      <c r="AG36" s="272"/>
      <c r="AH36" s="272"/>
      <c r="AI36" s="272"/>
      <c r="AJ36" s="272"/>
      <c r="AK36" s="272"/>
      <c r="AL36" s="272"/>
      <c r="AM36" s="272"/>
      <c r="AN36" s="272"/>
      <c r="AO36" s="272"/>
      <c r="AP36" s="272"/>
      <c r="AQ36" s="272"/>
      <c r="AR36" s="272"/>
      <c r="AS36" s="272"/>
      <c r="AT36" s="272"/>
      <c r="AU36" s="272"/>
      <c r="AV36" s="272"/>
      <c r="AW36" s="272"/>
      <c r="AX36" s="272"/>
      <c r="AY36" s="272"/>
      <c r="AZ36" s="272"/>
      <c r="BA36" s="272"/>
      <c r="BB36" s="272"/>
      <c r="BC36" s="272"/>
      <c r="BD36" s="272"/>
      <c r="BE36" s="272"/>
      <c r="BF36" s="272"/>
      <c r="BG36" s="272"/>
      <c r="BH36" s="272"/>
      <c r="BI36" s="272"/>
      <c r="BJ36" s="272"/>
      <c r="BK36" s="272"/>
    </row>
    <row r="37" spans="1:63" ht="30" customHeight="1" x14ac:dyDescent="0.15">
      <c r="A37" s="934" t="s">
        <v>281</v>
      </c>
      <c r="B37" s="279" t="s">
        <v>30</v>
      </c>
      <c r="C37" s="281" t="s">
        <v>31</v>
      </c>
      <c r="D37" s="936" t="s">
        <v>32</v>
      </c>
      <c r="E37" s="937"/>
      <c r="F37" s="279" t="s">
        <v>33</v>
      </c>
      <c r="G37" s="281" t="s">
        <v>34</v>
      </c>
      <c r="H37" s="936" t="s">
        <v>35</v>
      </c>
      <c r="I37" s="937"/>
      <c r="J37" s="279" t="s">
        <v>36</v>
      </c>
      <c r="K37" s="281" t="s">
        <v>37</v>
      </c>
      <c r="L37" s="936" t="s">
        <v>38</v>
      </c>
      <c r="M37" s="937"/>
      <c r="N37" s="279" t="s">
        <v>8</v>
      </c>
      <c r="O37" s="281" t="s">
        <v>39</v>
      </c>
      <c r="P37" s="936" t="s">
        <v>40</v>
      </c>
      <c r="Q37" s="937"/>
      <c r="R37" s="940" t="s">
        <v>282</v>
      </c>
      <c r="S37" s="937"/>
      <c r="T37" s="940" t="s">
        <v>283</v>
      </c>
      <c r="U37" s="940"/>
      <c r="V37" s="940"/>
      <c r="W37" s="940"/>
      <c r="X37" s="940"/>
      <c r="Y37" s="937"/>
      <c r="Z37" s="940" t="s">
        <v>284</v>
      </c>
      <c r="AA37" s="940"/>
      <c r="AB37" s="940"/>
      <c r="AC37" s="940"/>
      <c r="AD37" s="940"/>
      <c r="AE37" s="937"/>
      <c r="AF37" s="272"/>
      <c r="AG37" s="934" t="s">
        <v>281</v>
      </c>
      <c r="AH37" s="279" t="s">
        <v>30</v>
      </c>
      <c r="AI37" s="281" t="s">
        <v>31</v>
      </c>
      <c r="AJ37" s="936" t="s">
        <v>32</v>
      </c>
      <c r="AK37" s="937"/>
      <c r="AL37" s="279" t="s">
        <v>33</v>
      </c>
      <c r="AM37" s="281" t="s">
        <v>34</v>
      </c>
      <c r="AN37" s="936" t="s">
        <v>35</v>
      </c>
      <c r="AO37" s="937"/>
      <c r="AP37" s="279" t="s">
        <v>36</v>
      </c>
      <c r="AQ37" s="281" t="s">
        <v>37</v>
      </c>
      <c r="AR37" s="936" t="s">
        <v>38</v>
      </c>
      <c r="AS37" s="937"/>
      <c r="AT37" s="279" t="s">
        <v>8</v>
      </c>
      <c r="AU37" s="281" t="s">
        <v>39</v>
      </c>
      <c r="AV37" s="936" t="s">
        <v>40</v>
      </c>
      <c r="AW37" s="937"/>
      <c r="AX37" s="940" t="s">
        <v>282</v>
      </c>
      <c r="AY37" s="937"/>
      <c r="AZ37" s="940" t="s">
        <v>283</v>
      </c>
      <c r="BA37" s="940"/>
      <c r="BB37" s="940"/>
      <c r="BC37" s="940"/>
      <c r="BD37" s="940"/>
      <c r="BE37" s="937"/>
      <c r="BF37" s="940" t="s">
        <v>284</v>
      </c>
      <c r="BG37" s="940"/>
      <c r="BH37" s="940"/>
      <c r="BI37" s="940"/>
      <c r="BJ37" s="940"/>
      <c r="BK37" s="937"/>
    </row>
    <row r="38" spans="1:63" ht="36" customHeight="1" x14ac:dyDescent="0.15">
      <c r="A38" s="935"/>
      <c r="B38" s="282" t="s">
        <v>285</v>
      </c>
      <c r="C38" s="282" t="s">
        <v>285</v>
      </c>
      <c r="D38" s="282" t="s">
        <v>285</v>
      </c>
      <c r="E38" s="282" t="s">
        <v>286</v>
      </c>
      <c r="F38" s="282" t="s">
        <v>285</v>
      </c>
      <c r="G38" s="282" t="s">
        <v>285</v>
      </c>
      <c r="H38" s="282" t="s">
        <v>285</v>
      </c>
      <c r="I38" s="282" t="s">
        <v>286</v>
      </c>
      <c r="J38" s="282" t="s">
        <v>285</v>
      </c>
      <c r="K38" s="282" t="s">
        <v>285</v>
      </c>
      <c r="L38" s="282" t="s">
        <v>285</v>
      </c>
      <c r="M38" s="282" t="s">
        <v>286</v>
      </c>
      <c r="N38" s="282" t="s">
        <v>285</v>
      </c>
      <c r="O38" s="282" t="s">
        <v>285</v>
      </c>
      <c r="P38" s="282" t="s">
        <v>285</v>
      </c>
      <c r="Q38" s="282" t="s">
        <v>286</v>
      </c>
      <c r="R38" s="282" t="s">
        <v>285</v>
      </c>
      <c r="S38" s="282" t="s">
        <v>286</v>
      </c>
      <c r="T38" s="283" t="s">
        <v>287</v>
      </c>
      <c r="U38" s="283" t="s">
        <v>288</v>
      </c>
      <c r="V38" s="283" t="s">
        <v>289</v>
      </c>
      <c r="W38" s="283" t="s">
        <v>290</v>
      </c>
      <c r="X38" s="284" t="s">
        <v>291</v>
      </c>
      <c r="Y38" s="283" t="s">
        <v>292</v>
      </c>
      <c r="Z38" s="282" t="s">
        <v>293</v>
      </c>
      <c r="AA38" s="282" t="s">
        <v>294</v>
      </c>
      <c r="AB38" s="282" t="s">
        <v>295</v>
      </c>
      <c r="AC38" s="282" t="s">
        <v>296</v>
      </c>
      <c r="AD38" s="282" t="s">
        <v>297</v>
      </c>
      <c r="AE38" s="282" t="s">
        <v>298</v>
      </c>
      <c r="AF38" s="272"/>
      <c r="AG38" s="935"/>
      <c r="AH38" s="282" t="s">
        <v>285</v>
      </c>
      <c r="AI38" s="282" t="s">
        <v>285</v>
      </c>
      <c r="AJ38" s="282" t="s">
        <v>285</v>
      </c>
      <c r="AK38" s="282" t="s">
        <v>286</v>
      </c>
      <c r="AL38" s="282" t="s">
        <v>285</v>
      </c>
      <c r="AM38" s="282" t="s">
        <v>285</v>
      </c>
      <c r="AN38" s="282" t="s">
        <v>285</v>
      </c>
      <c r="AO38" s="282" t="s">
        <v>286</v>
      </c>
      <c r="AP38" s="282" t="s">
        <v>285</v>
      </c>
      <c r="AQ38" s="282" t="s">
        <v>285</v>
      </c>
      <c r="AR38" s="282" t="s">
        <v>285</v>
      </c>
      <c r="AS38" s="282" t="s">
        <v>286</v>
      </c>
      <c r="AT38" s="282" t="s">
        <v>285</v>
      </c>
      <c r="AU38" s="282" t="s">
        <v>285</v>
      </c>
      <c r="AV38" s="282" t="s">
        <v>285</v>
      </c>
      <c r="AW38" s="282" t="s">
        <v>286</v>
      </c>
      <c r="AX38" s="282" t="s">
        <v>285</v>
      </c>
      <c r="AY38" s="282" t="s">
        <v>286</v>
      </c>
      <c r="AZ38" s="283" t="s">
        <v>287</v>
      </c>
      <c r="BA38" s="283" t="s">
        <v>288</v>
      </c>
      <c r="BB38" s="283" t="s">
        <v>289</v>
      </c>
      <c r="BC38" s="283" t="s">
        <v>290</v>
      </c>
      <c r="BD38" s="284" t="s">
        <v>291</v>
      </c>
      <c r="BE38" s="283" t="s">
        <v>292</v>
      </c>
      <c r="BF38" s="283" t="s">
        <v>293</v>
      </c>
      <c r="BG38" s="283" t="s">
        <v>294</v>
      </c>
      <c r="BH38" s="283" t="s">
        <v>295</v>
      </c>
      <c r="BI38" s="283" t="s">
        <v>296</v>
      </c>
      <c r="BJ38" s="283" t="s">
        <v>297</v>
      </c>
      <c r="BK38" s="283" t="s">
        <v>298</v>
      </c>
    </row>
    <row r="39" spans="1:63" ht="15" x14ac:dyDescent="0.15">
      <c r="A39" s="285" t="s">
        <v>299</v>
      </c>
      <c r="B39" s="286" t="s">
        <v>48</v>
      </c>
      <c r="C39" s="286" t="s">
        <v>48</v>
      </c>
      <c r="D39" s="286">
        <v>15</v>
      </c>
      <c r="E39" s="286" t="s">
        <v>48</v>
      </c>
      <c r="F39" s="286">
        <v>34</v>
      </c>
      <c r="G39" s="286">
        <v>12</v>
      </c>
      <c r="H39" s="286">
        <v>16</v>
      </c>
      <c r="I39" s="286" t="s">
        <v>48</v>
      </c>
      <c r="J39" s="287">
        <v>43</v>
      </c>
      <c r="K39" s="287">
        <v>28</v>
      </c>
      <c r="L39" s="341">
        <v>12</v>
      </c>
      <c r="M39" s="286" t="s">
        <v>48</v>
      </c>
      <c r="N39" s="382">
        <v>37</v>
      </c>
      <c r="O39" s="286" t="s">
        <v>48</v>
      </c>
      <c r="P39" s="286" t="s">
        <v>48</v>
      </c>
      <c r="Q39" s="286" t="s">
        <v>48</v>
      </c>
      <c r="R39" s="382">
        <f>+SUM(B39:Q39)</f>
        <v>197</v>
      </c>
      <c r="S39" s="289" t="s">
        <v>300</v>
      </c>
      <c r="T39" s="290" t="s">
        <v>48</v>
      </c>
      <c r="U39" s="290" t="s">
        <v>48</v>
      </c>
      <c r="V39" s="290" t="s">
        <v>48</v>
      </c>
      <c r="W39" s="290" t="s">
        <v>48</v>
      </c>
      <c r="X39" s="291" t="s">
        <v>48</v>
      </c>
      <c r="Y39" s="290" t="s">
        <v>48</v>
      </c>
      <c r="Z39" s="290" t="s">
        <v>48</v>
      </c>
      <c r="AA39" s="290" t="s">
        <v>48</v>
      </c>
      <c r="AB39" s="290" t="s">
        <v>48</v>
      </c>
      <c r="AC39" s="290" t="s">
        <v>48</v>
      </c>
      <c r="AD39" s="290" t="s">
        <v>48</v>
      </c>
      <c r="AE39" s="292" t="s">
        <v>48</v>
      </c>
      <c r="AF39" s="272"/>
      <c r="AG39" s="285" t="s">
        <v>299</v>
      </c>
      <c r="AH39" s="286" t="s">
        <v>48</v>
      </c>
      <c r="AI39" s="286" t="s">
        <v>48</v>
      </c>
      <c r="AJ39" s="286" t="s">
        <v>48</v>
      </c>
      <c r="AK39" s="286" t="s">
        <v>48</v>
      </c>
      <c r="AL39" s="286" t="s">
        <v>48</v>
      </c>
      <c r="AM39" s="286" t="s">
        <v>48</v>
      </c>
      <c r="AN39" s="286" t="s">
        <v>48</v>
      </c>
      <c r="AO39" s="286" t="s">
        <v>48</v>
      </c>
      <c r="AP39" s="286" t="s">
        <v>48</v>
      </c>
      <c r="AQ39" s="286" t="s">
        <v>48</v>
      </c>
      <c r="AR39" s="286" t="s">
        <v>48</v>
      </c>
      <c r="AS39" s="286" t="s">
        <v>48</v>
      </c>
      <c r="AT39" s="286" t="s">
        <v>48</v>
      </c>
      <c r="AU39" s="286" t="s">
        <v>48</v>
      </c>
      <c r="AV39" s="286" t="s">
        <v>48</v>
      </c>
      <c r="AW39" s="286" t="s">
        <v>48</v>
      </c>
      <c r="AX39" s="288">
        <v>0</v>
      </c>
      <c r="AY39" s="289" t="s">
        <v>301</v>
      </c>
      <c r="AZ39" s="290" t="s">
        <v>48</v>
      </c>
      <c r="BA39" s="290" t="s">
        <v>48</v>
      </c>
      <c r="BB39" s="290" t="s">
        <v>48</v>
      </c>
      <c r="BC39" s="290" t="s">
        <v>48</v>
      </c>
      <c r="BD39" s="291" t="s">
        <v>48</v>
      </c>
      <c r="BE39" s="290" t="s">
        <v>48</v>
      </c>
      <c r="BF39" s="290" t="s">
        <v>48</v>
      </c>
      <c r="BG39" s="290" t="s">
        <v>48</v>
      </c>
      <c r="BH39" s="290" t="s">
        <v>48</v>
      </c>
      <c r="BI39" s="290" t="s">
        <v>48</v>
      </c>
      <c r="BJ39" s="290" t="s">
        <v>48</v>
      </c>
      <c r="BK39" s="292" t="s">
        <v>48</v>
      </c>
    </row>
    <row r="40" spans="1:63" x14ac:dyDescent="0.15">
      <c r="A40" s="285" t="s">
        <v>302</v>
      </c>
      <c r="B40" s="293" t="s">
        <v>48</v>
      </c>
      <c r="C40" s="293">
        <v>9</v>
      </c>
      <c r="D40" s="293">
        <v>62</v>
      </c>
      <c r="E40" s="293" t="s">
        <v>48</v>
      </c>
      <c r="F40" s="293">
        <v>55</v>
      </c>
      <c r="G40" s="293">
        <v>52</v>
      </c>
      <c r="H40" s="293">
        <v>35</v>
      </c>
      <c r="I40" s="293" t="s">
        <v>48</v>
      </c>
      <c r="J40" s="294">
        <v>17</v>
      </c>
      <c r="K40" s="294">
        <v>35</v>
      </c>
      <c r="L40" s="342">
        <v>74</v>
      </c>
      <c r="M40" s="293" t="s">
        <v>48</v>
      </c>
      <c r="N40" s="374">
        <v>27</v>
      </c>
      <c r="O40" s="293" t="s">
        <v>48</v>
      </c>
      <c r="P40" s="293" t="s">
        <v>48</v>
      </c>
      <c r="Q40" s="293" t="s">
        <v>48</v>
      </c>
      <c r="R40" s="382">
        <f t="shared" ref="R40:R59" si="1">+SUM(B40:Q40)</f>
        <v>366</v>
      </c>
      <c r="S40" s="296" t="s">
        <v>300</v>
      </c>
      <c r="T40" s="291" t="s">
        <v>48</v>
      </c>
      <c r="U40" s="291" t="s">
        <v>48</v>
      </c>
      <c r="V40" s="291" t="s">
        <v>48</v>
      </c>
      <c r="W40" s="291" t="s">
        <v>48</v>
      </c>
      <c r="X40" s="291" t="s">
        <v>48</v>
      </c>
      <c r="Y40" s="291" t="s">
        <v>48</v>
      </c>
      <c r="Z40" s="291" t="s">
        <v>48</v>
      </c>
      <c r="AA40" s="291" t="s">
        <v>48</v>
      </c>
      <c r="AB40" s="291" t="s">
        <v>48</v>
      </c>
      <c r="AC40" s="291" t="s">
        <v>48</v>
      </c>
      <c r="AD40" s="291" t="s">
        <v>48</v>
      </c>
      <c r="AE40" s="291" t="s">
        <v>48</v>
      </c>
      <c r="AF40" s="272"/>
      <c r="AG40" s="285" t="s">
        <v>302</v>
      </c>
      <c r="AH40" s="293" t="s">
        <v>48</v>
      </c>
      <c r="AI40" s="293" t="s">
        <v>48</v>
      </c>
      <c r="AJ40" s="293" t="s">
        <v>48</v>
      </c>
      <c r="AK40" s="293" t="s">
        <v>48</v>
      </c>
      <c r="AL40" s="293" t="s">
        <v>48</v>
      </c>
      <c r="AM40" s="293" t="s">
        <v>48</v>
      </c>
      <c r="AN40" s="293" t="s">
        <v>48</v>
      </c>
      <c r="AO40" s="293" t="s">
        <v>48</v>
      </c>
      <c r="AP40" s="293" t="s">
        <v>48</v>
      </c>
      <c r="AQ40" s="293" t="s">
        <v>48</v>
      </c>
      <c r="AR40" s="293" t="s">
        <v>48</v>
      </c>
      <c r="AS40" s="293" t="s">
        <v>48</v>
      </c>
      <c r="AT40" s="293" t="s">
        <v>48</v>
      </c>
      <c r="AU40" s="293" t="s">
        <v>48</v>
      </c>
      <c r="AV40" s="293" t="s">
        <v>48</v>
      </c>
      <c r="AW40" s="293" t="s">
        <v>48</v>
      </c>
      <c r="AX40" s="295">
        <v>0</v>
      </c>
      <c r="AY40" s="296" t="s">
        <v>301</v>
      </c>
      <c r="AZ40" s="291" t="s">
        <v>48</v>
      </c>
      <c r="BA40" s="291" t="s">
        <v>48</v>
      </c>
      <c r="BB40" s="291" t="s">
        <v>48</v>
      </c>
      <c r="BC40" s="291" t="s">
        <v>48</v>
      </c>
      <c r="BD40" s="291" t="s">
        <v>48</v>
      </c>
      <c r="BE40" s="291" t="s">
        <v>48</v>
      </c>
      <c r="BF40" s="291" t="s">
        <v>48</v>
      </c>
      <c r="BG40" s="291" t="s">
        <v>48</v>
      </c>
      <c r="BH40" s="291" t="s">
        <v>48</v>
      </c>
      <c r="BI40" s="291" t="s">
        <v>48</v>
      </c>
      <c r="BJ40" s="291" t="s">
        <v>48</v>
      </c>
      <c r="BK40" s="291" t="s">
        <v>48</v>
      </c>
    </row>
    <row r="41" spans="1:63" x14ac:dyDescent="0.15">
      <c r="A41" s="285" t="s">
        <v>303</v>
      </c>
      <c r="B41" s="293" t="s">
        <v>48</v>
      </c>
      <c r="C41" s="293" t="s">
        <v>48</v>
      </c>
      <c r="D41" s="293">
        <v>41</v>
      </c>
      <c r="E41" s="293" t="s">
        <v>48</v>
      </c>
      <c r="F41" s="293">
        <v>45</v>
      </c>
      <c r="G41" s="293">
        <v>50</v>
      </c>
      <c r="H41" s="293">
        <v>39</v>
      </c>
      <c r="I41" s="293" t="s">
        <v>48</v>
      </c>
      <c r="J41" s="294">
        <v>0</v>
      </c>
      <c r="K41" s="294">
        <v>10</v>
      </c>
      <c r="L41" s="342">
        <v>66</v>
      </c>
      <c r="M41" s="293" t="s">
        <v>48</v>
      </c>
      <c r="N41" s="375">
        <v>19</v>
      </c>
      <c r="O41" s="293" t="s">
        <v>48</v>
      </c>
      <c r="P41" s="293" t="s">
        <v>48</v>
      </c>
      <c r="Q41" s="293" t="s">
        <v>48</v>
      </c>
      <c r="R41" s="382">
        <f t="shared" si="1"/>
        <v>270</v>
      </c>
      <c r="S41" s="296" t="s">
        <v>300</v>
      </c>
      <c r="T41" s="291" t="s">
        <v>48</v>
      </c>
      <c r="U41" s="291" t="s">
        <v>48</v>
      </c>
      <c r="V41" s="291" t="s">
        <v>48</v>
      </c>
      <c r="W41" s="291" t="s">
        <v>48</v>
      </c>
      <c r="X41" s="291" t="s">
        <v>48</v>
      </c>
      <c r="Y41" s="291" t="s">
        <v>48</v>
      </c>
      <c r="Z41" s="291" t="s">
        <v>48</v>
      </c>
      <c r="AA41" s="291" t="s">
        <v>48</v>
      </c>
      <c r="AB41" s="291" t="s">
        <v>48</v>
      </c>
      <c r="AC41" s="291" t="s">
        <v>48</v>
      </c>
      <c r="AD41" s="291" t="s">
        <v>48</v>
      </c>
      <c r="AE41" s="291" t="s">
        <v>48</v>
      </c>
      <c r="AF41" s="272"/>
      <c r="AG41" s="285" t="s">
        <v>303</v>
      </c>
      <c r="AH41" s="293" t="s">
        <v>48</v>
      </c>
      <c r="AI41" s="293" t="s">
        <v>48</v>
      </c>
      <c r="AJ41" s="293" t="s">
        <v>48</v>
      </c>
      <c r="AK41" s="293" t="s">
        <v>48</v>
      </c>
      <c r="AL41" s="293" t="s">
        <v>48</v>
      </c>
      <c r="AM41" s="293" t="s">
        <v>48</v>
      </c>
      <c r="AN41" s="293" t="s">
        <v>48</v>
      </c>
      <c r="AO41" s="293" t="s">
        <v>48</v>
      </c>
      <c r="AP41" s="293" t="s">
        <v>48</v>
      </c>
      <c r="AQ41" s="293" t="s">
        <v>48</v>
      </c>
      <c r="AR41" s="293" t="s">
        <v>48</v>
      </c>
      <c r="AS41" s="293" t="s">
        <v>48</v>
      </c>
      <c r="AT41" s="293" t="s">
        <v>48</v>
      </c>
      <c r="AU41" s="293" t="s">
        <v>48</v>
      </c>
      <c r="AV41" s="293" t="s">
        <v>48</v>
      </c>
      <c r="AW41" s="293" t="s">
        <v>48</v>
      </c>
      <c r="AX41" s="295">
        <v>0</v>
      </c>
      <c r="AY41" s="296" t="s">
        <v>301</v>
      </c>
      <c r="AZ41" s="291" t="s">
        <v>48</v>
      </c>
      <c r="BA41" s="291" t="s">
        <v>48</v>
      </c>
      <c r="BB41" s="291" t="s">
        <v>48</v>
      </c>
      <c r="BC41" s="291" t="s">
        <v>48</v>
      </c>
      <c r="BD41" s="291" t="s">
        <v>48</v>
      </c>
      <c r="BE41" s="291" t="s">
        <v>48</v>
      </c>
      <c r="BF41" s="291" t="s">
        <v>48</v>
      </c>
      <c r="BG41" s="291" t="s">
        <v>48</v>
      </c>
      <c r="BH41" s="291" t="s">
        <v>48</v>
      </c>
      <c r="BI41" s="291" t="s">
        <v>48</v>
      </c>
      <c r="BJ41" s="291" t="s">
        <v>48</v>
      </c>
      <c r="BK41" s="291" t="s">
        <v>48</v>
      </c>
    </row>
    <row r="42" spans="1:63" x14ac:dyDescent="0.15">
      <c r="A42" s="285" t="s">
        <v>304</v>
      </c>
      <c r="B42" s="293" t="s">
        <v>48</v>
      </c>
      <c r="C42" s="293" t="s">
        <v>48</v>
      </c>
      <c r="D42" s="293">
        <v>8</v>
      </c>
      <c r="E42" s="293" t="s">
        <v>48</v>
      </c>
      <c r="F42" s="293">
        <v>43</v>
      </c>
      <c r="G42" s="293">
        <v>10</v>
      </c>
      <c r="H42" s="293">
        <v>9</v>
      </c>
      <c r="I42" s="293" t="s">
        <v>48</v>
      </c>
      <c r="J42" s="294">
        <v>57</v>
      </c>
      <c r="K42" s="294">
        <v>23</v>
      </c>
      <c r="L42" s="342">
        <v>56</v>
      </c>
      <c r="M42" s="293" t="s">
        <v>48</v>
      </c>
      <c r="N42" s="375">
        <v>44</v>
      </c>
      <c r="O42" s="293" t="s">
        <v>48</v>
      </c>
      <c r="P42" s="293" t="s">
        <v>48</v>
      </c>
      <c r="Q42" s="293" t="s">
        <v>48</v>
      </c>
      <c r="R42" s="382">
        <f t="shared" si="1"/>
        <v>250</v>
      </c>
      <c r="S42" s="296" t="s">
        <v>300</v>
      </c>
      <c r="T42" s="291" t="s">
        <v>48</v>
      </c>
      <c r="U42" s="291" t="s">
        <v>48</v>
      </c>
      <c r="V42" s="291" t="s">
        <v>48</v>
      </c>
      <c r="W42" s="291" t="s">
        <v>48</v>
      </c>
      <c r="X42" s="291" t="s">
        <v>48</v>
      </c>
      <c r="Y42" s="291" t="s">
        <v>48</v>
      </c>
      <c r="Z42" s="291" t="s">
        <v>48</v>
      </c>
      <c r="AA42" s="291" t="s">
        <v>48</v>
      </c>
      <c r="AB42" s="291" t="s">
        <v>48</v>
      </c>
      <c r="AC42" s="291" t="s">
        <v>48</v>
      </c>
      <c r="AD42" s="291" t="s">
        <v>48</v>
      </c>
      <c r="AE42" s="291" t="s">
        <v>48</v>
      </c>
      <c r="AF42" s="272"/>
      <c r="AG42" s="285" t="s">
        <v>304</v>
      </c>
      <c r="AH42" s="293" t="s">
        <v>48</v>
      </c>
      <c r="AI42" s="293" t="s">
        <v>48</v>
      </c>
      <c r="AJ42" s="293" t="s">
        <v>48</v>
      </c>
      <c r="AK42" s="293" t="s">
        <v>48</v>
      </c>
      <c r="AL42" s="293" t="s">
        <v>48</v>
      </c>
      <c r="AM42" s="293" t="s">
        <v>48</v>
      </c>
      <c r="AN42" s="293" t="s">
        <v>48</v>
      </c>
      <c r="AO42" s="293" t="s">
        <v>48</v>
      </c>
      <c r="AP42" s="293" t="s">
        <v>48</v>
      </c>
      <c r="AQ42" s="293" t="s">
        <v>48</v>
      </c>
      <c r="AR42" s="293" t="s">
        <v>48</v>
      </c>
      <c r="AS42" s="293" t="s">
        <v>48</v>
      </c>
      <c r="AT42" s="293" t="s">
        <v>48</v>
      </c>
      <c r="AU42" s="293" t="s">
        <v>48</v>
      </c>
      <c r="AV42" s="293" t="s">
        <v>48</v>
      </c>
      <c r="AW42" s="293" t="s">
        <v>48</v>
      </c>
      <c r="AX42" s="295">
        <v>0</v>
      </c>
      <c r="AY42" s="296" t="s">
        <v>301</v>
      </c>
      <c r="AZ42" s="291" t="s">
        <v>48</v>
      </c>
      <c r="BA42" s="291" t="s">
        <v>48</v>
      </c>
      <c r="BB42" s="291" t="s">
        <v>48</v>
      </c>
      <c r="BC42" s="291" t="s">
        <v>48</v>
      </c>
      <c r="BD42" s="291" t="s">
        <v>48</v>
      </c>
      <c r="BE42" s="291" t="s">
        <v>48</v>
      </c>
      <c r="BF42" s="291" t="s">
        <v>48</v>
      </c>
      <c r="BG42" s="291" t="s">
        <v>48</v>
      </c>
      <c r="BH42" s="291" t="s">
        <v>48</v>
      </c>
      <c r="BI42" s="291" t="s">
        <v>48</v>
      </c>
      <c r="BJ42" s="291" t="s">
        <v>48</v>
      </c>
      <c r="BK42" s="291" t="s">
        <v>48</v>
      </c>
    </row>
    <row r="43" spans="1:63" x14ac:dyDescent="0.15">
      <c r="A43" s="285" t="s">
        <v>305</v>
      </c>
      <c r="B43" s="293" t="s">
        <v>48</v>
      </c>
      <c r="C43" s="293" t="s">
        <v>48</v>
      </c>
      <c r="D43" s="293">
        <v>35</v>
      </c>
      <c r="E43" s="293" t="s">
        <v>48</v>
      </c>
      <c r="F43" s="293">
        <v>31</v>
      </c>
      <c r="G43" s="293">
        <v>110</v>
      </c>
      <c r="H43" s="293">
        <v>13</v>
      </c>
      <c r="I43" s="293" t="s">
        <v>48</v>
      </c>
      <c r="J43" s="294">
        <v>47</v>
      </c>
      <c r="K43" s="294">
        <v>5</v>
      </c>
      <c r="L43" s="342">
        <v>12</v>
      </c>
      <c r="M43" s="293" t="s">
        <v>48</v>
      </c>
      <c r="N43" s="374">
        <v>28</v>
      </c>
      <c r="O43" s="293" t="s">
        <v>48</v>
      </c>
      <c r="P43" s="293" t="s">
        <v>48</v>
      </c>
      <c r="Q43" s="293" t="s">
        <v>48</v>
      </c>
      <c r="R43" s="382">
        <f t="shared" si="1"/>
        <v>281</v>
      </c>
      <c r="S43" s="296" t="s">
        <v>300</v>
      </c>
      <c r="T43" s="291" t="s">
        <v>48</v>
      </c>
      <c r="U43" s="291" t="s">
        <v>48</v>
      </c>
      <c r="V43" s="291" t="s">
        <v>48</v>
      </c>
      <c r="W43" s="291" t="s">
        <v>48</v>
      </c>
      <c r="X43" s="291" t="s">
        <v>48</v>
      </c>
      <c r="Y43" s="291" t="s">
        <v>48</v>
      </c>
      <c r="Z43" s="291" t="s">
        <v>48</v>
      </c>
      <c r="AA43" s="291" t="s">
        <v>48</v>
      </c>
      <c r="AB43" s="291" t="s">
        <v>48</v>
      </c>
      <c r="AC43" s="291" t="s">
        <v>48</v>
      </c>
      <c r="AD43" s="291" t="s">
        <v>48</v>
      </c>
      <c r="AE43" s="291" t="s">
        <v>48</v>
      </c>
      <c r="AF43" s="272"/>
      <c r="AG43" s="285" t="s">
        <v>305</v>
      </c>
      <c r="AH43" s="293" t="s">
        <v>48</v>
      </c>
      <c r="AI43" s="293" t="s">
        <v>48</v>
      </c>
      <c r="AJ43" s="293" t="s">
        <v>48</v>
      </c>
      <c r="AK43" s="293" t="s">
        <v>48</v>
      </c>
      <c r="AL43" s="293" t="s">
        <v>48</v>
      </c>
      <c r="AM43" s="293" t="s">
        <v>48</v>
      </c>
      <c r="AN43" s="293" t="s">
        <v>48</v>
      </c>
      <c r="AO43" s="293" t="s">
        <v>48</v>
      </c>
      <c r="AP43" s="293" t="s">
        <v>48</v>
      </c>
      <c r="AQ43" s="293" t="s">
        <v>48</v>
      </c>
      <c r="AR43" s="293" t="s">
        <v>48</v>
      </c>
      <c r="AS43" s="293" t="s">
        <v>48</v>
      </c>
      <c r="AT43" s="293" t="s">
        <v>48</v>
      </c>
      <c r="AU43" s="293" t="s">
        <v>48</v>
      </c>
      <c r="AV43" s="293" t="s">
        <v>48</v>
      </c>
      <c r="AW43" s="293" t="s">
        <v>48</v>
      </c>
      <c r="AX43" s="295">
        <v>0</v>
      </c>
      <c r="AY43" s="296" t="s">
        <v>301</v>
      </c>
      <c r="AZ43" s="291" t="s">
        <v>48</v>
      </c>
      <c r="BA43" s="291" t="s">
        <v>48</v>
      </c>
      <c r="BB43" s="291" t="s">
        <v>48</v>
      </c>
      <c r="BC43" s="291" t="s">
        <v>48</v>
      </c>
      <c r="BD43" s="291" t="s">
        <v>48</v>
      </c>
      <c r="BE43" s="291" t="s">
        <v>48</v>
      </c>
      <c r="BF43" s="291" t="s">
        <v>48</v>
      </c>
      <c r="BG43" s="291" t="s">
        <v>48</v>
      </c>
      <c r="BH43" s="291" t="s">
        <v>48</v>
      </c>
      <c r="BI43" s="291" t="s">
        <v>48</v>
      </c>
      <c r="BJ43" s="291" t="s">
        <v>48</v>
      </c>
      <c r="BK43" s="291" t="s">
        <v>48</v>
      </c>
    </row>
    <row r="44" spans="1:63" x14ac:dyDescent="0.15">
      <c r="A44" s="285" t="s">
        <v>306</v>
      </c>
      <c r="B44" s="293" t="s">
        <v>48</v>
      </c>
      <c r="C44" s="293">
        <v>9</v>
      </c>
      <c r="D44" s="293">
        <v>12</v>
      </c>
      <c r="E44" s="293" t="s">
        <v>48</v>
      </c>
      <c r="F44" s="293">
        <v>128</v>
      </c>
      <c r="G44" s="293">
        <v>163</v>
      </c>
      <c r="H44" s="293">
        <v>0</v>
      </c>
      <c r="I44" s="293" t="s">
        <v>48</v>
      </c>
      <c r="J44" s="294">
        <v>28</v>
      </c>
      <c r="K44" s="294">
        <v>0</v>
      </c>
      <c r="L44" s="342">
        <v>22</v>
      </c>
      <c r="M44" s="293" t="s">
        <v>48</v>
      </c>
      <c r="N44" s="375">
        <v>90</v>
      </c>
      <c r="O44" s="293" t="s">
        <v>48</v>
      </c>
      <c r="P44" s="293" t="s">
        <v>48</v>
      </c>
      <c r="Q44" s="293" t="s">
        <v>48</v>
      </c>
      <c r="R44" s="382">
        <f t="shared" si="1"/>
        <v>452</v>
      </c>
      <c r="S44" s="296" t="s">
        <v>300</v>
      </c>
      <c r="T44" s="291" t="s">
        <v>48</v>
      </c>
      <c r="U44" s="291" t="s">
        <v>48</v>
      </c>
      <c r="V44" s="291" t="s">
        <v>48</v>
      </c>
      <c r="W44" s="291" t="s">
        <v>48</v>
      </c>
      <c r="X44" s="291" t="s">
        <v>48</v>
      </c>
      <c r="Y44" s="291" t="s">
        <v>48</v>
      </c>
      <c r="Z44" s="291" t="s">
        <v>48</v>
      </c>
      <c r="AA44" s="291" t="s">
        <v>48</v>
      </c>
      <c r="AB44" s="291" t="s">
        <v>48</v>
      </c>
      <c r="AC44" s="291" t="s">
        <v>48</v>
      </c>
      <c r="AD44" s="291" t="s">
        <v>48</v>
      </c>
      <c r="AE44" s="291" t="s">
        <v>48</v>
      </c>
      <c r="AF44" s="272"/>
      <c r="AG44" s="285" t="s">
        <v>306</v>
      </c>
      <c r="AH44" s="293" t="s">
        <v>48</v>
      </c>
      <c r="AI44" s="293" t="s">
        <v>48</v>
      </c>
      <c r="AJ44" s="293" t="s">
        <v>48</v>
      </c>
      <c r="AK44" s="293" t="s">
        <v>48</v>
      </c>
      <c r="AL44" s="293" t="s">
        <v>48</v>
      </c>
      <c r="AM44" s="293" t="s">
        <v>48</v>
      </c>
      <c r="AN44" s="293" t="s">
        <v>48</v>
      </c>
      <c r="AO44" s="293" t="s">
        <v>48</v>
      </c>
      <c r="AP44" s="293" t="s">
        <v>48</v>
      </c>
      <c r="AQ44" s="293" t="s">
        <v>48</v>
      </c>
      <c r="AR44" s="293" t="s">
        <v>48</v>
      </c>
      <c r="AS44" s="293" t="s">
        <v>48</v>
      </c>
      <c r="AT44" s="293" t="s">
        <v>48</v>
      </c>
      <c r="AU44" s="293" t="s">
        <v>48</v>
      </c>
      <c r="AV44" s="293" t="s">
        <v>48</v>
      </c>
      <c r="AW44" s="293" t="s">
        <v>48</v>
      </c>
      <c r="AX44" s="295">
        <v>0</v>
      </c>
      <c r="AY44" s="296" t="s">
        <v>301</v>
      </c>
      <c r="AZ44" s="291" t="s">
        <v>48</v>
      </c>
      <c r="BA44" s="291" t="s">
        <v>48</v>
      </c>
      <c r="BB44" s="291" t="s">
        <v>48</v>
      </c>
      <c r="BC44" s="291" t="s">
        <v>48</v>
      </c>
      <c r="BD44" s="291" t="s">
        <v>48</v>
      </c>
      <c r="BE44" s="291" t="s">
        <v>48</v>
      </c>
      <c r="BF44" s="291" t="s">
        <v>48</v>
      </c>
      <c r="BG44" s="291" t="s">
        <v>48</v>
      </c>
      <c r="BH44" s="291" t="s">
        <v>48</v>
      </c>
      <c r="BI44" s="291" t="s">
        <v>48</v>
      </c>
      <c r="BJ44" s="291" t="s">
        <v>48</v>
      </c>
      <c r="BK44" s="291" t="s">
        <v>48</v>
      </c>
    </row>
    <row r="45" spans="1:63" x14ac:dyDescent="0.15">
      <c r="A45" s="285" t="s">
        <v>307</v>
      </c>
      <c r="B45" s="293" t="s">
        <v>48</v>
      </c>
      <c r="C45" s="293">
        <v>13</v>
      </c>
      <c r="D45" s="293">
        <v>10</v>
      </c>
      <c r="E45" s="293" t="s">
        <v>48</v>
      </c>
      <c r="F45" s="293">
        <v>5</v>
      </c>
      <c r="G45" s="293">
        <v>1</v>
      </c>
      <c r="H45" s="293">
        <v>42</v>
      </c>
      <c r="I45" s="293" t="s">
        <v>48</v>
      </c>
      <c r="J45" s="294">
        <v>13</v>
      </c>
      <c r="K45" s="294">
        <v>31</v>
      </c>
      <c r="L45" s="342">
        <v>26</v>
      </c>
      <c r="M45" s="293" t="s">
        <v>48</v>
      </c>
      <c r="N45" s="375">
        <v>109</v>
      </c>
      <c r="O45" s="293" t="s">
        <v>48</v>
      </c>
      <c r="P45" s="293" t="s">
        <v>48</v>
      </c>
      <c r="Q45" s="293" t="s">
        <v>48</v>
      </c>
      <c r="R45" s="382">
        <f t="shared" si="1"/>
        <v>250</v>
      </c>
      <c r="S45" s="296" t="s">
        <v>300</v>
      </c>
      <c r="T45" s="291" t="s">
        <v>48</v>
      </c>
      <c r="U45" s="291" t="s">
        <v>48</v>
      </c>
      <c r="V45" s="291" t="s">
        <v>48</v>
      </c>
      <c r="W45" s="291" t="s">
        <v>48</v>
      </c>
      <c r="X45" s="291" t="s">
        <v>48</v>
      </c>
      <c r="Y45" s="291" t="s">
        <v>48</v>
      </c>
      <c r="Z45" s="291" t="s">
        <v>48</v>
      </c>
      <c r="AA45" s="291" t="s">
        <v>48</v>
      </c>
      <c r="AB45" s="291" t="s">
        <v>48</v>
      </c>
      <c r="AC45" s="291" t="s">
        <v>48</v>
      </c>
      <c r="AD45" s="291" t="s">
        <v>48</v>
      </c>
      <c r="AE45" s="291" t="s">
        <v>48</v>
      </c>
      <c r="AF45" s="272"/>
      <c r="AG45" s="285" t="s">
        <v>307</v>
      </c>
      <c r="AH45" s="293" t="s">
        <v>48</v>
      </c>
      <c r="AI45" s="293" t="s">
        <v>48</v>
      </c>
      <c r="AJ45" s="293" t="s">
        <v>48</v>
      </c>
      <c r="AK45" s="293" t="s">
        <v>48</v>
      </c>
      <c r="AL45" s="293" t="s">
        <v>48</v>
      </c>
      <c r="AM45" s="293" t="s">
        <v>48</v>
      </c>
      <c r="AN45" s="293" t="s">
        <v>48</v>
      </c>
      <c r="AO45" s="293" t="s">
        <v>48</v>
      </c>
      <c r="AP45" s="293" t="s">
        <v>48</v>
      </c>
      <c r="AQ45" s="293" t="s">
        <v>48</v>
      </c>
      <c r="AR45" s="293" t="s">
        <v>48</v>
      </c>
      <c r="AS45" s="293" t="s">
        <v>48</v>
      </c>
      <c r="AT45" s="293" t="s">
        <v>48</v>
      </c>
      <c r="AU45" s="293" t="s">
        <v>48</v>
      </c>
      <c r="AV45" s="293" t="s">
        <v>48</v>
      </c>
      <c r="AW45" s="293" t="s">
        <v>48</v>
      </c>
      <c r="AX45" s="295">
        <v>0</v>
      </c>
      <c r="AY45" s="296" t="s">
        <v>301</v>
      </c>
      <c r="AZ45" s="291" t="s">
        <v>48</v>
      </c>
      <c r="BA45" s="291" t="s">
        <v>48</v>
      </c>
      <c r="BB45" s="291" t="s">
        <v>48</v>
      </c>
      <c r="BC45" s="291" t="s">
        <v>48</v>
      </c>
      <c r="BD45" s="291" t="s">
        <v>48</v>
      </c>
      <c r="BE45" s="291" t="s">
        <v>48</v>
      </c>
      <c r="BF45" s="291" t="s">
        <v>48</v>
      </c>
      <c r="BG45" s="291" t="s">
        <v>48</v>
      </c>
      <c r="BH45" s="291" t="s">
        <v>48</v>
      </c>
      <c r="BI45" s="291" t="s">
        <v>48</v>
      </c>
      <c r="BJ45" s="291" t="s">
        <v>48</v>
      </c>
      <c r="BK45" s="291" t="s">
        <v>48</v>
      </c>
    </row>
    <row r="46" spans="1:63" x14ac:dyDescent="0.15">
      <c r="A46" s="285" t="s">
        <v>308</v>
      </c>
      <c r="B46" s="293" t="s">
        <v>48</v>
      </c>
      <c r="C46" s="293" t="s">
        <v>48</v>
      </c>
      <c r="D46" s="293">
        <v>18</v>
      </c>
      <c r="E46" s="293" t="s">
        <v>48</v>
      </c>
      <c r="F46" s="293">
        <v>50</v>
      </c>
      <c r="G46" s="293">
        <v>73</v>
      </c>
      <c r="H46" s="293">
        <v>22</v>
      </c>
      <c r="I46" s="293" t="s">
        <v>48</v>
      </c>
      <c r="J46" s="294">
        <v>47</v>
      </c>
      <c r="K46" s="294">
        <v>58</v>
      </c>
      <c r="L46" s="342">
        <v>83</v>
      </c>
      <c r="M46" s="293" t="s">
        <v>48</v>
      </c>
      <c r="N46" s="375">
        <v>50</v>
      </c>
      <c r="O46" s="293" t="s">
        <v>48</v>
      </c>
      <c r="P46" s="293" t="s">
        <v>48</v>
      </c>
      <c r="Q46" s="293" t="s">
        <v>48</v>
      </c>
      <c r="R46" s="382">
        <f t="shared" si="1"/>
        <v>401</v>
      </c>
      <c r="S46" s="296" t="s">
        <v>300</v>
      </c>
      <c r="T46" s="291" t="s">
        <v>48</v>
      </c>
      <c r="U46" s="291" t="s">
        <v>48</v>
      </c>
      <c r="V46" s="291" t="s">
        <v>48</v>
      </c>
      <c r="W46" s="291" t="s">
        <v>48</v>
      </c>
      <c r="X46" s="291" t="s">
        <v>48</v>
      </c>
      <c r="Y46" s="291" t="s">
        <v>48</v>
      </c>
      <c r="Z46" s="291" t="s">
        <v>48</v>
      </c>
      <c r="AA46" s="291" t="s">
        <v>48</v>
      </c>
      <c r="AB46" s="291" t="s">
        <v>48</v>
      </c>
      <c r="AC46" s="291" t="s">
        <v>48</v>
      </c>
      <c r="AD46" s="291" t="s">
        <v>48</v>
      </c>
      <c r="AE46" s="291" t="s">
        <v>48</v>
      </c>
      <c r="AF46" s="272"/>
      <c r="AG46" s="285" t="s">
        <v>308</v>
      </c>
      <c r="AH46" s="293" t="s">
        <v>48</v>
      </c>
      <c r="AI46" s="293" t="s">
        <v>48</v>
      </c>
      <c r="AJ46" s="293" t="s">
        <v>48</v>
      </c>
      <c r="AK46" s="293" t="s">
        <v>48</v>
      </c>
      <c r="AL46" s="293" t="s">
        <v>48</v>
      </c>
      <c r="AM46" s="293" t="s">
        <v>48</v>
      </c>
      <c r="AN46" s="293" t="s">
        <v>48</v>
      </c>
      <c r="AO46" s="293" t="s">
        <v>48</v>
      </c>
      <c r="AP46" s="293" t="s">
        <v>48</v>
      </c>
      <c r="AQ46" s="293" t="s">
        <v>48</v>
      </c>
      <c r="AR46" s="293" t="s">
        <v>48</v>
      </c>
      <c r="AS46" s="293" t="s">
        <v>48</v>
      </c>
      <c r="AT46" s="293" t="s">
        <v>48</v>
      </c>
      <c r="AU46" s="293" t="s">
        <v>48</v>
      </c>
      <c r="AV46" s="293" t="s">
        <v>48</v>
      </c>
      <c r="AW46" s="293" t="s">
        <v>48</v>
      </c>
      <c r="AX46" s="295">
        <v>0</v>
      </c>
      <c r="AY46" s="296" t="s">
        <v>301</v>
      </c>
      <c r="AZ46" s="291" t="s">
        <v>48</v>
      </c>
      <c r="BA46" s="291" t="s">
        <v>48</v>
      </c>
      <c r="BB46" s="291" t="s">
        <v>48</v>
      </c>
      <c r="BC46" s="291" t="s">
        <v>48</v>
      </c>
      <c r="BD46" s="291" t="s">
        <v>48</v>
      </c>
      <c r="BE46" s="291" t="s">
        <v>48</v>
      </c>
      <c r="BF46" s="291" t="s">
        <v>48</v>
      </c>
      <c r="BG46" s="291" t="s">
        <v>48</v>
      </c>
      <c r="BH46" s="291" t="s">
        <v>48</v>
      </c>
      <c r="BI46" s="291" t="s">
        <v>48</v>
      </c>
      <c r="BJ46" s="291" t="s">
        <v>48</v>
      </c>
      <c r="BK46" s="291" t="s">
        <v>48</v>
      </c>
    </row>
    <row r="47" spans="1:63" x14ac:dyDescent="0.15">
      <c r="A47" s="285" t="s">
        <v>309</v>
      </c>
      <c r="B47" s="293" t="s">
        <v>48</v>
      </c>
      <c r="C47" s="293" t="s">
        <v>48</v>
      </c>
      <c r="D47" s="293">
        <v>22</v>
      </c>
      <c r="E47" s="293" t="s">
        <v>48</v>
      </c>
      <c r="F47" s="293">
        <v>13</v>
      </c>
      <c r="G47" s="293">
        <v>75</v>
      </c>
      <c r="H47" s="293">
        <v>43</v>
      </c>
      <c r="I47" s="293" t="s">
        <v>48</v>
      </c>
      <c r="J47" s="294">
        <v>78</v>
      </c>
      <c r="K47" s="294">
        <v>90</v>
      </c>
      <c r="L47" s="342">
        <v>88</v>
      </c>
      <c r="M47" s="293" t="s">
        <v>48</v>
      </c>
      <c r="N47" s="374">
        <v>96</v>
      </c>
      <c r="O47" s="293" t="s">
        <v>48</v>
      </c>
      <c r="P47" s="293" t="s">
        <v>48</v>
      </c>
      <c r="Q47" s="293" t="s">
        <v>48</v>
      </c>
      <c r="R47" s="382">
        <f t="shared" si="1"/>
        <v>505</v>
      </c>
      <c r="S47" s="296" t="s">
        <v>300</v>
      </c>
      <c r="T47" s="291" t="s">
        <v>48</v>
      </c>
      <c r="U47" s="291" t="s">
        <v>48</v>
      </c>
      <c r="V47" s="291" t="s">
        <v>48</v>
      </c>
      <c r="W47" s="291" t="s">
        <v>48</v>
      </c>
      <c r="X47" s="291" t="s">
        <v>48</v>
      </c>
      <c r="Y47" s="291" t="s">
        <v>48</v>
      </c>
      <c r="Z47" s="291" t="s">
        <v>48</v>
      </c>
      <c r="AA47" s="291" t="s">
        <v>48</v>
      </c>
      <c r="AB47" s="291" t="s">
        <v>48</v>
      </c>
      <c r="AC47" s="291" t="s">
        <v>48</v>
      </c>
      <c r="AD47" s="291" t="s">
        <v>48</v>
      </c>
      <c r="AE47" s="291" t="s">
        <v>48</v>
      </c>
      <c r="AF47" s="272"/>
      <c r="AG47" s="285" t="s">
        <v>309</v>
      </c>
      <c r="AH47" s="293" t="s">
        <v>48</v>
      </c>
      <c r="AI47" s="293" t="s">
        <v>48</v>
      </c>
      <c r="AJ47" s="293" t="s">
        <v>48</v>
      </c>
      <c r="AK47" s="293" t="s">
        <v>48</v>
      </c>
      <c r="AL47" s="293" t="s">
        <v>48</v>
      </c>
      <c r="AM47" s="293" t="s">
        <v>48</v>
      </c>
      <c r="AN47" s="293" t="s">
        <v>48</v>
      </c>
      <c r="AO47" s="293" t="s">
        <v>48</v>
      </c>
      <c r="AP47" s="293" t="s">
        <v>48</v>
      </c>
      <c r="AQ47" s="293" t="s">
        <v>48</v>
      </c>
      <c r="AR47" s="293" t="s">
        <v>48</v>
      </c>
      <c r="AS47" s="293" t="s">
        <v>48</v>
      </c>
      <c r="AT47" s="293" t="s">
        <v>48</v>
      </c>
      <c r="AU47" s="293" t="s">
        <v>48</v>
      </c>
      <c r="AV47" s="293" t="s">
        <v>48</v>
      </c>
      <c r="AW47" s="293" t="s">
        <v>48</v>
      </c>
      <c r="AX47" s="295">
        <v>0</v>
      </c>
      <c r="AY47" s="296" t="s">
        <v>301</v>
      </c>
      <c r="AZ47" s="291" t="s">
        <v>48</v>
      </c>
      <c r="BA47" s="291" t="s">
        <v>48</v>
      </c>
      <c r="BB47" s="291" t="s">
        <v>48</v>
      </c>
      <c r="BC47" s="291" t="s">
        <v>48</v>
      </c>
      <c r="BD47" s="291" t="s">
        <v>48</v>
      </c>
      <c r="BE47" s="291" t="s">
        <v>48</v>
      </c>
      <c r="BF47" s="291" t="s">
        <v>48</v>
      </c>
      <c r="BG47" s="291" t="s">
        <v>48</v>
      </c>
      <c r="BH47" s="291" t="s">
        <v>48</v>
      </c>
      <c r="BI47" s="293" t="s">
        <v>48</v>
      </c>
      <c r="BJ47" s="293" t="s">
        <v>48</v>
      </c>
      <c r="BK47" s="293" t="s">
        <v>48</v>
      </c>
    </row>
    <row r="48" spans="1:63" x14ac:dyDescent="0.15">
      <c r="A48" s="285" t="s">
        <v>310</v>
      </c>
      <c r="B48" s="293" t="s">
        <v>48</v>
      </c>
      <c r="C48" s="293">
        <v>64</v>
      </c>
      <c r="D48" s="293">
        <v>34</v>
      </c>
      <c r="E48" s="293" t="s">
        <v>48</v>
      </c>
      <c r="F48" s="293">
        <v>65</v>
      </c>
      <c r="G48" s="293">
        <v>17</v>
      </c>
      <c r="H48" s="293">
        <v>26</v>
      </c>
      <c r="I48" s="293" t="s">
        <v>48</v>
      </c>
      <c r="J48" s="294">
        <v>6</v>
      </c>
      <c r="K48" s="294">
        <v>33</v>
      </c>
      <c r="L48" s="342">
        <v>5</v>
      </c>
      <c r="M48" s="293" t="s">
        <v>48</v>
      </c>
      <c r="N48" s="375">
        <v>4</v>
      </c>
      <c r="O48" s="293" t="s">
        <v>48</v>
      </c>
      <c r="P48" s="293" t="s">
        <v>48</v>
      </c>
      <c r="Q48" s="293" t="s">
        <v>48</v>
      </c>
      <c r="R48" s="382">
        <f t="shared" si="1"/>
        <v>254</v>
      </c>
      <c r="S48" s="296" t="s">
        <v>300</v>
      </c>
      <c r="T48" s="291" t="s">
        <v>48</v>
      </c>
      <c r="U48" s="291" t="s">
        <v>48</v>
      </c>
      <c r="V48" s="291" t="s">
        <v>48</v>
      </c>
      <c r="W48" s="291" t="s">
        <v>48</v>
      </c>
      <c r="X48" s="291" t="s">
        <v>48</v>
      </c>
      <c r="Y48" s="291" t="s">
        <v>48</v>
      </c>
      <c r="Z48" s="291" t="s">
        <v>48</v>
      </c>
      <c r="AA48" s="291" t="s">
        <v>48</v>
      </c>
      <c r="AB48" s="291" t="s">
        <v>48</v>
      </c>
      <c r="AC48" s="291" t="s">
        <v>48</v>
      </c>
      <c r="AD48" s="291" t="s">
        <v>48</v>
      </c>
      <c r="AE48" s="291" t="s">
        <v>48</v>
      </c>
      <c r="AF48" s="272"/>
      <c r="AG48" s="285" t="s">
        <v>310</v>
      </c>
      <c r="AH48" s="293" t="s">
        <v>48</v>
      </c>
      <c r="AI48" s="293" t="s">
        <v>48</v>
      </c>
      <c r="AJ48" s="293" t="s">
        <v>48</v>
      </c>
      <c r="AK48" s="293" t="s">
        <v>48</v>
      </c>
      <c r="AL48" s="293" t="s">
        <v>48</v>
      </c>
      <c r="AM48" s="293" t="s">
        <v>48</v>
      </c>
      <c r="AN48" s="293" t="s">
        <v>48</v>
      </c>
      <c r="AO48" s="293" t="s">
        <v>48</v>
      </c>
      <c r="AP48" s="293" t="s">
        <v>48</v>
      </c>
      <c r="AQ48" s="293" t="s">
        <v>48</v>
      </c>
      <c r="AR48" s="293" t="s">
        <v>48</v>
      </c>
      <c r="AS48" s="293" t="s">
        <v>48</v>
      </c>
      <c r="AT48" s="293" t="s">
        <v>48</v>
      </c>
      <c r="AU48" s="293" t="s">
        <v>48</v>
      </c>
      <c r="AV48" s="293" t="s">
        <v>48</v>
      </c>
      <c r="AW48" s="293" t="s">
        <v>48</v>
      </c>
      <c r="AX48" s="295">
        <v>0</v>
      </c>
      <c r="AY48" s="296" t="s">
        <v>301</v>
      </c>
      <c r="AZ48" s="291" t="s">
        <v>48</v>
      </c>
      <c r="BA48" s="291" t="s">
        <v>48</v>
      </c>
      <c r="BB48" s="291" t="s">
        <v>48</v>
      </c>
      <c r="BC48" s="291" t="s">
        <v>48</v>
      </c>
      <c r="BD48" s="291" t="s">
        <v>48</v>
      </c>
      <c r="BE48" s="291" t="s">
        <v>48</v>
      </c>
      <c r="BF48" s="291" t="s">
        <v>48</v>
      </c>
      <c r="BG48" s="291" t="s">
        <v>48</v>
      </c>
      <c r="BH48" s="291" t="s">
        <v>48</v>
      </c>
      <c r="BI48" s="293" t="s">
        <v>48</v>
      </c>
      <c r="BJ48" s="293" t="s">
        <v>48</v>
      </c>
      <c r="BK48" s="293" t="s">
        <v>48</v>
      </c>
    </row>
    <row r="49" spans="1:63" x14ac:dyDescent="0.15">
      <c r="A49" s="285" t="s">
        <v>311</v>
      </c>
      <c r="B49" s="293" t="s">
        <v>48</v>
      </c>
      <c r="C49" s="293">
        <v>10</v>
      </c>
      <c r="D49" s="293">
        <v>120</v>
      </c>
      <c r="E49" s="293" t="s">
        <v>48</v>
      </c>
      <c r="F49" s="293">
        <v>130</v>
      </c>
      <c r="G49" s="293">
        <v>65</v>
      </c>
      <c r="H49" s="293">
        <v>30</v>
      </c>
      <c r="I49" s="293" t="s">
        <v>48</v>
      </c>
      <c r="J49" s="294">
        <v>30</v>
      </c>
      <c r="K49" s="294">
        <v>26</v>
      </c>
      <c r="L49" s="342">
        <v>25</v>
      </c>
      <c r="M49" s="293" t="s">
        <v>48</v>
      </c>
      <c r="N49" s="375">
        <v>32</v>
      </c>
      <c r="O49" s="293" t="s">
        <v>48</v>
      </c>
      <c r="P49" s="293" t="s">
        <v>48</v>
      </c>
      <c r="Q49" s="293" t="s">
        <v>48</v>
      </c>
      <c r="R49" s="382">
        <f t="shared" si="1"/>
        <v>468</v>
      </c>
      <c r="S49" s="296" t="s">
        <v>300</v>
      </c>
      <c r="T49" s="291" t="s">
        <v>48</v>
      </c>
      <c r="U49" s="291" t="s">
        <v>48</v>
      </c>
      <c r="V49" s="291" t="s">
        <v>48</v>
      </c>
      <c r="W49" s="291" t="s">
        <v>48</v>
      </c>
      <c r="X49" s="291" t="s">
        <v>48</v>
      </c>
      <c r="Y49" s="291" t="s">
        <v>48</v>
      </c>
      <c r="Z49" s="291" t="s">
        <v>48</v>
      </c>
      <c r="AA49" s="291" t="s">
        <v>48</v>
      </c>
      <c r="AB49" s="291" t="s">
        <v>48</v>
      </c>
      <c r="AC49" s="291" t="s">
        <v>48</v>
      </c>
      <c r="AD49" s="291" t="s">
        <v>48</v>
      </c>
      <c r="AE49" s="291" t="s">
        <v>48</v>
      </c>
      <c r="AF49" s="272"/>
      <c r="AG49" s="285" t="s">
        <v>311</v>
      </c>
      <c r="AH49" s="293" t="s">
        <v>48</v>
      </c>
      <c r="AI49" s="293" t="s">
        <v>48</v>
      </c>
      <c r="AJ49" s="293" t="s">
        <v>48</v>
      </c>
      <c r="AK49" s="293" t="s">
        <v>48</v>
      </c>
      <c r="AL49" s="293" t="s">
        <v>48</v>
      </c>
      <c r="AM49" s="293" t="s">
        <v>48</v>
      </c>
      <c r="AN49" s="293" t="s">
        <v>48</v>
      </c>
      <c r="AO49" s="293" t="s">
        <v>48</v>
      </c>
      <c r="AP49" s="293" t="s">
        <v>48</v>
      </c>
      <c r="AQ49" s="293" t="s">
        <v>48</v>
      </c>
      <c r="AR49" s="293" t="s">
        <v>48</v>
      </c>
      <c r="AS49" s="293" t="s">
        <v>48</v>
      </c>
      <c r="AT49" s="293" t="s">
        <v>48</v>
      </c>
      <c r="AU49" s="293" t="s">
        <v>48</v>
      </c>
      <c r="AV49" s="293" t="s">
        <v>48</v>
      </c>
      <c r="AW49" s="293" t="s">
        <v>48</v>
      </c>
      <c r="AX49" s="295">
        <v>0</v>
      </c>
      <c r="AY49" s="296" t="s">
        <v>301</v>
      </c>
      <c r="AZ49" s="291" t="s">
        <v>48</v>
      </c>
      <c r="BA49" s="291" t="s">
        <v>48</v>
      </c>
      <c r="BB49" s="291" t="s">
        <v>48</v>
      </c>
      <c r="BC49" s="291" t="s">
        <v>48</v>
      </c>
      <c r="BD49" s="291" t="s">
        <v>48</v>
      </c>
      <c r="BE49" s="291" t="s">
        <v>48</v>
      </c>
      <c r="BF49" s="291" t="s">
        <v>48</v>
      </c>
      <c r="BG49" s="291" t="s">
        <v>48</v>
      </c>
      <c r="BH49" s="291" t="s">
        <v>48</v>
      </c>
      <c r="BI49" s="293" t="s">
        <v>48</v>
      </c>
      <c r="BJ49" s="293" t="s">
        <v>48</v>
      </c>
      <c r="BK49" s="293" t="s">
        <v>48</v>
      </c>
    </row>
    <row r="50" spans="1:63" x14ac:dyDescent="0.15">
      <c r="A50" s="285" t="s">
        <v>312</v>
      </c>
      <c r="B50" s="293" t="s">
        <v>48</v>
      </c>
      <c r="C50" s="293">
        <v>9</v>
      </c>
      <c r="D50" s="293">
        <v>48</v>
      </c>
      <c r="E50" s="293" t="s">
        <v>48</v>
      </c>
      <c r="F50" s="293">
        <v>108</v>
      </c>
      <c r="G50" s="293">
        <v>20</v>
      </c>
      <c r="H50" s="293">
        <v>19</v>
      </c>
      <c r="I50" s="293" t="s">
        <v>48</v>
      </c>
      <c r="J50" s="294">
        <v>9</v>
      </c>
      <c r="K50" s="294">
        <v>35</v>
      </c>
      <c r="L50" s="342">
        <v>89</v>
      </c>
      <c r="M50" s="293" t="s">
        <v>48</v>
      </c>
      <c r="N50" s="374">
        <v>59</v>
      </c>
      <c r="O50" s="293" t="s">
        <v>48</v>
      </c>
      <c r="P50" s="293" t="s">
        <v>48</v>
      </c>
      <c r="Q50" s="293" t="s">
        <v>48</v>
      </c>
      <c r="R50" s="382">
        <f t="shared" si="1"/>
        <v>396</v>
      </c>
      <c r="S50" s="296" t="s">
        <v>300</v>
      </c>
      <c r="T50" s="291" t="s">
        <v>48</v>
      </c>
      <c r="U50" s="291" t="s">
        <v>48</v>
      </c>
      <c r="V50" s="291" t="s">
        <v>48</v>
      </c>
      <c r="W50" s="291" t="s">
        <v>48</v>
      </c>
      <c r="X50" s="291" t="s">
        <v>48</v>
      </c>
      <c r="Y50" s="291" t="s">
        <v>48</v>
      </c>
      <c r="Z50" s="291" t="s">
        <v>48</v>
      </c>
      <c r="AA50" s="291" t="s">
        <v>48</v>
      </c>
      <c r="AB50" s="291" t="s">
        <v>48</v>
      </c>
      <c r="AC50" s="291" t="s">
        <v>48</v>
      </c>
      <c r="AD50" s="291" t="s">
        <v>48</v>
      </c>
      <c r="AE50" s="291" t="s">
        <v>48</v>
      </c>
      <c r="AF50" s="272"/>
      <c r="AG50" s="285" t="s">
        <v>312</v>
      </c>
      <c r="AH50" s="293" t="s">
        <v>48</v>
      </c>
      <c r="AI50" s="293" t="s">
        <v>48</v>
      </c>
      <c r="AJ50" s="293" t="s">
        <v>48</v>
      </c>
      <c r="AK50" s="293" t="s">
        <v>48</v>
      </c>
      <c r="AL50" s="293" t="s">
        <v>48</v>
      </c>
      <c r="AM50" s="293" t="s">
        <v>48</v>
      </c>
      <c r="AN50" s="293" t="s">
        <v>48</v>
      </c>
      <c r="AO50" s="293" t="s">
        <v>48</v>
      </c>
      <c r="AP50" s="293" t="s">
        <v>48</v>
      </c>
      <c r="AQ50" s="293" t="s">
        <v>48</v>
      </c>
      <c r="AR50" s="293" t="s">
        <v>48</v>
      </c>
      <c r="AS50" s="293" t="s">
        <v>48</v>
      </c>
      <c r="AT50" s="293" t="s">
        <v>48</v>
      </c>
      <c r="AU50" s="293" t="s">
        <v>48</v>
      </c>
      <c r="AV50" s="293" t="s">
        <v>48</v>
      </c>
      <c r="AW50" s="293" t="s">
        <v>48</v>
      </c>
      <c r="AX50" s="295">
        <v>0</v>
      </c>
      <c r="AY50" s="296" t="s">
        <v>301</v>
      </c>
      <c r="AZ50" s="291" t="s">
        <v>48</v>
      </c>
      <c r="BA50" s="291" t="s">
        <v>48</v>
      </c>
      <c r="BB50" s="291" t="s">
        <v>48</v>
      </c>
      <c r="BC50" s="291" t="s">
        <v>48</v>
      </c>
      <c r="BD50" s="291" t="s">
        <v>48</v>
      </c>
      <c r="BE50" s="291" t="s">
        <v>48</v>
      </c>
      <c r="BF50" s="291" t="s">
        <v>48</v>
      </c>
      <c r="BG50" s="291" t="s">
        <v>48</v>
      </c>
      <c r="BH50" s="291" t="s">
        <v>48</v>
      </c>
      <c r="BI50" s="291" t="s">
        <v>48</v>
      </c>
      <c r="BJ50" s="291" t="s">
        <v>48</v>
      </c>
      <c r="BK50" s="291" t="s">
        <v>48</v>
      </c>
    </row>
    <row r="51" spans="1:63" x14ac:dyDescent="0.15">
      <c r="A51" s="285" t="s">
        <v>313</v>
      </c>
      <c r="B51" s="293" t="s">
        <v>48</v>
      </c>
      <c r="C51" s="293" t="s">
        <v>48</v>
      </c>
      <c r="D51" s="293">
        <v>0</v>
      </c>
      <c r="E51" s="293" t="s">
        <v>48</v>
      </c>
      <c r="F51" s="293">
        <v>0</v>
      </c>
      <c r="G51" s="293">
        <v>0</v>
      </c>
      <c r="H51" s="293">
        <v>0</v>
      </c>
      <c r="I51" s="293" t="s">
        <v>48</v>
      </c>
      <c r="J51" s="294">
        <v>41</v>
      </c>
      <c r="K51" s="294">
        <v>65</v>
      </c>
      <c r="L51" s="342">
        <v>38</v>
      </c>
      <c r="M51" s="293" t="s">
        <v>48</v>
      </c>
      <c r="N51" s="375">
        <v>12</v>
      </c>
      <c r="O51" s="293" t="s">
        <v>48</v>
      </c>
      <c r="P51" s="293" t="s">
        <v>48</v>
      </c>
      <c r="Q51" s="293" t="s">
        <v>48</v>
      </c>
      <c r="R51" s="382">
        <f t="shared" si="1"/>
        <v>156</v>
      </c>
      <c r="S51" s="296" t="s">
        <v>300</v>
      </c>
      <c r="T51" s="291" t="s">
        <v>48</v>
      </c>
      <c r="U51" s="291" t="s">
        <v>48</v>
      </c>
      <c r="V51" s="291" t="s">
        <v>48</v>
      </c>
      <c r="W51" s="291" t="s">
        <v>48</v>
      </c>
      <c r="X51" s="291" t="s">
        <v>48</v>
      </c>
      <c r="Y51" s="291" t="s">
        <v>48</v>
      </c>
      <c r="Z51" s="291" t="s">
        <v>48</v>
      </c>
      <c r="AA51" s="291" t="s">
        <v>48</v>
      </c>
      <c r="AB51" s="291" t="s">
        <v>48</v>
      </c>
      <c r="AC51" s="291" t="s">
        <v>48</v>
      </c>
      <c r="AD51" s="291" t="s">
        <v>48</v>
      </c>
      <c r="AE51" s="291" t="s">
        <v>48</v>
      </c>
      <c r="AF51" s="272"/>
      <c r="AG51" s="285" t="s">
        <v>313</v>
      </c>
      <c r="AH51" s="293" t="s">
        <v>48</v>
      </c>
      <c r="AI51" s="293" t="s">
        <v>48</v>
      </c>
      <c r="AJ51" s="293" t="s">
        <v>48</v>
      </c>
      <c r="AK51" s="293" t="s">
        <v>48</v>
      </c>
      <c r="AL51" s="293" t="s">
        <v>48</v>
      </c>
      <c r="AM51" s="293" t="s">
        <v>48</v>
      </c>
      <c r="AN51" s="293" t="s">
        <v>48</v>
      </c>
      <c r="AO51" s="293" t="s">
        <v>48</v>
      </c>
      <c r="AP51" s="293" t="s">
        <v>48</v>
      </c>
      <c r="AQ51" s="293" t="s">
        <v>48</v>
      </c>
      <c r="AR51" s="293" t="s">
        <v>48</v>
      </c>
      <c r="AS51" s="293" t="s">
        <v>48</v>
      </c>
      <c r="AT51" s="293" t="s">
        <v>48</v>
      </c>
      <c r="AU51" s="293" t="s">
        <v>48</v>
      </c>
      <c r="AV51" s="293" t="s">
        <v>48</v>
      </c>
      <c r="AW51" s="293" t="s">
        <v>48</v>
      </c>
      <c r="AX51" s="295">
        <v>0</v>
      </c>
      <c r="AY51" s="296" t="s">
        <v>301</v>
      </c>
      <c r="AZ51" s="291" t="s">
        <v>48</v>
      </c>
      <c r="BA51" s="291" t="s">
        <v>48</v>
      </c>
      <c r="BB51" s="291" t="s">
        <v>48</v>
      </c>
      <c r="BC51" s="291" t="s">
        <v>48</v>
      </c>
      <c r="BD51" s="291" t="s">
        <v>48</v>
      </c>
      <c r="BE51" s="291" t="s">
        <v>48</v>
      </c>
      <c r="BF51" s="291" t="s">
        <v>48</v>
      </c>
      <c r="BG51" s="291" t="s">
        <v>48</v>
      </c>
      <c r="BH51" s="291" t="s">
        <v>48</v>
      </c>
      <c r="BI51" s="291" t="s">
        <v>48</v>
      </c>
      <c r="BJ51" s="291" t="s">
        <v>48</v>
      </c>
      <c r="BK51" s="291" t="s">
        <v>48</v>
      </c>
    </row>
    <row r="52" spans="1:63" x14ac:dyDescent="0.15">
      <c r="A52" s="285" t="s">
        <v>314</v>
      </c>
      <c r="B52" s="293" t="s">
        <v>48</v>
      </c>
      <c r="C52" s="293" t="s">
        <v>48</v>
      </c>
      <c r="D52" s="293">
        <v>0</v>
      </c>
      <c r="E52" s="293" t="s">
        <v>48</v>
      </c>
      <c r="F52" s="293">
        <v>0</v>
      </c>
      <c r="G52" s="293">
        <v>9</v>
      </c>
      <c r="H52" s="293">
        <v>12</v>
      </c>
      <c r="I52" s="293" t="s">
        <v>48</v>
      </c>
      <c r="J52" s="294">
        <v>0</v>
      </c>
      <c r="K52" s="294">
        <v>0</v>
      </c>
      <c r="L52" s="342">
        <v>48</v>
      </c>
      <c r="M52" s="293" t="s">
        <v>48</v>
      </c>
      <c r="N52" s="375">
        <v>1</v>
      </c>
      <c r="O52" s="293" t="s">
        <v>48</v>
      </c>
      <c r="P52" s="293" t="s">
        <v>48</v>
      </c>
      <c r="Q52" s="293" t="s">
        <v>48</v>
      </c>
      <c r="R52" s="382">
        <f t="shared" si="1"/>
        <v>70</v>
      </c>
      <c r="S52" s="296" t="s">
        <v>300</v>
      </c>
      <c r="T52" s="291" t="s">
        <v>48</v>
      </c>
      <c r="U52" s="291" t="s">
        <v>48</v>
      </c>
      <c r="V52" s="291" t="s">
        <v>48</v>
      </c>
      <c r="W52" s="291" t="s">
        <v>48</v>
      </c>
      <c r="X52" s="291" t="s">
        <v>48</v>
      </c>
      <c r="Y52" s="291" t="s">
        <v>48</v>
      </c>
      <c r="Z52" s="291" t="s">
        <v>48</v>
      </c>
      <c r="AA52" s="291" t="s">
        <v>48</v>
      </c>
      <c r="AB52" s="291" t="s">
        <v>48</v>
      </c>
      <c r="AC52" s="291" t="s">
        <v>48</v>
      </c>
      <c r="AD52" s="291" t="s">
        <v>48</v>
      </c>
      <c r="AE52" s="291" t="s">
        <v>48</v>
      </c>
      <c r="AF52" s="272"/>
      <c r="AG52" s="285" t="s">
        <v>314</v>
      </c>
      <c r="AH52" s="293" t="s">
        <v>48</v>
      </c>
      <c r="AI52" s="293" t="s">
        <v>48</v>
      </c>
      <c r="AJ52" s="293" t="s">
        <v>48</v>
      </c>
      <c r="AK52" s="293" t="s">
        <v>48</v>
      </c>
      <c r="AL52" s="293" t="s">
        <v>48</v>
      </c>
      <c r="AM52" s="293" t="s">
        <v>48</v>
      </c>
      <c r="AN52" s="293" t="s">
        <v>48</v>
      </c>
      <c r="AO52" s="293" t="s">
        <v>48</v>
      </c>
      <c r="AP52" s="293" t="s">
        <v>48</v>
      </c>
      <c r="AQ52" s="293" t="s">
        <v>48</v>
      </c>
      <c r="AR52" s="293" t="s">
        <v>48</v>
      </c>
      <c r="AS52" s="293" t="s">
        <v>48</v>
      </c>
      <c r="AT52" s="293" t="s">
        <v>48</v>
      </c>
      <c r="AU52" s="293" t="s">
        <v>48</v>
      </c>
      <c r="AV52" s="293" t="s">
        <v>48</v>
      </c>
      <c r="AW52" s="293" t="s">
        <v>48</v>
      </c>
      <c r="AX52" s="295">
        <v>0</v>
      </c>
      <c r="AY52" s="296" t="s">
        <v>301</v>
      </c>
      <c r="AZ52" s="291" t="s">
        <v>48</v>
      </c>
      <c r="BA52" s="291" t="s">
        <v>48</v>
      </c>
      <c r="BB52" s="291" t="s">
        <v>48</v>
      </c>
      <c r="BC52" s="291" t="s">
        <v>48</v>
      </c>
      <c r="BD52" s="291" t="s">
        <v>48</v>
      </c>
      <c r="BE52" s="291" t="s">
        <v>48</v>
      </c>
      <c r="BF52" s="291" t="s">
        <v>48</v>
      </c>
      <c r="BG52" s="291" t="s">
        <v>48</v>
      </c>
      <c r="BH52" s="291" t="s">
        <v>48</v>
      </c>
      <c r="BI52" s="291" t="s">
        <v>48</v>
      </c>
      <c r="BJ52" s="291" t="s">
        <v>48</v>
      </c>
      <c r="BK52" s="291" t="s">
        <v>48</v>
      </c>
    </row>
    <row r="53" spans="1:63" x14ac:dyDescent="0.15">
      <c r="A53" s="285" t="s">
        <v>315</v>
      </c>
      <c r="B53" s="293" t="s">
        <v>48</v>
      </c>
      <c r="C53" s="293">
        <v>20</v>
      </c>
      <c r="D53" s="293">
        <v>31</v>
      </c>
      <c r="E53" s="293" t="s">
        <v>48</v>
      </c>
      <c r="F53" s="293">
        <v>4</v>
      </c>
      <c r="G53" s="293">
        <v>11</v>
      </c>
      <c r="H53" s="293">
        <v>57</v>
      </c>
      <c r="I53" s="293" t="s">
        <v>48</v>
      </c>
      <c r="J53" s="294">
        <v>18</v>
      </c>
      <c r="K53" s="294">
        <v>118</v>
      </c>
      <c r="L53" s="342">
        <v>0</v>
      </c>
      <c r="M53" s="293" t="s">
        <v>48</v>
      </c>
      <c r="N53" s="375">
        <v>10</v>
      </c>
      <c r="O53" s="293" t="s">
        <v>48</v>
      </c>
      <c r="P53" s="293" t="s">
        <v>48</v>
      </c>
      <c r="Q53" s="293" t="s">
        <v>48</v>
      </c>
      <c r="R53" s="382">
        <f t="shared" si="1"/>
        <v>269</v>
      </c>
      <c r="S53" s="296" t="s">
        <v>300</v>
      </c>
      <c r="T53" s="291" t="s">
        <v>48</v>
      </c>
      <c r="U53" s="291" t="s">
        <v>48</v>
      </c>
      <c r="V53" s="291" t="s">
        <v>48</v>
      </c>
      <c r="W53" s="291" t="s">
        <v>48</v>
      </c>
      <c r="X53" s="291" t="s">
        <v>48</v>
      </c>
      <c r="Y53" s="291" t="s">
        <v>48</v>
      </c>
      <c r="Z53" s="291" t="s">
        <v>48</v>
      </c>
      <c r="AA53" s="291" t="s">
        <v>48</v>
      </c>
      <c r="AB53" s="291" t="s">
        <v>48</v>
      </c>
      <c r="AC53" s="291" t="s">
        <v>48</v>
      </c>
      <c r="AD53" s="291" t="s">
        <v>48</v>
      </c>
      <c r="AE53" s="291" t="s">
        <v>48</v>
      </c>
      <c r="AF53" s="272"/>
      <c r="AG53" s="285" t="s">
        <v>315</v>
      </c>
      <c r="AH53" s="293" t="s">
        <v>48</v>
      </c>
      <c r="AI53" s="293" t="s">
        <v>48</v>
      </c>
      <c r="AJ53" s="293" t="s">
        <v>48</v>
      </c>
      <c r="AK53" s="293" t="s">
        <v>48</v>
      </c>
      <c r="AL53" s="293" t="s">
        <v>48</v>
      </c>
      <c r="AM53" s="293" t="s">
        <v>48</v>
      </c>
      <c r="AN53" s="293" t="s">
        <v>48</v>
      </c>
      <c r="AO53" s="293" t="s">
        <v>48</v>
      </c>
      <c r="AP53" s="293" t="s">
        <v>48</v>
      </c>
      <c r="AQ53" s="293" t="s">
        <v>48</v>
      </c>
      <c r="AR53" s="293" t="s">
        <v>48</v>
      </c>
      <c r="AS53" s="293" t="s">
        <v>48</v>
      </c>
      <c r="AT53" s="293" t="s">
        <v>48</v>
      </c>
      <c r="AU53" s="293" t="s">
        <v>48</v>
      </c>
      <c r="AV53" s="293" t="s">
        <v>48</v>
      </c>
      <c r="AW53" s="293" t="s">
        <v>48</v>
      </c>
      <c r="AX53" s="295">
        <v>0</v>
      </c>
      <c r="AY53" s="296" t="s">
        <v>301</v>
      </c>
      <c r="AZ53" s="291" t="s">
        <v>48</v>
      </c>
      <c r="BA53" s="291" t="s">
        <v>48</v>
      </c>
      <c r="BB53" s="291" t="s">
        <v>48</v>
      </c>
      <c r="BC53" s="291" t="s">
        <v>48</v>
      </c>
      <c r="BD53" s="291" t="s">
        <v>48</v>
      </c>
      <c r="BE53" s="291" t="s">
        <v>48</v>
      </c>
      <c r="BF53" s="291" t="s">
        <v>48</v>
      </c>
      <c r="BG53" s="291" t="s">
        <v>48</v>
      </c>
      <c r="BH53" s="291" t="s">
        <v>48</v>
      </c>
      <c r="BI53" s="291" t="s">
        <v>48</v>
      </c>
      <c r="BJ53" s="291" t="s">
        <v>48</v>
      </c>
      <c r="BK53" s="291" t="s">
        <v>48</v>
      </c>
    </row>
    <row r="54" spans="1:63" x14ac:dyDescent="0.15">
      <c r="A54" s="285" t="s">
        <v>316</v>
      </c>
      <c r="B54" s="293" t="s">
        <v>48</v>
      </c>
      <c r="C54" s="293" t="s">
        <v>48</v>
      </c>
      <c r="D54" s="293">
        <v>0</v>
      </c>
      <c r="E54" s="293" t="s">
        <v>48</v>
      </c>
      <c r="F54" s="293">
        <v>38</v>
      </c>
      <c r="G54" s="293">
        <v>0</v>
      </c>
      <c r="H54" s="293">
        <v>3</v>
      </c>
      <c r="I54" s="293" t="s">
        <v>48</v>
      </c>
      <c r="J54" s="294">
        <v>20</v>
      </c>
      <c r="K54" s="294">
        <v>21</v>
      </c>
      <c r="L54" s="342">
        <v>30</v>
      </c>
      <c r="M54" s="293" t="s">
        <v>48</v>
      </c>
      <c r="N54" s="375">
        <v>23</v>
      </c>
      <c r="O54" s="293" t="s">
        <v>48</v>
      </c>
      <c r="P54" s="293" t="s">
        <v>48</v>
      </c>
      <c r="Q54" s="293" t="s">
        <v>48</v>
      </c>
      <c r="R54" s="382">
        <f t="shared" si="1"/>
        <v>135</v>
      </c>
      <c r="S54" s="296" t="s">
        <v>300</v>
      </c>
      <c r="T54" s="291" t="s">
        <v>48</v>
      </c>
      <c r="U54" s="291" t="s">
        <v>48</v>
      </c>
      <c r="V54" s="291" t="s">
        <v>48</v>
      </c>
      <c r="W54" s="291" t="s">
        <v>48</v>
      </c>
      <c r="X54" s="291" t="s">
        <v>48</v>
      </c>
      <c r="Y54" s="291" t="s">
        <v>48</v>
      </c>
      <c r="Z54" s="291" t="s">
        <v>48</v>
      </c>
      <c r="AA54" s="291" t="s">
        <v>48</v>
      </c>
      <c r="AB54" s="291" t="s">
        <v>48</v>
      </c>
      <c r="AC54" s="291" t="s">
        <v>48</v>
      </c>
      <c r="AD54" s="291" t="s">
        <v>48</v>
      </c>
      <c r="AE54" s="291" t="s">
        <v>48</v>
      </c>
      <c r="AF54" s="272"/>
      <c r="AG54" s="285" t="s">
        <v>316</v>
      </c>
      <c r="AH54" s="293" t="s">
        <v>48</v>
      </c>
      <c r="AI54" s="293" t="s">
        <v>48</v>
      </c>
      <c r="AJ54" s="293" t="s">
        <v>48</v>
      </c>
      <c r="AK54" s="293" t="s">
        <v>48</v>
      </c>
      <c r="AL54" s="293" t="s">
        <v>48</v>
      </c>
      <c r="AM54" s="293" t="s">
        <v>48</v>
      </c>
      <c r="AN54" s="293" t="s">
        <v>48</v>
      </c>
      <c r="AO54" s="293" t="s">
        <v>48</v>
      </c>
      <c r="AP54" s="293" t="s">
        <v>48</v>
      </c>
      <c r="AQ54" s="293" t="s">
        <v>48</v>
      </c>
      <c r="AR54" s="293" t="s">
        <v>48</v>
      </c>
      <c r="AS54" s="293" t="s">
        <v>48</v>
      </c>
      <c r="AT54" s="293" t="s">
        <v>48</v>
      </c>
      <c r="AU54" s="293" t="s">
        <v>48</v>
      </c>
      <c r="AV54" s="293" t="s">
        <v>48</v>
      </c>
      <c r="AW54" s="293" t="s">
        <v>48</v>
      </c>
      <c r="AX54" s="295">
        <v>0</v>
      </c>
      <c r="AY54" s="296" t="s">
        <v>301</v>
      </c>
      <c r="AZ54" s="291" t="s">
        <v>48</v>
      </c>
      <c r="BA54" s="291" t="s">
        <v>48</v>
      </c>
      <c r="BB54" s="291" t="s">
        <v>48</v>
      </c>
      <c r="BC54" s="291" t="s">
        <v>48</v>
      </c>
      <c r="BD54" s="291" t="s">
        <v>48</v>
      </c>
      <c r="BE54" s="291" t="s">
        <v>48</v>
      </c>
      <c r="BF54" s="291" t="s">
        <v>48</v>
      </c>
      <c r="BG54" s="291" t="s">
        <v>48</v>
      </c>
      <c r="BH54" s="291" t="s">
        <v>48</v>
      </c>
      <c r="BI54" s="291" t="s">
        <v>48</v>
      </c>
      <c r="BJ54" s="291" t="s">
        <v>48</v>
      </c>
      <c r="BK54" s="291" t="s">
        <v>48</v>
      </c>
    </row>
    <row r="55" spans="1:63" x14ac:dyDescent="0.15">
      <c r="A55" s="285" t="s">
        <v>317</v>
      </c>
      <c r="B55" s="293" t="s">
        <v>48</v>
      </c>
      <c r="C55" s="293" t="s">
        <v>48</v>
      </c>
      <c r="D55" s="293">
        <v>67</v>
      </c>
      <c r="E55" s="293" t="s">
        <v>48</v>
      </c>
      <c r="F55" s="293">
        <v>18</v>
      </c>
      <c r="G55" s="293">
        <v>59</v>
      </c>
      <c r="H55" s="293">
        <v>46</v>
      </c>
      <c r="I55" s="293" t="s">
        <v>48</v>
      </c>
      <c r="J55" s="294">
        <v>15</v>
      </c>
      <c r="K55" s="294">
        <v>17</v>
      </c>
      <c r="L55" s="342">
        <v>57</v>
      </c>
      <c r="M55" s="293" t="s">
        <v>48</v>
      </c>
      <c r="N55" s="374">
        <v>27</v>
      </c>
      <c r="O55" s="293" t="s">
        <v>48</v>
      </c>
      <c r="P55" s="293" t="s">
        <v>48</v>
      </c>
      <c r="Q55" s="293" t="s">
        <v>48</v>
      </c>
      <c r="R55" s="382">
        <f t="shared" si="1"/>
        <v>306</v>
      </c>
      <c r="S55" s="296" t="s">
        <v>300</v>
      </c>
      <c r="T55" s="291" t="s">
        <v>48</v>
      </c>
      <c r="U55" s="291" t="s">
        <v>48</v>
      </c>
      <c r="V55" s="291" t="s">
        <v>48</v>
      </c>
      <c r="W55" s="291" t="s">
        <v>48</v>
      </c>
      <c r="X55" s="291" t="s">
        <v>48</v>
      </c>
      <c r="Y55" s="291" t="s">
        <v>48</v>
      </c>
      <c r="Z55" s="291" t="s">
        <v>48</v>
      </c>
      <c r="AA55" s="291" t="s">
        <v>48</v>
      </c>
      <c r="AB55" s="291" t="s">
        <v>48</v>
      </c>
      <c r="AC55" s="291" t="s">
        <v>48</v>
      </c>
      <c r="AD55" s="291" t="s">
        <v>48</v>
      </c>
      <c r="AE55" s="291" t="s">
        <v>48</v>
      </c>
      <c r="AF55" s="272"/>
      <c r="AG55" s="285" t="s">
        <v>317</v>
      </c>
      <c r="AH55" s="293" t="s">
        <v>48</v>
      </c>
      <c r="AI55" s="293" t="s">
        <v>48</v>
      </c>
      <c r="AJ55" s="293" t="s">
        <v>48</v>
      </c>
      <c r="AK55" s="293" t="s">
        <v>48</v>
      </c>
      <c r="AL55" s="293" t="s">
        <v>48</v>
      </c>
      <c r="AM55" s="293" t="s">
        <v>48</v>
      </c>
      <c r="AN55" s="293" t="s">
        <v>48</v>
      </c>
      <c r="AO55" s="293" t="s">
        <v>48</v>
      </c>
      <c r="AP55" s="293" t="s">
        <v>48</v>
      </c>
      <c r="AQ55" s="293" t="s">
        <v>48</v>
      </c>
      <c r="AR55" s="293" t="s">
        <v>48</v>
      </c>
      <c r="AS55" s="293" t="s">
        <v>48</v>
      </c>
      <c r="AT55" s="293" t="s">
        <v>48</v>
      </c>
      <c r="AU55" s="293" t="s">
        <v>48</v>
      </c>
      <c r="AV55" s="293" t="s">
        <v>48</v>
      </c>
      <c r="AW55" s="293" t="s">
        <v>48</v>
      </c>
      <c r="AX55" s="295">
        <v>0</v>
      </c>
      <c r="AY55" s="296" t="s">
        <v>301</v>
      </c>
      <c r="AZ55" s="291" t="s">
        <v>48</v>
      </c>
      <c r="BA55" s="291" t="s">
        <v>48</v>
      </c>
      <c r="BB55" s="291" t="s">
        <v>48</v>
      </c>
      <c r="BC55" s="291" t="s">
        <v>48</v>
      </c>
      <c r="BD55" s="291" t="s">
        <v>48</v>
      </c>
      <c r="BE55" s="291" t="s">
        <v>48</v>
      </c>
      <c r="BF55" s="291" t="s">
        <v>48</v>
      </c>
      <c r="BG55" s="291" t="s">
        <v>48</v>
      </c>
      <c r="BH55" s="291" t="s">
        <v>48</v>
      </c>
      <c r="BI55" s="291" t="s">
        <v>48</v>
      </c>
      <c r="BJ55" s="291" t="s">
        <v>48</v>
      </c>
      <c r="BK55" s="291" t="s">
        <v>48</v>
      </c>
    </row>
    <row r="56" spans="1:63" x14ac:dyDescent="0.15">
      <c r="A56" s="285" t="s">
        <v>318</v>
      </c>
      <c r="B56" s="293" t="s">
        <v>48</v>
      </c>
      <c r="C56" s="293" t="s">
        <v>48</v>
      </c>
      <c r="D56" s="293">
        <v>13</v>
      </c>
      <c r="E56" s="293" t="s">
        <v>48</v>
      </c>
      <c r="F56" s="293">
        <v>3</v>
      </c>
      <c r="G56" s="293">
        <v>18</v>
      </c>
      <c r="H56" s="293">
        <v>0</v>
      </c>
      <c r="I56" s="293" t="s">
        <v>48</v>
      </c>
      <c r="J56" s="294">
        <v>18</v>
      </c>
      <c r="K56" s="294">
        <v>14</v>
      </c>
      <c r="L56" s="342">
        <v>52</v>
      </c>
      <c r="M56" s="293" t="s">
        <v>48</v>
      </c>
      <c r="N56" s="375">
        <v>7</v>
      </c>
      <c r="O56" s="293" t="s">
        <v>48</v>
      </c>
      <c r="P56" s="293" t="s">
        <v>48</v>
      </c>
      <c r="Q56" s="293" t="s">
        <v>48</v>
      </c>
      <c r="R56" s="382">
        <f t="shared" si="1"/>
        <v>125</v>
      </c>
      <c r="S56" s="296" t="s">
        <v>300</v>
      </c>
      <c r="T56" s="291" t="s">
        <v>48</v>
      </c>
      <c r="U56" s="291" t="s">
        <v>48</v>
      </c>
      <c r="V56" s="291" t="s">
        <v>48</v>
      </c>
      <c r="W56" s="291" t="s">
        <v>48</v>
      </c>
      <c r="X56" s="291" t="s">
        <v>48</v>
      </c>
      <c r="Y56" s="291" t="s">
        <v>48</v>
      </c>
      <c r="Z56" s="291" t="s">
        <v>48</v>
      </c>
      <c r="AA56" s="291" t="s">
        <v>48</v>
      </c>
      <c r="AB56" s="291" t="s">
        <v>48</v>
      </c>
      <c r="AC56" s="291" t="s">
        <v>48</v>
      </c>
      <c r="AD56" s="291" t="s">
        <v>48</v>
      </c>
      <c r="AE56" s="291" t="s">
        <v>48</v>
      </c>
      <c r="AF56" s="272"/>
      <c r="AG56" s="285" t="s">
        <v>318</v>
      </c>
      <c r="AH56" s="293" t="s">
        <v>48</v>
      </c>
      <c r="AI56" s="293" t="s">
        <v>48</v>
      </c>
      <c r="AJ56" s="293" t="s">
        <v>48</v>
      </c>
      <c r="AK56" s="293" t="s">
        <v>48</v>
      </c>
      <c r="AL56" s="293" t="s">
        <v>48</v>
      </c>
      <c r="AM56" s="293" t="s">
        <v>48</v>
      </c>
      <c r="AN56" s="293" t="s">
        <v>48</v>
      </c>
      <c r="AO56" s="293" t="s">
        <v>48</v>
      </c>
      <c r="AP56" s="293" t="s">
        <v>48</v>
      </c>
      <c r="AQ56" s="293" t="s">
        <v>48</v>
      </c>
      <c r="AR56" s="293" t="s">
        <v>48</v>
      </c>
      <c r="AS56" s="293" t="s">
        <v>48</v>
      </c>
      <c r="AT56" s="293" t="s">
        <v>48</v>
      </c>
      <c r="AU56" s="293" t="s">
        <v>48</v>
      </c>
      <c r="AV56" s="293" t="s">
        <v>48</v>
      </c>
      <c r="AW56" s="293" t="s">
        <v>48</v>
      </c>
      <c r="AX56" s="295">
        <v>0</v>
      </c>
      <c r="AY56" s="296" t="s">
        <v>301</v>
      </c>
      <c r="AZ56" s="291" t="s">
        <v>48</v>
      </c>
      <c r="BA56" s="291" t="s">
        <v>48</v>
      </c>
      <c r="BB56" s="291" t="s">
        <v>48</v>
      </c>
      <c r="BC56" s="291" t="s">
        <v>48</v>
      </c>
      <c r="BD56" s="291" t="s">
        <v>48</v>
      </c>
      <c r="BE56" s="291" t="s">
        <v>48</v>
      </c>
      <c r="BF56" s="291" t="s">
        <v>48</v>
      </c>
      <c r="BG56" s="291" t="s">
        <v>48</v>
      </c>
      <c r="BH56" s="291" t="s">
        <v>48</v>
      </c>
      <c r="BI56" s="291" t="s">
        <v>48</v>
      </c>
      <c r="BJ56" s="291" t="s">
        <v>48</v>
      </c>
      <c r="BK56" s="291" t="s">
        <v>48</v>
      </c>
    </row>
    <row r="57" spans="1:63" x14ac:dyDescent="0.15">
      <c r="A57" s="285" t="s">
        <v>319</v>
      </c>
      <c r="B57" s="293" t="s">
        <v>48</v>
      </c>
      <c r="C57" s="293" t="s">
        <v>48</v>
      </c>
      <c r="D57" s="293">
        <v>6</v>
      </c>
      <c r="E57" s="293" t="s">
        <v>48</v>
      </c>
      <c r="F57" s="293">
        <v>7</v>
      </c>
      <c r="G57" s="293">
        <v>3</v>
      </c>
      <c r="H57" s="293">
        <v>37</v>
      </c>
      <c r="I57" s="293" t="s">
        <v>48</v>
      </c>
      <c r="J57" s="294">
        <v>18</v>
      </c>
      <c r="K57" s="294">
        <v>20</v>
      </c>
      <c r="L57" s="342">
        <v>16</v>
      </c>
      <c r="M57" s="293" t="s">
        <v>48</v>
      </c>
      <c r="N57" s="375">
        <v>24</v>
      </c>
      <c r="O57" s="293" t="s">
        <v>48</v>
      </c>
      <c r="P57" s="293" t="s">
        <v>48</v>
      </c>
      <c r="Q57" s="293" t="s">
        <v>48</v>
      </c>
      <c r="R57" s="382">
        <f t="shared" si="1"/>
        <v>131</v>
      </c>
      <c r="S57" s="296" t="s">
        <v>300</v>
      </c>
      <c r="T57" s="291" t="s">
        <v>48</v>
      </c>
      <c r="U57" s="291" t="s">
        <v>48</v>
      </c>
      <c r="V57" s="291" t="s">
        <v>48</v>
      </c>
      <c r="W57" s="291" t="s">
        <v>48</v>
      </c>
      <c r="X57" s="291" t="s">
        <v>48</v>
      </c>
      <c r="Y57" s="291" t="s">
        <v>48</v>
      </c>
      <c r="Z57" s="291" t="s">
        <v>48</v>
      </c>
      <c r="AA57" s="291" t="s">
        <v>48</v>
      </c>
      <c r="AB57" s="291" t="s">
        <v>48</v>
      </c>
      <c r="AC57" s="291" t="s">
        <v>48</v>
      </c>
      <c r="AD57" s="291" t="s">
        <v>48</v>
      </c>
      <c r="AE57" s="291" t="s">
        <v>48</v>
      </c>
      <c r="AF57" s="272"/>
      <c r="AG57" s="285" t="s">
        <v>319</v>
      </c>
      <c r="AH57" s="293" t="s">
        <v>48</v>
      </c>
      <c r="AI57" s="293" t="s">
        <v>48</v>
      </c>
      <c r="AJ57" s="293" t="s">
        <v>48</v>
      </c>
      <c r="AK57" s="293" t="s">
        <v>48</v>
      </c>
      <c r="AL57" s="293" t="s">
        <v>48</v>
      </c>
      <c r="AM57" s="293" t="s">
        <v>48</v>
      </c>
      <c r="AN57" s="293" t="s">
        <v>48</v>
      </c>
      <c r="AO57" s="293" t="s">
        <v>48</v>
      </c>
      <c r="AP57" s="293" t="s">
        <v>48</v>
      </c>
      <c r="AQ57" s="293" t="s">
        <v>48</v>
      </c>
      <c r="AR57" s="293" t="s">
        <v>48</v>
      </c>
      <c r="AS57" s="293" t="s">
        <v>48</v>
      </c>
      <c r="AT57" s="293" t="s">
        <v>48</v>
      </c>
      <c r="AU57" s="293" t="s">
        <v>48</v>
      </c>
      <c r="AV57" s="293" t="s">
        <v>48</v>
      </c>
      <c r="AW57" s="293" t="s">
        <v>48</v>
      </c>
      <c r="AX57" s="295">
        <v>0</v>
      </c>
      <c r="AY57" s="296" t="s">
        <v>301</v>
      </c>
      <c r="AZ57" s="291" t="s">
        <v>48</v>
      </c>
      <c r="BA57" s="291" t="s">
        <v>48</v>
      </c>
      <c r="BB57" s="291" t="s">
        <v>48</v>
      </c>
      <c r="BC57" s="291" t="s">
        <v>48</v>
      </c>
      <c r="BD57" s="291" t="s">
        <v>48</v>
      </c>
      <c r="BE57" s="291" t="s">
        <v>48</v>
      </c>
      <c r="BF57" s="291" t="s">
        <v>48</v>
      </c>
      <c r="BG57" s="291" t="s">
        <v>48</v>
      </c>
      <c r="BH57" s="291" t="s">
        <v>48</v>
      </c>
      <c r="BI57" s="291" t="s">
        <v>48</v>
      </c>
      <c r="BJ57" s="291" t="s">
        <v>48</v>
      </c>
      <c r="BK57" s="291" t="s">
        <v>48</v>
      </c>
    </row>
    <row r="58" spans="1:63" x14ac:dyDescent="0.15">
      <c r="A58" s="285" t="s">
        <v>320</v>
      </c>
      <c r="B58" s="293" t="s">
        <v>48</v>
      </c>
      <c r="C58" s="293" t="s">
        <v>48</v>
      </c>
      <c r="D58" s="293">
        <v>0</v>
      </c>
      <c r="E58" s="293" t="s">
        <v>48</v>
      </c>
      <c r="F58" s="293">
        <v>12</v>
      </c>
      <c r="G58" s="293">
        <v>12</v>
      </c>
      <c r="H58" s="293">
        <v>5</v>
      </c>
      <c r="I58" s="293" t="s">
        <v>48</v>
      </c>
      <c r="J58" s="294">
        <v>12</v>
      </c>
      <c r="K58" s="294">
        <v>86</v>
      </c>
      <c r="L58" s="342">
        <v>37</v>
      </c>
      <c r="M58" s="293" t="s">
        <v>48</v>
      </c>
      <c r="N58" s="375">
        <v>85</v>
      </c>
      <c r="O58" s="293" t="s">
        <v>48</v>
      </c>
      <c r="P58" s="293" t="s">
        <v>48</v>
      </c>
      <c r="Q58" s="293" t="s">
        <v>48</v>
      </c>
      <c r="R58" s="382">
        <f t="shared" si="1"/>
        <v>249</v>
      </c>
      <c r="S58" s="296" t="s">
        <v>300</v>
      </c>
      <c r="T58" s="291" t="s">
        <v>48</v>
      </c>
      <c r="U58" s="291" t="s">
        <v>48</v>
      </c>
      <c r="V58" s="291" t="s">
        <v>48</v>
      </c>
      <c r="W58" s="291" t="s">
        <v>48</v>
      </c>
      <c r="X58" s="291" t="s">
        <v>48</v>
      </c>
      <c r="Y58" s="291" t="s">
        <v>48</v>
      </c>
      <c r="Z58" s="291" t="s">
        <v>48</v>
      </c>
      <c r="AA58" s="291" t="s">
        <v>48</v>
      </c>
      <c r="AB58" s="291" t="s">
        <v>48</v>
      </c>
      <c r="AC58" s="291" t="s">
        <v>48</v>
      </c>
      <c r="AD58" s="291" t="s">
        <v>48</v>
      </c>
      <c r="AE58" s="291" t="s">
        <v>48</v>
      </c>
      <c r="AF58" s="272"/>
      <c r="AG58" s="285" t="s">
        <v>320</v>
      </c>
      <c r="AH58" s="293" t="s">
        <v>48</v>
      </c>
      <c r="AI58" s="293" t="s">
        <v>48</v>
      </c>
      <c r="AJ58" s="293" t="s">
        <v>48</v>
      </c>
      <c r="AK58" s="293" t="s">
        <v>48</v>
      </c>
      <c r="AL58" s="293" t="s">
        <v>48</v>
      </c>
      <c r="AM58" s="293" t="s">
        <v>48</v>
      </c>
      <c r="AN58" s="293" t="s">
        <v>48</v>
      </c>
      <c r="AO58" s="293" t="s">
        <v>48</v>
      </c>
      <c r="AP58" s="293" t="s">
        <v>48</v>
      </c>
      <c r="AQ58" s="293" t="s">
        <v>48</v>
      </c>
      <c r="AR58" s="293" t="s">
        <v>48</v>
      </c>
      <c r="AS58" s="293" t="s">
        <v>48</v>
      </c>
      <c r="AT58" s="293" t="s">
        <v>48</v>
      </c>
      <c r="AU58" s="293" t="s">
        <v>48</v>
      </c>
      <c r="AV58" s="293" t="s">
        <v>48</v>
      </c>
      <c r="AW58" s="293" t="s">
        <v>48</v>
      </c>
      <c r="AX58" s="295">
        <v>0</v>
      </c>
      <c r="AY58" s="296" t="s">
        <v>301</v>
      </c>
      <c r="AZ58" s="291" t="s">
        <v>48</v>
      </c>
      <c r="BA58" s="291" t="s">
        <v>48</v>
      </c>
      <c r="BB58" s="291" t="s">
        <v>48</v>
      </c>
      <c r="BC58" s="291" t="s">
        <v>48</v>
      </c>
      <c r="BD58" s="291" t="s">
        <v>48</v>
      </c>
      <c r="BE58" s="291" t="s">
        <v>48</v>
      </c>
      <c r="BF58" s="291" t="s">
        <v>48</v>
      </c>
      <c r="BG58" s="291" t="s">
        <v>48</v>
      </c>
      <c r="BH58" s="291" t="s">
        <v>48</v>
      </c>
      <c r="BI58" s="291" t="s">
        <v>48</v>
      </c>
      <c r="BJ58" s="291" t="s">
        <v>48</v>
      </c>
      <c r="BK58" s="291" t="s">
        <v>48</v>
      </c>
    </row>
    <row r="59" spans="1:63" x14ac:dyDescent="0.15">
      <c r="A59" s="285" t="s">
        <v>321</v>
      </c>
      <c r="B59" s="293" t="s">
        <v>48</v>
      </c>
      <c r="C59" s="293" t="s">
        <v>48</v>
      </c>
      <c r="D59" s="293">
        <v>0</v>
      </c>
      <c r="E59" s="293" t="s">
        <v>48</v>
      </c>
      <c r="F59" s="293">
        <v>0</v>
      </c>
      <c r="G59" s="293">
        <v>30</v>
      </c>
      <c r="H59" s="293">
        <v>0</v>
      </c>
      <c r="I59" s="293" t="s">
        <v>48</v>
      </c>
      <c r="J59" s="294">
        <v>0</v>
      </c>
      <c r="K59" s="294">
        <v>28</v>
      </c>
      <c r="L59" s="342">
        <v>43</v>
      </c>
      <c r="M59" s="293" t="s">
        <v>48</v>
      </c>
      <c r="N59" s="375">
        <v>27</v>
      </c>
      <c r="O59" s="293" t="s">
        <v>48</v>
      </c>
      <c r="P59" s="293" t="s">
        <v>48</v>
      </c>
      <c r="Q59" s="293" t="s">
        <v>48</v>
      </c>
      <c r="R59" s="382">
        <f t="shared" si="1"/>
        <v>128</v>
      </c>
      <c r="S59" s="296" t="s">
        <v>300</v>
      </c>
      <c r="T59" s="291" t="s">
        <v>48</v>
      </c>
      <c r="U59" s="291" t="s">
        <v>48</v>
      </c>
      <c r="V59" s="291" t="s">
        <v>48</v>
      </c>
      <c r="W59" s="291" t="s">
        <v>48</v>
      </c>
      <c r="X59" s="291" t="s">
        <v>48</v>
      </c>
      <c r="Y59" s="291" t="s">
        <v>48</v>
      </c>
      <c r="Z59" s="291" t="s">
        <v>48</v>
      </c>
      <c r="AA59" s="291" t="s">
        <v>48</v>
      </c>
      <c r="AB59" s="291" t="s">
        <v>48</v>
      </c>
      <c r="AC59" s="291" t="s">
        <v>48</v>
      </c>
      <c r="AD59" s="291" t="s">
        <v>48</v>
      </c>
      <c r="AE59" s="291" t="s">
        <v>48</v>
      </c>
      <c r="AF59" s="272"/>
      <c r="AG59" s="285" t="s">
        <v>321</v>
      </c>
      <c r="AH59" s="293" t="s">
        <v>48</v>
      </c>
      <c r="AI59" s="293" t="s">
        <v>48</v>
      </c>
      <c r="AJ59" s="293" t="s">
        <v>48</v>
      </c>
      <c r="AK59" s="293" t="s">
        <v>48</v>
      </c>
      <c r="AL59" s="293" t="s">
        <v>48</v>
      </c>
      <c r="AM59" s="293" t="s">
        <v>48</v>
      </c>
      <c r="AN59" s="293" t="s">
        <v>48</v>
      </c>
      <c r="AO59" s="293" t="s">
        <v>48</v>
      </c>
      <c r="AP59" s="293" t="s">
        <v>48</v>
      </c>
      <c r="AQ59" s="293" t="s">
        <v>48</v>
      </c>
      <c r="AR59" s="293" t="s">
        <v>48</v>
      </c>
      <c r="AS59" s="293" t="s">
        <v>48</v>
      </c>
      <c r="AT59" s="293" t="s">
        <v>48</v>
      </c>
      <c r="AU59" s="293" t="s">
        <v>48</v>
      </c>
      <c r="AV59" s="293" t="s">
        <v>48</v>
      </c>
      <c r="AW59" s="293" t="s">
        <v>48</v>
      </c>
      <c r="AX59" s="295">
        <v>0</v>
      </c>
      <c r="AY59" s="296" t="s">
        <v>301</v>
      </c>
      <c r="AZ59" s="291" t="s">
        <v>48</v>
      </c>
      <c r="BA59" s="291" t="s">
        <v>48</v>
      </c>
      <c r="BB59" s="291" t="s">
        <v>48</v>
      </c>
      <c r="BC59" s="291" t="s">
        <v>48</v>
      </c>
      <c r="BD59" s="291" t="s">
        <v>48</v>
      </c>
      <c r="BE59" s="291" t="s">
        <v>48</v>
      </c>
      <c r="BF59" s="291" t="s">
        <v>48</v>
      </c>
      <c r="BG59" s="291" t="s">
        <v>48</v>
      </c>
      <c r="BH59" s="291" t="s">
        <v>48</v>
      </c>
      <c r="BI59" s="291" t="s">
        <v>48</v>
      </c>
      <c r="BJ59" s="291" t="s">
        <v>48</v>
      </c>
      <c r="BK59" s="291" t="s">
        <v>48</v>
      </c>
    </row>
    <row r="60" spans="1:63" x14ac:dyDescent="0.15">
      <c r="A60" s="297" t="s">
        <v>322</v>
      </c>
      <c r="B60" s="296">
        <v>0</v>
      </c>
      <c r="C60" s="296">
        <f>+SUM(C39:C59)</f>
        <v>134</v>
      </c>
      <c r="D60" s="296">
        <f t="shared" ref="D60:Q60" si="2">+SUM(D39:D59)</f>
        <v>542</v>
      </c>
      <c r="E60" s="296">
        <f t="shared" si="2"/>
        <v>0</v>
      </c>
      <c r="F60" s="296">
        <f t="shared" si="2"/>
        <v>789</v>
      </c>
      <c r="G60" s="296">
        <f t="shared" si="2"/>
        <v>790</v>
      </c>
      <c r="H60" s="296">
        <f t="shared" si="2"/>
        <v>454</v>
      </c>
      <c r="I60" s="296">
        <f t="shared" si="2"/>
        <v>0</v>
      </c>
      <c r="J60" s="296">
        <f t="shared" si="2"/>
        <v>517</v>
      </c>
      <c r="K60" s="296">
        <f t="shared" si="2"/>
        <v>743</v>
      </c>
      <c r="L60" s="296">
        <f t="shared" si="2"/>
        <v>879</v>
      </c>
      <c r="M60" s="296">
        <f t="shared" si="2"/>
        <v>0</v>
      </c>
      <c r="N60" s="374">
        <f>+SUM(N39:N59)</f>
        <v>811</v>
      </c>
      <c r="O60" s="296">
        <f t="shared" si="2"/>
        <v>0</v>
      </c>
      <c r="P60" s="296">
        <f t="shared" si="2"/>
        <v>0</v>
      </c>
      <c r="Q60" s="296">
        <f t="shared" si="2"/>
        <v>0</v>
      </c>
      <c r="R60" s="374">
        <f>+SUM(R39:R59)</f>
        <v>5659</v>
      </c>
      <c r="S60" s="296" t="s">
        <v>300</v>
      </c>
      <c r="T60" s="296">
        <v>0</v>
      </c>
      <c r="U60" s="296">
        <v>0</v>
      </c>
      <c r="V60" s="296">
        <v>0</v>
      </c>
      <c r="W60" s="296">
        <v>0</v>
      </c>
      <c r="X60" s="296">
        <v>0</v>
      </c>
      <c r="Y60" s="296">
        <v>0</v>
      </c>
      <c r="Z60" s="296">
        <v>0</v>
      </c>
      <c r="AA60" s="296">
        <v>0</v>
      </c>
      <c r="AB60" s="296">
        <v>0</v>
      </c>
      <c r="AC60" s="296">
        <v>0</v>
      </c>
      <c r="AD60" s="296">
        <v>0</v>
      </c>
      <c r="AE60" s="296">
        <v>0</v>
      </c>
      <c r="AF60" s="272"/>
      <c r="AG60" s="297" t="s">
        <v>322</v>
      </c>
      <c r="AH60" s="296">
        <v>0</v>
      </c>
      <c r="AI60" s="296">
        <v>0</v>
      </c>
      <c r="AJ60" s="296">
        <v>0</v>
      </c>
      <c r="AK60" s="296" t="s">
        <v>323</v>
      </c>
      <c r="AL60" s="296">
        <v>0</v>
      </c>
      <c r="AM60" s="296">
        <v>0</v>
      </c>
      <c r="AN60" s="296">
        <v>0</v>
      </c>
      <c r="AO60" s="296" t="s">
        <v>323</v>
      </c>
      <c r="AP60" s="296">
        <v>0</v>
      </c>
      <c r="AQ60" s="296">
        <v>0</v>
      </c>
      <c r="AR60" s="296">
        <v>0</v>
      </c>
      <c r="AS60" s="296" t="s">
        <v>323</v>
      </c>
      <c r="AT60" s="296">
        <v>0</v>
      </c>
      <c r="AU60" s="296">
        <v>0</v>
      </c>
      <c r="AV60" s="296">
        <v>0</v>
      </c>
      <c r="AW60" s="296" t="s">
        <v>323</v>
      </c>
      <c r="AX60" s="298">
        <v>0</v>
      </c>
      <c r="AY60" s="296" t="s">
        <v>301</v>
      </c>
      <c r="AZ60" s="296">
        <v>0</v>
      </c>
      <c r="BA60" s="296">
        <v>0</v>
      </c>
      <c r="BB60" s="296">
        <v>0</v>
      </c>
      <c r="BC60" s="296">
        <v>0</v>
      </c>
      <c r="BD60" s="296">
        <v>0</v>
      </c>
      <c r="BE60" s="296">
        <v>0</v>
      </c>
      <c r="BF60" s="296">
        <v>0</v>
      </c>
      <c r="BG60" s="296">
        <v>0</v>
      </c>
      <c r="BH60" s="296">
        <v>0</v>
      </c>
      <c r="BI60" s="296">
        <v>0</v>
      </c>
      <c r="BJ60" s="296">
        <v>0</v>
      </c>
      <c r="BK60" s="296">
        <v>0</v>
      </c>
    </row>
  </sheetData>
  <mergeCells count="46">
    <mergeCell ref="AV37:AW37"/>
    <mergeCell ref="Z37:AE37"/>
    <mergeCell ref="AG37:AG38"/>
    <mergeCell ref="AJ37:AK37"/>
    <mergeCell ref="AN37:AO37"/>
    <mergeCell ref="AR37:AS37"/>
    <mergeCell ref="A37:A38"/>
    <mergeCell ref="D37:E37"/>
    <mergeCell ref="H37:I37"/>
    <mergeCell ref="L37:M37"/>
    <mergeCell ref="P37:Q37"/>
    <mergeCell ref="BF37:BK37"/>
    <mergeCell ref="AR9:AS9"/>
    <mergeCell ref="AV9:AW9"/>
    <mergeCell ref="BF9:BK9"/>
    <mergeCell ref="AZ9:BE9"/>
    <mergeCell ref="B34:BK34"/>
    <mergeCell ref="B35:BK35"/>
    <mergeCell ref="AG9:AG10"/>
    <mergeCell ref="L9:M9"/>
    <mergeCell ref="P9:Q9"/>
    <mergeCell ref="AX37:AY37"/>
    <mergeCell ref="AZ37:BE37"/>
    <mergeCell ref="AX9:AY9"/>
    <mergeCell ref="T9:Y9"/>
    <mergeCell ref="R37:S37"/>
    <mergeCell ref="T37:Y37"/>
    <mergeCell ref="AG5:BK5"/>
    <mergeCell ref="A9:A10"/>
    <mergeCell ref="D9:E9"/>
    <mergeCell ref="H9:I9"/>
    <mergeCell ref="B6:BK6"/>
    <mergeCell ref="R9:S9"/>
    <mergeCell ref="A5:AE5"/>
    <mergeCell ref="AJ9:AK9"/>
    <mergeCell ref="AN9:AO9"/>
    <mergeCell ref="Z9:AE9"/>
    <mergeCell ref="B7:BK7"/>
    <mergeCell ref="BI4:BK4"/>
    <mergeCell ref="A4:BH4"/>
    <mergeCell ref="BI1:BK1"/>
    <mergeCell ref="BI2:BK2"/>
    <mergeCell ref="BI3:BK3"/>
    <mergeCell ref="A1:BH1"/>
    <mergeCell ref="A2:BH2"/>
    <mergeCell ref="A3:BH3"/>
  </mergeCells>
  <pageMargins left="0.7" right="0.7" top="0.75" bottom="0.75" header="0.3" footer="0.3"/>
  <pageSetup scale="18"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B45"/>
  <sheetViews>
    <sheetView topLeftCell="A5" zoomScale="90" zoomScaleNormal="90" workbookViewId="0">
      <selection sqref="A1:B1"/>
    </sheetView>
  </sheetViews>
  <sheetFormatPr baseColWidth="10" defaultColWidth="10.83203125" defaultRowHeight="14" x14ac:dyDescent="0.2"/>
  <cols>
    <col min="1" max="1" width="72" style="133" bestFit="1" customWidth="1"/>
    <col min="2" max="2" width="73.5" style="133" customWidth="1"/>
    <col min="3" max="3" width="10.83203125" style="133"/>
    <col min="4" max="4" width="31.1640625" style="133" customWidth="1"/>
    <col min="5" max="5" width="70.1640625" style="133" customWidth="1"/>
    <col min="6" max="6" width="17.33203125" style="133" customWidth="1"/>
    <col min="7" max="8" width="21.83203125" style="133" customWidth="1"/>
    <col min="9" max="9" width="19.33203125" style="133" customWidth="1"/>
    <col min="10" max="10" width="42" style="133" customWidth="1"/>
    <col min="11" max="16384" width="10.83203125" style="133"/>
  </cols>
  <sheetData>
    <row r="1" spans="1:2" ht="25.5" customHeight="1" x14ac:dyDescent="0.2">
      <c r="A1" s="943" t="s">
        <v>179</v>
      </c>
      <c r="B1" s="944"/>
    </row>
    <row r="2" spans="1:2" ht="25.5" customHeight="1" x14ac:dyDescent="0.2">
      <c r="A2" s="945" t="s">
        <v>325</v>
      </c>
      <c r="B2" s="946"/>
    </row>
    <row r="3" spans="1:2" x14ac:dyDescent="0.2">
      <c r="A3" s="176" t="s">
        <v>326</v>
      </c>
      <c r="B3" s="134" t="s">
        <v>327</v>
      </c>
    </row>
    <row r="4" spans="1:2" x14ac:dyDescent="0.2">
      <c r="A4" s="177" t="s">
        <v>9</v>
      </c>
      <c r="B4" s="141" t="s">
        <v>328</v>
      </c>
    </row>
    <row r="5" spans="1:2" ht="105" x14ac:dyDescent="0.2">
      <c r="A5" s="177" t="s">
        <v>10</v>
      </c>
      <c r="B5" s="179" t="s">
        <v>329</v>
      </c>
    </row>
    <row r="6" spans="1:2" x14ac:dyDescent="0.2">
      <c r="A6" s="177" t="s">
        <v>15</v>
      </c>
      <c r="B6" s="947" t="s">
        <v>330</v>
      </c>
    </row>
    <row r="7" spans="1:2" x14ac:dyDescent="0.2">
      <c r="A7" s="177" t="s">
        <v>17</v>
      </c>
      <c r="B7" s="948"/>
    </row>
    <row r="8" spans="1:2" x14ac:dyDescent="0.2">
      <c r="A8" s="177" t="s">
        <v>19</v>
      </c>
      <c r="B8" s="948"/>
    </row>
    <row r="9" spans="1:2" x14ac:dyDescent="0.2">
      <c r="A9" s="177" t="s">
        <v>331</v>
      </c>
      <c r="B9" s="949"/>
    </row>
    <row r="10" spans="1:2" ht="30" x14ac:dyDescent="0.2">
      <c r="A10" s="177" t="s">
        <v>7</v>
      </c>
      <c r="B10" s="135" t="s">
        <v>332</v>
      </c>
    </row>
    <row r="11" spans="1:2" ht="30" x14ac:dyDescent="0.2">
      <c r="A11" s="177" t="s">
        <v>27</v>
      </c>
      <c r="B11" s="135" t="s">
        <v>333</v>
      </c>
    </row>
    <row r="12" spans="1:2" ht="60" x14ac:dyDescent="0.2">
      <c r="A12" s="177" t="s">
        <v>26</v>
      </c>
      <c r="B12" s="136" t="s">
        <v>334</v>
      </c>
    </row>
    <row r="13" spans="1:2" ht="30" x14ac:dyDescent="0.2">
      <c r="A13" s="177" t="s">
        <v>335</v>
      </c>
      <c r="B13" s="136" t="s">
        <v>336</v>
      </c>
    </row>
    <row r="14" spans="1:2" ht="30" x14ac:dyDescent="0.2">
      <c r="A14" s="177" t="s">
        <v>337</v>
      </c>
      <c r="B14" s="136" t="s">
        <v>338</v>
      </c>
    </row>
    <row r="15" spans="1:2" ht="72" customHeight="1" x14ac:dyDescent="0.2">
      <c r="A15" s="178" t="s">
        <v>339</v>
      </c>
      <c r="B15" s="137" t="s">
        <v>340</v>
      </c>
    </row>
    <row r="16" spans="1:2" ht="180" x14ac:dyDescent="0.2">
      <c r="A16" s="178" t="s">
        <v>341</v>
      </c>
      <c r="B16" s="138" t="s">
        <v>342</v>
      </c>
    </row>
    <row r="17" spans="1:2" ht="25.5" customHeight="1" x14ac:dyDescent="0.2">
      <c r="A17" s="945" t="s">
        <v>343</v>
      </c>
      <c r="B17" s="946"/>
    </row>
    <row r="18" spans="1:2" x14ac:dyDescent="0.2">
      <c r="A18" s="176" t="s">
        <v>326</v>
      </c>
      <c r="B18" s="134" t="s">
        <v>327</v>
      </c>
    </row>
    <row r="19" spans="1:2" x14ac:dyDescent="0.2">
      <c r="A19" s="177" t="s">
        <v>9</v>
      </c>
      <c r="B19" s="141" t="s">
        <v>328</v>
      </c>
    </row>
    <row r="20" spans="1:2" ht="105" x14ac:dyDescent="0.2">
      <c r="A20" s="177" t="s">
        <v>10</v>
      </c>
      <c r="B20" s="140" t="s">
        <v>344</v>
      </c>
    </row>
    <row r="21" spans="1:2" ht="30" x14ac:dyDescent="0.2">
      <c r="A21" s="177" t="s">
        <v>345</v>
      </c>
      <c r="B21" s="136" t="s">
        <v>346</v>
      </c>
    </row>
    <row r="22" spans="1:2" ht="30" x14ac:dyDescent="0.2">
      <c r="A22" s="177" t="s">
        <v>347</v>
      </c>
      <c r="B22" s="136" t="s">
        <v>348</v>
      </c>
    </row>
    <row r="23" spans="1:2" ht="60" x14ac:dyDescent="0.2">
      <c r="A23" s="177" t="s">
        <v>349</v>
      </c>
      <c r="B23" s="136" t="s">
        <v>350</v>
      </c>
    </row>
    <row r="24" spans="1:2" ht="30" x14ac:dyDescent="0.2">
      <c r="A24" s="177" t="s">
        <v>351</v>
      </c>
      <c r="B24" s="136" t="s">
        <v>352</v>
      </c>
    </row>
    <row r="25" spans="1:2" ht="15" x14ac:dyDescent="0.2">
      <c r="A25" s="177" t="s">
        <v>353</v>
      </c>
      <c r="B25" s="136" t="s">
        <v>354</v>
      </c>
    </row>
    <row r="26" spans="1:2" ht="46" customHeight="1" x14ac:dyDescent="0.2">
      <c r="A26" s="177" t="s">
        <v>355</v>
      </c>
      <c r="B26" s="139" t="s">
        <v>356</v>
      </c>
    </row>
    <row r="27" spans="1:2" ht="60" x14ac:dyDescent="0.2">
      <c r="A27" s="177" t="s">
        <v>192</v>
      </c>
      <c r="B27" s="139" t="s">
        <v>357</v>
      </c>
    </row>
    <row r="28" spans="1:2" ht="45" x14ac:dyDescent="0.2">
      <c r="A28" s="177" t="s">
        <v>358</v>
      </c>
      <c r="B28" s="139" t="s">
        <v>359</v>
      </c>
    </row>
    <row r="29" spans="1:2" ht="30" x14ac:dyDescent="0.2">
      <c r="A29" s="177" t="s">
        <v>360</v>
      </c>
      <c r="B29" s="139" t="s">
        <v>361</v>
      </c>
    </row>
    <row r="30" spans="1:2" ht="45" x14ac:dyDescent="0.2">
      <c r="A30" s="177" t="s">
        <v>362</v>
      </c>
      <c r="B30" s="139" t="s">
        <v>363</v>
      </c>
    </row>
    <row r="31" spans="1:2" ht="144" customHeight="1" x14ac:dyDescent="0.2">
      <c r="A31" s="177" t="s">
        <v>364</v>
      </c>
      <c r="B31" s="139" t="s">
        <v>365</v>
      </c>
    </row>
    <row r="32" spans="1:2" ht="30" x14ac:dyDescent="0.2">
      <c r="A32" s="177" t="s">
        <v>366</v>
      </c>
      <c r="B32" s="139" t="s">
        <v>367</v>
      </c>
    </row>
    <row r="33" spans="1:2" ht="30" x14ac:dyDescent="0.2">
      <c r="A33" s="177" t="s">
        <v>368</v>
      </c>
      <c r="B33" s="139" t="s">
        <v>369</v>
      </c>
    </row>
    <row r="34" spans="1:2" ht="30" x14ac:dyDescent="0.2">
      <c r="A34" s="177" t="s">
        <v>370</v>
      </c>
      <c r="B34" s="139" t="s">
        <v>371</v>
      </c>
    </row>
    <row r="35" spans="1:2" ht="30" x14ac:dyDescent="0.2">
      <c r="A35" s="177" t="s">
        <v>372</v>
      </c>
      <c r="B35" s="139" t="s">
        <v>373</v>
      </c>
    </row>
    <row r="36" spans="1:2" ht="75" x14ac:dyDescent="0.2">
      <c r="A36" s="177" t="s">
        <v>374</v>
      </c>
      <c r="B36" s="139" t="s">
        <v>375</v>
      </c>
    </row>
    <row r="37" spans="1:2" ht="15" x14ac:dyDescent="0.2">
      <c r="A37" s="177" t="s">
        <v>182</v>
      </c>
      <c r="B37" s="139" t="s">
        <v>376</v>
      </c>
    </row>
    <row r="38" spans="1:2" ht="30" x14ac:dyDescent="0.2">
      <c r="A38" s="177" t="s">
        <v>377</v>
      </c>
      <c r="B38" s="139" t="s">
        <v>378</v>
      </c>
    </row>
    <row r="39" spans="1:2" ht="45" x14ac:dyDescent="0.2">
      <c r="A39" s="177" t="s">
        <v>379</v>
      </c>
      <c r="B39" s="139" t="s">
        <v>380</v>
      </c>
    </row>
    <row r="40" spans="1:2" ht="30" x14ac:dyDescent="0.2">
      <c r="A40" s="178" t="s">
        <v>185</v>
      </c>
      <c r="B40" s="139" t="s">
        <v>381</v>
      </c>
    </row>
    <row r="41" spans="1:2" ht="25.5" customHeight="1" x14ac:dyDescent="0.2">
      <c r="A41" s="945" t="s">
        <v>382</v>
      </c>
      <c r="B41" s="946"/>
    </row>
    <row r="42" spans="1:2" x14ac:dyDescent="0.2">
      <c r="A42" s="943" t="s">
        <v>383</v>
      </c>
      <c r="B42" s="944"/>
    </row>
    <row r="43" spans="1:2" ht="72" customHeight="1" x14ac:dyDescent="0.2">
      <c r="A43" s="941" t="s">
        <v>384</v>
      </c>
      <c r="B43" s="942"/>
    </row>
    <row r="44" spans="1:2" ht="30" x14ac:dyDescent="0.2">
      <c r="A44" s="177" t="s">
        <v>360</v>
      </c>
      <c r="B44" s="139" t="s">
        <v>385</v>
      </c>
    </row>
    <row r="45" spans="1:2" ht="30" x14ac:dyDescent="0.2">
      <c r="A45" s="178" t="s">
        <v>386</v>
      </c>
      <c r="B45" s="139" t="s">
        <v>387</v>
      </c>
    </row>
  </sheetData>
  <mergeCells count="7">
    <mergeCell ref="A43:B43"/>
    <mergeCell ref="A1:B1"/>
    <mergeCell ref="A2:B2"/>
    <mergeCell ref="B6:B9"/>
    <mergeCell ref="A17:B17"/>
    <mergeCell ref="A41:B41"/>
    <mergeCell ref="A42:B42"/>
  </mergeCells>
  <pageMargins left="0.25" right="0.25" top="0.75" bottom="0.75" header="0.3" footer="0.3"/>
  <pageSetup scale="35"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56"/>
  <sheetViews>
    <sheetView zoomScale="91" workbookViewId="0">
      <selection activeCell="D9" sqref="D9"/>
    </sheetView>
  </sheetViews>
  <sheetFormatPr baseColWidth="10" defaultColWidth="11.5" defaultRowHeight="14" x14ac:dyDescent="0.2"/>
  <cols>
    <col min="1" max="1" width="44.1640625" style="108" customWidth="1"/>
    <col min="2" max="2" width="61.83203125" style="108" customWidth="1"/>
    <col min="3" max="3" width="61.1640625" style="108" customWidth="1"/>
    <col min="4" max="4" width="81" style="108" customWidth="1"/>
    <col min="5" max="5" width="32.83203125" style="133" customWidth="1"/>
    <col min="6" max="6" width="19" style="108" customWidth="1"/>
    <col min="7" max="7" width="29.5" style="108" customWidth="1"/>
    <col min="8" max="8" width="36.33203125" style="108" customWidth="1"/>
    <col min="9" max="9" width="40" style="108" customWidth="1"/>
    <col min="10" max="16384" width="11.5" style="108"/>
  </cols>
  <sheetData>
    <row r="1" spans="1:9" s="121" customFormat="1" x14ac:dyDescent="0.2">
      <c r="A1" s="120" t="s">
        <v>388</v>
      </c>
      <c r="B1" s="120" t="s">
        <v>389</v>
      </c>
      <c r="C1" s="120" t="s">
        <v>390</v>
      </c>
      <c r="D1" s="120" t="s">
        <v>391</v>
      </c>
      <c r="E1" s="120" t="s">
        <v>362</v>
      </c>
      <c r="F1" s="120" t="s">
        <v>392</v>
      </c>
      <c r="G1" s="120" t="s">
        <v>393</v>
      </c>
      <c r="H1" s="120" t="s">
        <v>283</v>
      </c>
      <c r="I1" s="120" t="s">
        <v>353</v>
      </c>
    </row>
    <row r="2" spans="1:9" s="121" customFormat="1" ht="15" x14ac:dyDescent="0.2">
      <c r="A2" s="122" t="s">
        <v>394</v>
      </c>
      <c r="B2" s="116" t="s">
        <v>395</v>
      </c>
      <c r="C2" s="122" t="s">
        <v>396</v>
      </c>
      <c r="D2" s="123" t="s">
        <v>397</v>
      </c>
      <c r="E2" s="117" t="s">
        <v>398</v>
      </c>
      <c r="F2" s="124" t="s">
        <v>399</v>
      </c>
      <c r="G2" s="125" t="s">
        <v>400</v>
      </c>
      <c r="H2" s="125" t="s">
        <v>401</v>
      </c>
      <c r="I2" s="124" t="s">
        <v>402</v>
      </c>
    </row>
    <row r="3" spans="1:9" ht="15" x14ac:dyDescent="0.2">
      <c r="A3" s="122" t="s">
        <v>403</v>
      </c>
      <c r="B3" s="116" t="s">
        <v>404</v>
      </c>
      <c r="C3" s="122" t="s">
        <v>405</v>
      </c>
      <c r="D3" s="126" t="s">
        <v>406</v>
      </c>
      <c r="E3" s="117" t="s">
        <v>407</v>
      </c>
      <c r="F3" s="124" t="s">
        <v>408</v>
      </c>
      <c r="G3" s="125" t="s">
        <v>409</v>
      </c>
      <c r="H3" s="125" t="s">
        <v>292</v>
      </c>
      <c r="I3" s="124" t="s">
        <v>410</v>
      </c>
    </row>
    <row r="4" spans="1:9" ht="15" x14ac:dyDescent="0.2">
      <c r="A4" s="122" t="s">
        <v>411</v>
      </c>
      <c r="B4" s="116" t="s">
        <v>412</v>
      </c>
      <c r="C4" s="122" t="s">
        <v>413</v>
      </c>
      <c r="D4" s="126" t="s">
        <v>414</v>
      </c>
      <c r="E4" s="117" t="s">
        <v>415</v>
      </c>
      <c r="F4" s="124" t="s">
        <v>416</v>
      </c>
      <c r="G4" s="125" t="s">
        <v>417</v>
      </c>
      <c r="H4" s="125" t="s">
        <v>287</v>
      </c>
      <c r="I4" s="124" t="s">
        <v>418</v>
      </c>
    </row>
    <row r="5" spans="1:9" ht="15" x14ac:dyDescent="0.2">
      <c r="A5" s="122" t="s">
        <v>419</v>
      </c>
      <c r="B5" s="116" t="s">
        <v>420</v>
      </c>
      <c r="C5" s="122" t="s">
        <v>421</v>
      </c>
      <c r="D5" s="126" t="s">
        <v>422</v>
      </c>
      <c r="E5" s="117" t="s">
        <v>423</v>
      </c>
      <c r="F5" s="124" t="s">
        <v>424</v>
      </c>
      <c r="G5" s="125" t="s">
        <v>425</v>
      </c>
      <c r="H5" s="125" t="s">
        <v>288</v>
      </c>
      <c r="I5" s="124" t="s">
        <v>426</v>
      </c>
    </row>
    <row r="6" spans="1:9" ht="30" x14ac:dyDescent="0.2">
      <c r="A6" s="122" t="s">
        <v>427</v>
      </c>
      <c r="B6" s="116" t="s">
        <v>428</v>
      </c>
      <c r="C6" s="122" t="s">
        <v>429</v>
      </c>
      <c r="D6" s="126" t="s">
        <v>430</v>
      </c>
      <c r="E6" s="117" t="s">
        <v>431</v>
      </c>
      <c r="G6" s="125" t="s">
        <v>432</v>
      </c>
      <c r="H6" s="125" t="s">
        <v>289</v>
      </c>
      <c r="I6" s="124" t="s">
        <v>433</v>
      </c>
    </row>
    <row r="7" spans="1:9" ht="15" x14ac:dyDescent="0.2">
      <c r="B7" s="116" t="s">
        <v>434</v>
      </c>
      <c r="C7" s="122" t="s">
        <v>435</v>
      </c>
      <c r="D7" s="126" t="s">
        <v>436</v>
      </c>
      <c r="E7" s="124" t="s">
        <v>437</v>
      </c>
      <c r="G7" s="117" t="s">
        <v>298</v>
      </c>
      <c r="H7" s="125" t="s">
        <v>290</v>
      </c>
      <c r="I7" s="124" t="s">
        <v>438</v>
      </c>
    </row>
    <row r="8" spans="1:9" ht="30" x14ac:dyDescent="0.2">
      <c r="A8" s="127"/>
      <c r="B8" s="116" t="s">
        <v>439</v>
      </c>
      <c r="C8" s="122" t="s">
        <v>440</v>
      </c>
      <c r="D8" s="126" t="s">
        <v>441</v>
      </c>
      <c r="E8" s="124" t="s">
        <v>442</v>
      </c>
      <c r="I8" s="124" t="s">
        <v>443</v>
      </c>
    </row>
    <row r="9" spans="1:9" ht="32" customHeight="1" x14ac:dyDescent="0.2">
      <c r="A9" s="127"/>
      <c r="B9" s="116" t="s">
        <v>444</v>
      </c>
      <c r="C9" s="122" t="s">
        <v>445</v>
      </c>
      <c r="D9" s="126" t="s">
        <v>446</v>
      </c>
      <c r="E9" s="124" t="s">
        <v>447</v>
      </c>
      <c r="I9" s="124" t="s">
        <v>448</v>
      </c>
    </row>
    <row r="10" spans="1:9" ht="15" x14ac:dyDescent="0.2">
      <c r="A10" s="127"/>
      <c r="B10" s="116" t="s">
        <v>449</v>
      </c>
      <c r="C10" s="122" t="s">
        <v>450</v>
      </c>
      <c r="D10" s="126" t="s">
        <v>451</v>
      </c>
      <c r="E10" s="124" t="s">
        <v>452</v>
      </c>
      <c r="I10" s="124" t="s">
        <v>453</v>
      </c>
    </row>
    <row r="11" spans="1:9" ht="15" x14ac:dyDescent="0.2">
      <c r="A11" s="127"/>
      <c r="B11" s="116" t="s">
        <v>454</v>
      </c>
      <c r="C11" s="122" t="s">
        <v>455</v>
      </c>
      <c r="D11" s="126" t="s">
        <v>456</v>
      </c>
      <c r="E11" s="124" t="s">
        <v>457</v>
      </c>
      <c r="I11" s="124" t="s">
        <v>458</v>
      </c>
    </row>
    <row r="12" spans="1:9" ht="15" x14ac:dyDescent="0.2">
      <c r="A12" s="127"/>
      <c r="B12" s="116" t="s">
        <v>459</v>
      </c>
      <c r="C12" s="122" t="s">
        <v>460</v>
      </c>
      <c r="D12" s="126" t="s">
        <v>461</v>
      </c>
      <c r="E12" s="124" t="s">
        <v>462</v>
      </c>
      <c r="I12" s="124" t="s">
        <v>463</v>
      </c>
    </row>
    <row r="13" spans="1:9" ht="15" x14ac:dyDescent="0.2">
      <c r="A13" s="127"/>
      <c r="B13" s="241" t="s">
        <v>464</v>
      </c>
      <c r="D13" s="126" t="s">
        <v>465</v>
      </c>
      <c r="E13" s="124" t="s">
        <v>466</v>
      </c>
      <c r="I13" s="124" t="s">
        <v>467</v>
      </c>
    </row>
    <row r="14" spans="1:9" ht="15" x14ac:dyDescent="0.2">
      <c r="A14" s="127"/>
      <c r="B14" s="116" t="s">
        <v>468</v>
      </c>
      <c r="C14" s="127"/>
      <c r="D14" s="126" t="s">
        <v>469</v>
      </c>
      <c r="E14" s="124" t="s">
        <v>470</v>
      </c>
    </row>
    <row r="15" spans="1:9" ht="15" x14ac:dyDescent="0.2">
      <c r="A15" s="127"/>
      <c r="B15" s="116" t="s">
        <v>471</v>
      </c>
      <c r="C15" s="127"/>
      <c r="D15" s="126" t="s">
        <v>472</v>
      </c>
      <c r="E15" s="124" t="s">
        <v>473</v>
      </c>
    </row>
    <row r="16" spans="1:9" ht="15" x14ac:dyDescent="0.2">
      <c r="A16" s="127"/>
      <c r="B16" s="116" t="s">
        <v>474</v>
      </c>
      <c r="C16" s="127"/>
      <c r="D16" s="126" t="s">
        <v>475</v>
      </c>
      <c r="E16" s="128"/>
    </row>
    <row r="17" spans="1:5" ht="15" x14ac:dyDescent="0.2">
      <c r="A17" s="127"/>
      <c r="B17" s="116" t="s">
        <v>476</v>
      </c>
      <c r="C17" s="127"/>
      <c r="D17" s="126" t="s">
        <v>477</v>
      </c>
      <c r="E17" s="128"/>
    </row>
    <row r="18" spans="1:5" ht="15" x14ac:dyDescent="0.2">
      <c r="A18" s="127"/>
      <c r="B18" s="116" t="s">
        <v>478</v>
      </c>
      <c r="C18" s="127"/>
      <c r="D18" s="126" t="s">
        <v>479</v>
      </c>
      <c r="E18" s="128"/>
    </row>
    <row r="19" spans="1:5" ht="15" x14ac:dyDescent="0.2">
      <c r="A19" s="127"/>
      <c r="B19" s="116" t="s">
        <v>480</v>
      </c>
      <c r="C19" s="127"/>
      <c r="D19" s="126" t="s">
        <v>481</v>
      </c>
      <c r="E19" s="128"/>
    </row>
    <row r="20" spans="1:5" ht="15" x14ac:dyDescent="0.2">
      <c r="A20" s="127"/>
      <c r="B20" s="116" t="s">
        <v>482</v>
      </c>
      <c r="C20" s="127"/>
      <c r="D20" s="126" t="s">
        <v>483</v>
      </c>
      <c r="E20" s="128"/>
    </row>
    <row r="21" spans="1:5" ht="15" x14ac:dyDescent="0.2">
      <c r="B21" s="116" t="s">
        <v>484</v>
      </c>
      <c r="D21" s="126" t="s">
        <v>485</v>
      </c>
      <c r="E21" s="128"/>
    </row>
    <row r="22" spans="1:5" ht="15" x14ac:dyDescent="0.2">
      <c r="B22" s="116" t="s">
        <v>486</v>
      </c>
      <c r="D22" s="126" t="s">
        <v>487</v>
      </c>
      <c r="E22" s="128"/>
    </row>
    <row r="23" spans="1:5" ht="15" x14ac:dyDescent="0.2">
      <c r="B23" s="116" t="s">
        <v>488</v>
      </c>
      <c r="D23" s="126" t="s">
        <v>489</v>
      </c>
      <c r="E23" s="128"/>
    </row>
    <row r="24" spans="1:5" x14ac:dyDescent="0.2">
      <c r="D24" s="129" t="s">
        <v>490</v>
      </c>
      <c r="E24" s="129" t="s">
        <v>491</v>
      </c>
    </row>
    <row r="25" spans="1:5" x14ac:dyDescent="0.2">
      <c r="D25" s="130" t="s">
        <v>492</v>
      </c>
      <c r="E25" s="124" t="s">
        <v>493</v>
      </c>
    </row>
    <row r="26" spans="1:5" x14ac:dyDescent="0.2">
      <c r="D26" s="130" t="s">
        <v>494</v>
      </c>
      <c r="E26" s="124" t="s">
        <v>495</v>
      </c>
    </row>
    <row r="27" spans="1:5" x14ac:dyDescent="0.2">
      <c r="D27" s="950" t="s">
        <v>496</v>
      </c>
      <c r="E27" s="124" t="s">
        <v>497</v>
      </c>
    </row>
    <row r="28" spans="1:5" x14ac:dyDescent="0.2">
      <c r="D28" s="951"/>
      <c r="E28" s="124" t="s">
        <v>498</v>
      </c>
    </row>
    <row r="29" spans="1:5" x14ac:dyDescent="0.2">
      <c r="D29" s="951"/>
      <c r="E29" s="124" t="s">
        <v>499</v>
      </c>
    </row>
    <row r="30" spans="1:5" x14ac:dyDescent="0.2">
      <c r="D30" s="952"/>
      <c r="E30" s="124" t="s">
        <v>500</v>
      </c>
    </row>
    <row r="31" spans="1:5" x14ac:dyDescent="0.2">
      <c r="D31" s="130" t="s">
        <v>501</v>
      </c>
      <c r="E31" s="124" t="s">
        <v>502</v>
      </c>
    </row>
    <row r="32" spans="1:5" x14ac:dyDescent="0.2">
      <c r="D32" s="130" t="s">
        <v>503</v>
      </c>
      <c r="E32" s="124" t="s">
        <v>504</v>
      </c>
    </row>
    <row r="33" spans="4:5" x14ac:dyDescent="0.2">
      <c r="D33" s="130" t="s">
        <v>505</v>
      </c>
      <c r="E33" s="124" t="s">
        <v>506</v>
      </c>
    </row>
    <row r="34" spans="4:5" x14ac:dyDescent="0.2">
      <c r="D34" s="130" t="s">
        <v>507</v>
      </c>
      <c r="E34" s="124" t="s">
        <v>508</v>
      </c>
    </row>
    <row r="35" spans="4:5" x14ac:dyDescent="0.2">
      <c r="D35" s="130" t="s">
        <v>509</v>
      </c>
      <c r="E35" s="124" t="s">
        <v>510</v>
      </c>
    </row>
    <row r="36" spans="4:5" x14ac:dyDescent="0.2">
      <c r="D36" s="130" t="s">
        <v>511</v>
      </c>
      <c r="E36" s="124" t="s">
        <v>512</v>
      </c>
    </row>
    <row r="37" spans="4:5" x14ac:dyDescent="0.2">
      <c r="D37" s="130" t="s">
        <v>513</v>
      </c>
      <c r="E37" s="124" t="s">
        <v>514</v>
      </c>
    </row>
    <row r="38" spans="4:5" x14ac:dyDescent="0.2">
      <c r="D38" s="130" t="s">
        <v>515</v>
      </c>
      <c r="E38" s="124" t="s">
        <v>516</v>
      </c>
    </row>
    <row r="39" spans="4:5" x14ac:dyDescent="0.2">
      <c r="D39" s="131" t="s">
        <v>517</v>
      </c>
      <c r="E39" s="124" t="s">
        <v>518</v>
      </c>
    </row>
    <row r="40" spans="4:5" x14ac:dyDescent="0.2">
      <c r="D40" s="131" t="s">
        <v>519</v>
      </c>
      <c r="E40" s="124" t="s">
        <v>520</v>
      </c>
    </row>
    <row r="41" spans="4:5" x14ac:dyDescent="0.2">
      <c r="D41" s="130" t="s">
        <v>521</v>
      </c>
      <c r="E41" s="124" t="s">
        <v>522</v>
      </c>
    </row>
    <row r="42" spans="4:5" x14ac:dyDescent="0.2">
      <c r="D42" s="130" t="s">
        <v>523</v>
      </c>
      <c r="E42" s="124" t="s">
        <v>524</v>
      </c>
    </row>
    <row r="43" spans="4:5" x14ac:dyDescent="0.2">
      <c r="D43" s="131" t="s">
        <v>525</v>
      </c>
      <c r="E43" s="124" t="s">
        <v>526</v>
      </c>
    </row>
    <row r="44" spans="4:5" x14ac:dyDescent="0.2">
      <c r="D44" s="132" t="s">
        <v>527</v>
      </c>
      <c r="E44" s="124" t="s">
        <v>528</v>
      </c>
    </row>
    <row r="45" spans="4:5" x14ac:dyDescent="0.2">
      <c r="D45" s="126" t="s">
        <v>529</v>
      </c>
      <c r="E45" s="124" t="s">
        <v>530</v>
      </c>
    </row>
    <row r="46" spans="4:5" x14ac:dyDescent="0.2">
      <c r="D46" s="126" t="s">
        <v>531</v>
      </c>
      <c r="E46" s="124" t="s">
        <v>532</v>
      </c>
    </row>
    <row r="47" spans="4:5" x14ac:dyDescent="0.2">
      <c r="D47" s="126" t="s">
        <v>533</v>
      </c>
      <c r="E47" s="124" t="s">
        <v>534</v>
      </c>
    </row>
    <row r="48" spans="4:5" x14ac:dyDescent="0.2">
      <c r="D48" s="126" t="s">
        <v>535</v>
      </c>
      <c r="E48" s="124" t="s">
        <v>536</v>
      </c>
    </row>
    <row r="49" spans="4:4" x14ac:dyDescent="0.2">
      <c r="D49" s="129" t="s">
        <v>537</v>
      </c>
    </row>
    <row r="50" spans="4:4" x14ac:dyDescent="0.2">
      <c r="D50" s="126" t="s">
        <v>538</v>
      </c>
    </row>
    <row r="51" spans="4:4" x14ac:dyDescent="0.2">
      <c r="D51" s="126" t="s">
        <v>539</v>
      </c>
    </row>
    <row r="52" spans="4:4" x14ac:dyDescent="0.2">
      <c r="D52" s="129" t="s">
        <v>540</v>
      </c>
    </row>
    <row r="53" spans="4:4" x14ac:dyDescent="0.2">
      <c r="D53" s="132" t="s">
        <v>541</v>
      </c>
    </row>
    <row r="54" spans="4:4" x14ac:dyDescent="0.2">
      <c r="D54" s="132" t="s">
        <v>542</v>
      </c>
    </row>
    <row r="55" spans="4:4" x14ac:dyDescent="0.2">
      <c r="D55" s="132" t="s">
        <v>543</v>
      </c>
    </row>
    <row r="56" spans="4:4" x14ac:dyDescent="0.2">
      <c r="D56" s="132" t="s">
        <v>544</v>
      </c>
    </row>
  </sheetData>
  <mergeCells count="1">
    <mergeCell ref="D27:D30"/>
  </mergeCells>
  <pageMargins left="0.7" right="0.7" top="0.75" bottom="0.75" header="0.3" footer="0.3"/>
  <pageSetup scale="27"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baseColWidth="10" defaultColWidth="8.83203125" defaultRowHeight="15" x14ac:dyDescent="0.2"/>
  <cols>
    <col min="1" max="256" width="11.5" customWidth="1"/>
  </cols>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N46"/>
  <sheetViews>
    <sheetView zoomScale="90" zoomScaleNormal="90" workbookViewId="0">
      <selection activeCell="P9" sqref="P9"/>
    </sheetView>
  </sheetViews>
  <sheetFormatPr baseColWidth="10" defaultColWidth="8.83203125" defaultRowHeight="15" x14ac:dyDescent="0.2"/>
  <cols>
    <col min="1" max="2" width="11.5" customWidth="1"/>
    <col min="3" max="3" width="6.83203125" customWidth="1"/>
    <col min="4" max="4" width="8.83203125" customWidth="1"/>
    <col min="5" max="5" width="10.83203125" customWidth="1"/>
    <col min="6" max="256" width="11.5" customWidth="1"/>
  </cols>
  <sheetData>
    <row r="1" spans="1:14" x14ac:dyDescent="0.2">
      <c r="B1" t="s">
        <v>545</v>
      </c>
      <c r="C1" s="956" t="s">
        <v>546</v>
      </c>
      <c r="D1" s="956"/>
      <c r="E1" s="956"/>
      <c r="F1" s="956"/>
      <c r="G1" s="957" t="s">
        <v>547</v>
      </c>
      <c r="H1" s="958"/>
      <c r="I1" s="958"/>
      <c r="J1" s="959"/>
      <c r="K1" s="955" t="s">
        <v>548</v>
      </c>
      <c r="L1" s="955"/>
      <c r="M1" s="955"/>
      <c r="N1" s="955"/>
    </row>
    <row r="2" spans="1:14" x14ac:dyDescent="0.2">
      <c r="C2" s="4"/>
      <c r="D2" s="4"/>
      <c r="E2" s="4"/>
      <c r="F2" s="4" t="s">
        <v>549</v>
      </c>
      <c r="G2" s="30"/>
      <c r="H2" s="4"/>
      <c r="I2" s="4"/>
      <c r="J2" s="31" t="s">
        <v>549</v>
      </c>
      <c r="K2" s="4"/>
      <c r="L2" s="4"/>
      <c r="M2" s="4"/>
      <c r="N2" s="4" t="s">
        <v>549</v>
      </c>
    </row>
    <row r="3" spans="1:14" x14ac:dyDescent="0.2">
      <c r="A3" s="954" t="s">
        <v>550</v>
      </c>
      <c r="B3" s="5">
        <v>1</v>
      </c>
      <c r="C3" s="6">
        <v>0.05</v>
      </c>
      <c r="D3" s="6">
        <v>0.05</v>
      </c>
      <c r="E3" s="6">
        <v>0.1</v>
      </c>
      <c r="F3" s="7">
        <f>(C3+D3+E3)</f>
        <v>0.2</v>
      </c>
      <c r="G3" s="32">
        <v>0.1</v>
      </c>
      <c r="H3" s="6">
        <v>0.1</v>
      </c>
      <c r="I3" s="6">
        <v>0.1</v>
      </c>
      <c r="J3" s="33">
        <f>(G3+H3+I3)</f>
        <v>0.30000000000000004</v>
      </c>
      <c r="K3" s="1">
        <v>0.1</v>
      </c>
      <c r="L3" s="1">
        <v>0.1</v>
      </c>
      <c r="M3" s="1">
        <v>0.1</v>
      </c>
      <c r="N3" s="2">
        <f>K3+L3+M3</f>
        <v>0.30000000000000004</v>
      </c>
    </row>
    <row r="4" spans="1:14" x14ac:dyDescent="0.2">
      <c r="A4" s="954"/>
      <c r="B4" s="5">
        <v>2</v>
      </c>
      <c r="C4" s="6">
        <v>0.05</v>
      </c>
      <c r="D4" s="6">
        <v>0.05</v>
      </c>
      <c r="E4" s="6">
        <v>0.1</v>
      </c>
      <c r="F4" s="7">
        <f>(C4+D4+E4)</f>
        <v>0.2</v>
      </c>
      <c r="G4" s="32">
        <v>0.1</v>
      </c>
      <c r="H4" s="6">
        <v>0.1</v>
      </c>
      <c r="I4" s="6">
        <v>0.1</v>
      </c>
      <c r="J4" s="33">
        <f>(G4+H4+I4)</f>
        <v>0.30000000000000004</v>
      </c>
      <c r="K4" s="1">
        <v>0.1</v>
      </c>
      <c r="L4" s="1">
        <v>0.1</v>
      </c>
      <c r="M4" s="1">
        <v>0.1</v>
      </c>
      <c r="N4" s="2">
        <f>K4+L4+M4</f>
        <v>0.30000000000000004</v>
      </c>
    </row>
    <row r="5" spans="1:14" x14ac:dyDescent="0.2">
      <c r="A5" s="954"/>
      <c r="B5" s="5">
        <v>3</v>
      </c>
      <c r="C5" s="6">
        <v>0.05</v>
      </c>
      <c r="D5" s="6">
        <v>0.05</v>
      </c>
      <c r="E5" s="6">
        <v>0.1</v>
      </c>
      <c r="F5" s="7">
        <f>(C5+D5+E5)</f>
        <v>0.2</v>
      </c>
      <c r="G5" s="32">
        <v>0.1</v>
      </c>
      <c r="H5" s="6">
        <v>0.1</v>
      </c>
      <c r="I5" s="6">
        <v>0.1</v>
      </c>
      <c r="J5" s="33">
        <f>(G5+H5+I5)</f>
        <v>0.30000000000000004</v>
      </c>
      <c r="K5" s="24"/>
      <c r="L5" s="5"/>
      <c r="M5" s="5"/>
      <c r="N5" s="5"/>
    </row>
    <row r="6" spans="1:14" x14ac:dyDescent="0.2">
      <c r="A6" s="954"/>
      <c r="B6" s="5">
        <v>4</v>
      </c>
      <c r="C6" s="6">
        <v>0.1</v>
      </c>
      <c r="D6" s="6">
        <v>0.1</v>
      </c>
      <c r="E6" s="6">
        <v>0.2</v>
      </c>
      <c r="F6" s="7">
        <f>(C6+D6+E6)</f>
        <v>0.4</v>
      </c>
      <c r="G6" s="32">
        <v>0</v>
      </c>
      <c r="H6" s="6">
        <v>0</v>
      </c>
      <c r="I6" s="6">
        <v>0.1</v>
      </c>
      <c r="J6" s="33">
        <f>(G6+H6+I6)</f>
        <v>0.1</v>
      </c>
      <c r="K6" s="24"/>
      <c r="L6" s="5"/>
      <c r="M6" s="5"/>
      <c r="N6" s="5"/>
    </row>
    <row r="7" spans="1:14" x14ac:dyDescent="0.2">
      <c r="A7" s="954"/>
      <c r="B7" s="5">
        <v>5</v>
      </c>
      <c r="C7" s="6">
        <v>0</v>
      </c>
      <c r="D7" s="6">
        <v>0</v>
      </c>
      <c r="E7" s="6">
        <v>0</v>
      </c>
      <c r="F7" s="7">
        <f>(C7+D7+E7)</f>
        <v>0</v>
      </c>
      <c r="G7" s="32">
        <v>0</v>
      </c>
      <c r="H7" s="6">
        <v>0</v>
      </c>
      <c r="I7" s="6">
        <v>0</v>
      </c>
      <c r="J7" s="33">
        <f>(G7+H7+I7)</f>
        <v>0</v>
      </c>
      <c r="K7" s="24"/>
      <c r="L7" s="5"/>
      <c r="M7" s="5"/>
      <c r="N7" s="5"/>
    </row>
    <row r="8" spans="1:14" x14ac:dyDescent="0.2">
      <c r="A8" s="954" t="s">
        <v>551</v>
      </c>
      <c r="B8" s="9">
        <v>6</v>
      </c>
      <c r="C8" s="10">
        <v>0.1</v>
      </c>
      <c r="D8" s="10">
        <v>0.1</v>
      </c>
      <c r="E8" s="10">
        <v>0.1</v>
      </c>
      <c r="F8" s="11">
        <f>C8+D8+E8</f>
        <v>0.30000000000000004</v>
      </c>
      <c r="G8" s="34"/>
      <c r="H8" s="9"/>
      <c r="I8" s="9"/>
      <c r="J8" s="35"/>
      <c r="K8" s="25"/>
      <c r="L8" s="9"/>
      <c r="M8" s="9"/>
      <c r="N8" s="9"/>
    </row>
    <row r="9" spans="1:14" x14ac:dyDescent="0.2">
      <c r="A9" s="954"/>
      <c r="B9" s="9">
        <v>7</v>
      </c>
      <c r="C9" s="9"/>
      <c r="D9" s="9"/>
      <c r="E9" s="9"/>
      <c r="F9" s="19"/>
      <c r="G9" s="36"/>
      <c r="H9" s="9"/>
      <c r="I9" s="9"/>
      <c r="J9" s="35"/>
      <c r="K9" s="25"/>
      <c r="L9" s="9"/>
      <c r="M9" s="9"/>
      <c r="N9" s="9"/>
    </row>
    <row r="10" spans="1:14" x14ac:dyDescent="0.2">
      <c r="A10" s="954"/>
      <c r="B10" s="9">
        <v>8</v>
      </c>
      <c r="C10" s="9"/>
      <c r="D10" s="9"/>
      <c r="E10" s="9"/>
      <c r="F10" s="19"/>
      <c r="G10" s="36"/>
      <c r="H10" s="9"/>
      <c r="I10" s="9"/>
      <c r="J10" s="35"/>
      <c r="K10" s="25"/>
      <c r="L10" s="9"/>
      <c r="M10" s="9"/>
      <c r="N10" s="9"/>
    </row>
    <row r="11" spans="1:14" x14ac:dyDescent="0.2">
      <c r="A11" s="954"/>
      <c r="B11" s="9">
        <v>9</v>
      </c>
      <c r="C11" s="9"/>
      <c r="D11" s="9"/>
      <c r="E11" s="9"/>
      <c r="F11" s="19"/>
      <c r="G11" s="36"/>
      <c r="H11" s="9"/>
      <c r="I11" s="9"/>
      <c r="J11" s="35"/>
      <c r="K11" s="25"/>
      <c r="L11" s="9"/>
      <c r="M11" s="9"/>
      <c r="N11" s="9"/>
    </row>
    <row r="12" spans="1:14" x14ac:dyDescent="0.2">
      <c r="A12" s="954" t="s">
        <v>552</v>
      </c>
      <c r="B12" s="14">
        <v>10</v>
      </c>
      <c r="C12" s="14"/>
      <c r="D12" s="14"/>
      <c r="E12" s="14"/>
      <c r="F12" s="20"/>
      <c r="G12" s="37"/>
      <c r="H12" s="14"/>
      <c r="I12" s="14"/>
      <c r="J12" s="38"/>
      <c r="K12" s="26"/>
      <c r="L12" s="14"/>
      <c r="M12" s="14"/>
      <c r="N12" s="14"/>
    </row>
    <row r="13" spans="1:14" x14ac:dyDescent="0.2">
      <c r="A13" s="954"/>
      <c r="B13" s="14">
        <v>11</v>
      </c>
      <c r="C13" s="14"/>
      <c r="D13" s="14"/>
      <c r="E13" s="14"/>
      <c r="F13" s="20"/>
      <c r="G13" s="37"/>
      <c r="H13" s="14"/>
      <c r="I13" s="14"/>
      <c r="J13" s="38"/>
      <c r="K13" s="26"/>
      <c r="L13" s="14"/>
      <c r="M13" s="14"/>
      <c r="N13" s="14"/>
    </row>
    <row r="14" spans="1:14" x14ac:dyDescent="0.2">
      <c r="A14" s="954"/>
      <c r="B14" s="14">
        <v>12</v>
      </c>
      <c r="C14" s="14"/>
      <c r="D14" s="14"/>
      <c r="E14" s="14"/>
      <c r="F14" s="20"/>
      <c r="G14" s="37"/>
      <c r="H14" s="14"/>
      <c r="I14" s="14"/>
      <c r="J14" s="38"/>
      <c r="K14" s="26"/>
      <c r="L14" s="14"/>
      <c r="M14" s="14"/>
      <c r="N14" s="14"/>
    </row>
    <row r="15" spans="1:14" x14ac:dyDescent="0.2">
      <c r="A15" s="954"/>
      <c r="B15" s="14">
        <v>13</v>
      </c>
      <c r="C15" s="14"/>
      <c r="D15" s="14"/>
      <c r="E15" s="14"/>
      <c r="F15" s="20"/>
      <c r="G15" s="37"/>
      <c r="H15" s="14"/>
      <c r="I15" s="14"/>
      <c r="J15" s="38"/>
      <c r="K15" s="26"/>
      <c r="L15" s="14"/>
      <c r="M15" s="14"/>
      <c r="N15" s="14"/>
    </row>
    <row r="16" spans="1:14" x14ac:dyDescent="0.2">
      <c r="A16" s="954" t="s">
        <v>553</v>
      </c>
      <c r="B16" s="15">
        <v>14</v>
      </c>
      <c r="C16" s="15"/>
      <c r="D16" s="15"/>
      <c r="E16" s="15"/>
      <c r="F16" s="21"/>
      <c r="G16" s="39"/>
      <c r="H16" s="15"/>
      <c r="I16" s="15"/>
      <c r="J16" s="40"/>
      <c r="K16" s="27"/>
      <c r="L16" s="15"/>
      <c r="M16" s="15"/>
      <c r="N16" s="15"/>
    </row>
    <row r="17" spans="1:14" x14ac:dyDescent="0.2">
      <c r="A17" s="954"/>
      <c r="B17" s="15">
        <v>15</v>
      </c>
      <c r="C17" s="15"/>
      <c r="D17" s="15"/>
      <c r="E17" s="15"/>
      <c r="F17" s="21"/>
      <c r="G17" s="39"/>
      <c r="H17" s="15"/>
      <c r="I17" s="15"/>
      <c r="J17" s="40"/>
      <c r="K17" s="27"/>
      <c r="L17" s="15"/>
      <c r="M17" s="15"/>
      <c r="N17" s="15"/>
    </row>
    <row r="18" spans="1:14" x14ac:dyDescent="0.2">
      <c r="A18" s="954"/>
      <c r="B18" s="15">
        <v>16</v>
      </c>
      <c r="C18" s="15"/>
      <c r="D18" s="15"/>
      <c r="E18" s="15"/>
      <c r="F18" s="21"/>
      <c r="G18" s="39"/>
      <c r="H18" s="15"/>
      <c r="I18" s="15"/>
      <c r="J18" s="40"/>
      <c r="K18" s="27"/>
      <c r="L18" s="15"/>
      <c r="M18" s="15"/>
      <c r="N18" s="15"/>
    </row>
    <row r="19" spans="1:14" x14ac:dyDescent="0.2">
      <c r="A19" s="954" t="s">
        <v>554</v>
      </c>
      <c r="B19" s="18">
        <v>17</v>
      </c>
      <c r="C19" s="18"/>
      <c r="D19" s="18"/>
      <c r="E19" s="18"/>
      <c r="F19" s="22"/>
      <c r="G19" s="41"/>
      <c r="H19" s="18"/>
      <c r="I19" s="18"/>
      <c r="J19" s="42"/>
      <c r="K19" s="28"/>
      <c r="L19" s="18"/>
      <c r="M19" s="18"/>
      <c r="N19" s="18"/>
    </row>
    <row r="20" spans="1:14" x14ac:dyDescent="0.2">
      <c r="A20" s="954"/>
      <c r="B20" s="18">
        <v>18</v>
      </c>
      <c r="C20" s="18"/>
      <c r="D20" s="18"/>
      <c r="E20" s="18"/>
      <c r="F20" s="22"/>
      <c r="G20" s="41"/>
      <c r="H20" s="18"/>
      <c r="I20" s="18"/>
      <c r="J20" s="42"/>
      <c r="K20" s="28"/>
      <c r="L20" s="18"/>
      <c r="M20" s="18"/>
      <c r="N20" s="18"/>
    </row>
    <row r="21" spans="1:14" x14ac:dyDescent="0.2">
      <c r="A21" s="954"/>
      <c r="B21" s="18">
        <v>19</v>
      </c>
      <c r="C21" s="18"/>
      <c r="D21" s="18"/>
      <c r="E21" s="18"/>
      <c r="F21" s="22"/>
      <c r="G21" s="41"/>
      <c r="H21" s="18"/>
      <c r="I21" s="18"/>
      <c r="J21" s="42"/>
      <c r="K21" s="28"/>
      <c r="L21" s="18"/>
      <c r="M21" s="18"/>
      <c r="N21" s="18"/>
    </row>
    <row r="22" spans="1:14" x14ac:dyDescent="0.2">
      <c r="A22" s="954"/>
      <c r="B22" s="18">
        <v>20</v>
      </c>
      <c r="C22" s="18"/>
      <c r="D22" s="18"/>
      <c r="E22" s="18"/>
      <c r="F22" s="22"/>
      <c r="G22" s="41"/>
      <c r="H22" s="18"/>
      <c r="I22" s="18"/>
      <c r="J22" s="42"/>
      <c r="K22" s="28"/>
      <c r="L22" s="18"/>
      <c r="M22" s="18"/>
      <c r="N22" s="18"/>
    </row>
    <row r="23" spans="1:14" x14ac:dyDescent="0.2">
      <c r="A23" s="954" t="s">
        <v>555</v>
      </c>
      <c r="B23" s="13">
        <v>21</v>
      </c>
      <c r="C23" s="13"/>
      <c r="D23" s="13"/>
      <c r="E23" s="13"/>
      <c r="F23" s="23"/>
      <c r="G23" s="43"/>
      <c r="H23" s="13"/>
      <c r="I23" s="13"/>
      <c r="J23" s="44"/>
      <c r="K23" s="29"/>
      <c r="L23" s="13"/>
      <c r="M23" s="13"/>
      <c r="N23" s="13"/>
    </row>
    <row r="24" spans="1:14" x14ac:dyDescent="0.2">
      <c r="A24" s="954"/>
      <c r="B24" s="13">
        <v>22</v>
      </c>
      <c r="C24" s="13"/>
      <c r="D24" s="13"/>
      <c r="E24" s="13"/>
      <c r="F24" s="23"/>
      <c r="G24" s="43"/>
      <c r="H24" s="13"/>
      <c r="I24" s="13"/>
      <c r="J24" s="44"/>
      <c r="K24" s="29"/>
      <c r="L24" s="13"/>
      <c r="M24" s="13"/>
      <c r="N24" s="13"/>
    </row>
    <row r="25" spans="1:14" x14ac:dyDescent="0.2">
      <c r="A25" s="954"/>
      <c r="B25" s="13">
        <v>23</v>
      </c>
      <c r="C25" s="13"/>
      <c r="D25" s="13"/>
      <c r="E25" s="13"/>
      <c r="F25" s="23"/>
      <c r="G25" s="43"/>
      <c r="H25" s="13"/>
      <c r="I25" s="13"/>
      <c r="J25" s="44"/>
      <c r="K25" s="29"/>
      <c r="L25" s="13"/>
      <c r="M25" s="13"/>
      <c r="N25" s="13"/>
    </row>
    <row r="26" spans="1:14" x14ac:dyDescent="0.2">
      <c r="A26" s="954"/>
      <c r="B26" s="13">
        <v>24</v>
      </c>
      <c r="C26" s="13"/>
      <c r="D26" s="13"/>
      <c r="E26" s="13"/>
      <c r="F26" s="23"/>
      <c r="G26" s="43"/>
      <c r="H26" s="13"/>
      <c r="I26" s="13"/>
      <c r="J26" s="44"/>
      <c r="K26" s="29"/>
      <c r="L26" s="13"/>
      <c r="M26" s="13"/>
      <c r="N26" s="13"/>
    </row>
    <row r="27" spans="1:14" x14ac:dyDescent="0.2">
      <c r="A27" s="954" t="s">
        <v>556</v>
      </c>
      <c r="B27" s="9">
        <v>25</v>
      </c>
      <c r="C27" s="9"/>
      <c r="D27" s="9"/>
      <c r="E27" s="9"/>
      <c r="F27" s="9"/>
      <c r="G27" s="9"/>
      <c r="H27" s="9"/>
      <c r="I27" s="9"/>
      <c r="J27" s="9"/>
      <c r="K27" s="9"/>
      <c r="L27" s="9"/>
      <c r="M27" s="9"/>
      <c r="N27" s="9"/>
    </row>
    <row r="28" spans="1:14" x14ac:dyDescent="0.2">
      <c r="A28" s="954"/>
      <c r="B28" s="9">
        <v>26</v>
      </c>
      <c r="C28" s="9"/>
      <c r="D28" s="9"/>
      <c r="E28" s="9"/>
      <c r="F28" s="9"/>
      <c r="G28" s="9"/>
      <c r="H28" s="9"/>
      <c r="I28" s="9"/>
      <c r="J28" s="9"/>
      <c r="K28" s="9"/>
      <c r="L28" s="9"/>
      <c r="M28" s="9"/>
      <c r="N28" s="9"/>
    </row>
    <row r="29" spans="1:14" x14ac:dyDescent="0.2">
      <c r="A29" s="954"/>
      <c r="B29" s="9">
        <v>27</v>
      </c>
      <c r="C29" s="9"/>
      <c r="D29" s="9"/>
      <c r="E29" s="9"/>
      <c r="F29" s="9"/>
      <c r="G29" s="9"/>
      <c r="H29" s="9"/>
      <c r="I29" s="9"/>
      <c r="J29" s="9"/>
      <c r="K29" s="9"/>
      <c r="L29" s="9"/>
      <c r="M29" s="9"/>
      <c r="N29" s="9"/>
    </row>
    <row r="30" spans="1:14" x14ac:dyDescent="0.2">
      <c r="A30" s="954"/>
      <c r="B30" s="9">
        <v>28</v>
      </c>
      <c r="C30" s="9"/>
      <c r="D30" s="9"/>
      <c r="E30" s="9"/>
      <c r="F30" s="9"/>
      <c r="G30" s="9"/>
      <c r="H30" s="9"/>
      <c r="I30" s="9"/>
      <c r="J30" s="9"/>
      <c r="K30" s="9"/>
      <c r="L30" s="9"/>
      <c r="M30" s="9"/>
      <c r="N30" s="9"/>
    </row>
    <row r="31" spans="1:14" x14ac:dyDescent="0.2">
      <c r="A31" s="954"/>
      <c r="B31" s="9">
        <v>29</v>
      </c>
      <c r="C31" s="9"/>
      <c r="D31" s="9"/>
      <c r="E31" s="9"/>
      <c r="F31" s="9"/>
      <c r="G31" s="9"/>
      <c r="H31" s="9"/>
      <c r="I31" s="9"/>
      <c r="J31" s="9"/>
      <c r="K31" s="9"/>
      <c r="L31" s="9"/>
      <c r="M31" s="9"/>
      <c r="N31" s="9"/>
    </row>
    <row r="32" spans="1:14" x14ac:dyDescent="0.2">
      <c r="A32" s="954" t="s">
        <v>557</v>
      </c>
      <c r="B32" s="16">
        <v>30</v>
      </c>
      <c r="C32" s="16"/>
      <c r="D32" s="16"/>
      <c r="E32" s="16"/>
      <c r="F32" s="16"/>
      <c r="G32" s="16"/>
      <c r="H32" s="16"/>
      <c r="I32" s="16"/>
      <c r="J32" s="16"/>
      <c r="K32" s="16"/>
      <c r="L32" s="16"/>
      <c r="M32" s="16"/>
      <c r="N32" s="16"/>
    </row>
    <row r="33" spans="1:14" x14ac:dyDescent="0.2">
      <c r="A33" s="954"/>
      <c r="B33" s="16">
        <v>31</v>
      </c>
      <c r="C33" s="16"/>
      <c r="D33" s="16"/>
      <c r="E33" s="16"/>
      <c r="F33" s="16"/>
      <c r="G33" s="16"/>
      <c r="H33" s="16"/>
      <c r="I33" s="16"/>
      <c r="J33" s="16"/>
      <c r="K33" s="16"/>
      <c r="L33" s="16"/>
      <c r="M33" s="16"/>
      <c r="N33" s="16"/>
    </row>
    <row r="34" spans="1:14" x14ac:dyDescent="0.2">
      <c r="A34" s="954"/>
      <c r="B34" s="16">
        <v>32</v>
      </c>
      <c r="C34" s="16"/>
      <c r="D34" s="16"/>
      <c r="E34" s="16"/>
      <c r="F34" s="16"/>
      <c r="G34" s="16"/>
      <c r="H34" s="16"/>
      <c r="I34" s="16"/>
      <c r="J34" s="16"/>
      <c r="K34" s="16"/>
      <c r="L34" s="16"/>
      <c r="M34" s="16"/>
      <c r="N34" s="16"/>
    </row>
    <row r="35" spans="1:14" x14ac:dyDescent="0.2">
      <c r="A35" s="954" t="s">
        <v>558</v>
      </c>
      <c r="B35" s="17">
        <v>33</v>
      </c>
      <c r="C35" s="14"/>
      <c r="D35" s="14"/>
      <c r="E35" s="14"/>
      <c r="F35" s="14"/>
      <c r="G35" s="14"/>
      <c r="H35" s="14"/>
      <c r="I35" s="14"/>
      <c r="J35" s="14"/>
      <c r="K35" s="14"/>
      <c r="L35" s="14"/>
      <c r="M35" s="14"/>
      <c r="N35" s="14"/>
    </row>
    <row r="36" spans="1:14" x14ac:dyDescent="0.2">
      <c r="A36" s="954"/>
      <c r="B36" s="14">
        <v>34</v>
      </c>
      <c r="C36" s="14"/>
      <c r="D36" s="14"/>
      <c r="E36" s="14"/>
      <c r="F36" s="14"/>
      <c r="G36" s="14"/>
      <c r="H36" s="14"/>
      <c r="I36" s="14"/>
      <c r="J36" s="14"/>
      <c r="K36" s="14"/>
      <c r="L36" s="14"/>
      <c r="M36" s="14"/>
      <c r="N36" s="14"/>
    </row>
    <row r="37" spans="1:14" x14ac:dyDescent="0.2">
      <c r="A37" s="954"/>
      <c r="B37" s="45">
        <v>35</v>
      </c>
      <c r="C37" s="14"/>
      <c r="D37" s="14"/>
      <c r="E37" s="14"/>
      <c r="F37" s="14"/>
      <c r="G37" s="14"/>
      <c r="H37" s="14"/>
      <c r="I37" s="14"/>
      <c r="J37" s="14"/>
      <c r="K37" s="14"/>
      <c r="L37" s="14"/>
      <c r="M37" s="14"/>
      <c r="N37" s="14"/>
    </row>
    <row r="38" spans="1:14" x14ac:dyDescent="0.2">
      <c r="A38" s="954" t="s">
        <v>559</v>
      </c>
      <c r="B38" s="8">
        <v>36</v>
      </c>
      <c r="C38" s="8"/>
      <c r="D38" s="8"/>
      <c r="E38" s="8"/>
      <c r="F38" s="8"/>
      <c r="G38" s="8"/>
      <c r="H38" s="8"/>
      <c r="I38" s="8"/>
      <c r="J38" s="8"/>
      <c r="K38" s="8"/>
      <c r="L38" s="8"/>
      <c r="M38" s="8"/>
      <c r="N38" s="8"/>
    </row>
    <row r="39" spans="1:14" x14ac:dyDescent="0.2">
      <c r="A39" s="954"/>
      <c r="B39" s="8">
        <v>37</v>
      </c>
      <c r="C39" s="8"/>
      <c r="D39" s="8"/>
      <c r="E39" s="8"/>
      <c r="F39" s="8"/>
      <c r="G39" s="8"/>
      <c r="H39" s="8"/>
      <c r="I39" s="8"/>
      <c r="J39" s="8"/>
      <c r="K39" s="8"/>
      <c r="L39" s="8"/>
      <c r="M39" s="8"/>
      <c r="N39" s="8"/>
    </row>
    <row r="40" spans="1:14" x14ac:dyDescent="0.2">
      <c r="A40" s="954"/>
      <c r="B40" s="8">
        <v>38</v>
      </c>
      <c r="C40" s="8"/>
      <c r="D40" s="8"/>
      <c r="E40" s="8"/>
      <c r="F40" s="8"/>
      <c r="G40" s="8"/>
      <c r="H40" s="8"/>
      <c r="I40" s="8"/>
      <c r="J40" s="8"/>
      <c r="K40" s="8"/>
      <c r="L40" s="8"/>
      <c r="M40" s="8"/>
      <c r="N40" s="8"/>
    </row>
    <row r="41" spans="1:14" x14ac:dyDescent="0.2">
      <c r="A41" s="960" t="s">
        <v>560</v>
      </c>
      <c r="B41" s="46">
        <v>39</v>
      </c>
      <c r="C41" s="47"/>
      <c r="D41" s="47"/>
      <c r="E41" s="47"/>
      <c r="F41" s="47"/>
      <c r="G41" s="47"/>
      <c r="H41" s="47"/>
      <c r="I41" s="47"/>
      <c r="J41" s="47"/>
      <c r="K41" s="47"/>
      <c r="L41" s="47"/>
      <c r="M41" s="47"/>
      <c r="N41" s="47"/>
    </row>
    <row r="42" spans="1:14" x14ac:dyDescent="0.2">
      <c r="A42" s="960"/>
      <c r="B42" s="47">
        <v>40</v>
      </c>
      <c r="C42" s="47"/>
      <c r="D42" s="47"/>
      <c r="E42" s="47"/>
      <c r="F42" s="47"/>
      <c r="G42" s="47"/>
      <c r="H42" s="47"/>
      <c r="I42" s="47"/>
      <c r="J42" s="47"/>
      <c r="K42" s="47"/>
      <c r="L42" s="47"/>
      <c r="M42" s="47"/>
      <c r="N42" s="47"/>
    </row>
    <row r="43" spans="1:14" x14ac:dyDescent="0.2">
      <c r="A43" s="960"/>
      <c r="B43" s="47">
        <v>41</v>
      </c>
      <c r="C43" s="47"/>
      <c r="D43" s="47"/>
      <c r="E43" s="47"/>
      <c r="F43" s="47"/>
      <c r="G43" s="47"/>
      <c r="H43" s="47"/>
      <c r="I43" s="47"/>
      <c r="J43" s="47"/>
      <c r="K43" s="47"/>
      <c r="L43" s="47"/>
      <c r="M43" s="47"/>
      <c r="N43" s="47"/>
    </row>
    <row r="44" spans="1:14" x14ac:dyDescent="0.2">
      <c r="A44" s="960"/>
      <c r="B44" s="48">
        <v>42</v>
      </c>
      <c r="C44" s="47"/>
      <c r="D44" s="47"/>
      <c r="E44" s="47"/>
      <c r="F44" s="47"/>
      <c r="G44" s="47"/>
      <c r="H44" s="47"/>
      <c r="I44" s="47"/>
      <c r="J44" s="47"/>
      <c r="K44" s="47"/>
      <c r="L44" s="47"/>
      <c r="M44" s="47"/>
      <c r="N44" s="47"/>
    </row>
    <row r="45" spans="1:14" x14ac:dyDescent="0.2">
      <c r="A45" s="953" t="s">
        <v>561</v>
      </c>
      <c r="B45" s="12">
        <v>43</v>
      </c>
      <c r="C45" s="12"/>
      <c r="D45" s="12"/>
      <c r="E45" s="12"/>
      <c r="F45" s="12"/>
      <c r="G45" s="12"/>
      <c r="H45" s="12"/>
      <c r="I45" s="12"/>
      <c r="J45" s="12"/>
      <c r="K45" s="12"/>
      <c r="L45" s="12"/>
      <c r="M45" s="12"/>
      <c r="N45" s="12"/>
    </row>
    <row r="46" spans="1:14" x14ac:dyDescent="0.2">
      <c r="A46" s="953"/>
      <c r="B46" s="12">
        <v>44</v>
      </c>
      <c r="C46" s="12"/>
      <c r="D46" s="12"/>
      <c r="E46" s="12"/>
      <c r="F46" s="12"/>
      <c r="G46" s="12"/>
      <c r="H46" s="12"/>
      <c r="I46" s="12"/>
      <c r="J46" s="12"/>
      <c r="K46" s="12"/>
      <c r="L46" s="12"/>
      <c r="M46" s="12"/>
      <c r="N46" s="12"/>
    </row>
  </sheetData>
  <mergeCells count="15">
    <mergeCell ref="A45:A46"/>
    <mergeCell ref="A23:A26"/>
    <mergeCell ref="K1:N1"/>
    <mergeCell ref="A3:A7"/>
    <mergeCell ref="A8:A11"/>
    <mergeCell ref="A12:A15"/>
    <mergeCell ref="A16:A18"/>
    <mergeCell ref="A19:A22"/>
    <mergeCell ref="C1:F1"/>
    <mergeCell ref="G1:J1"/>
    <mergeCell ref="A27:A31"/>
    <mergeCell ref="A32:A34"/>
    <mergeCell ref="A35:A37"/>
    <mergeCell ref="A38:A40"/>
    <mergeCell ref="A41:A4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AO44"/>
  <sheetViews>
    <sheetView showGridLines="0" view="pageBreakPreview" topLeftCell="E32" zoomScale="60" zoomScaleNormal="60" workbookViewId="0">
      <selection activeCell="N39" sqref="N39"/>
    </sheetView>
  </sheetViews>
  <sheetFormatPr baseColWidth="10" defaultColWidth="10.83203125" defaultRowHeight="15" x14ac:dyDescent="0.2"/>
  <cols>
    <col min="1" max="1" width="38.5" style="50" customWidth="1"/>
    <col min="2" max="2" width="15.5" style="50" customWidth="1"/>
    <col min="3" max="14" width="20.6640625" style="50" customWidth="1"/>
    <col min="15" max="15" width="16.1640625" style="50" customWidth="1"/>
    <col min="16" max="16" width="18.1640625" style="50" customWidth="1"/>
    <col min="17" max="19" width="23.33203125" style="50" customWidth="1"/>
    <col min="20" max="22" width="22.33203125" style="50" customWidth="1"/>
    <col min="23" max="27" width="18.1640625" style="50" customWidth="1"/>
    <col min="28" max="28" width="22.6640625" style="50" customWidth="1"/>
    <col min="29" max="29" width="19" style="50" customWidth="1"/>
    <col min="30" max="30" width="19.5" style="50" customWidth="1"/>
    <col min="31" max="31" width="6.33203125" style="50" bestFit="1" customWidth="1"/>
    <col min="32" max="32" width="22.83203125" style="50" customWidth="1"/>
    <col min="33" max="33" width="18.5" style="50" bestFit="1" customWidth="1"/>
    <col min="34" max="34" width="8.5" style="50" customWidth="1"/>
    <col min="35" max="35" width="18.5" style="50" bestFit="1" customWidth="1"/>
    <col min="36" max="36" width="5.6640625" style="50" customWidth="1"/>
    <col min="37" max="37" width="18.5" style="50" bestFit="1" customWidth="1"/>
    <col min="38" max="38" width="4.6640625" style="50" customWidth="1"/>
    <col min="39" max="39" width="23" style="50" bestFit="1" customWidth="1"/>
    <col min="40" max="40" width="10.83203125" style="50"/>
    <col min="41" max="41" width="18.5" style="50" bestFit="1" customWidth="1"/>
    <col min="42" max="42" width="16.1640625" style="50" customWidth="1"/>
    <col min="43" max="16384" width="10.83203125" style="50"/>
  </cols>
  <sheetData>
    <row r="1" spans="1:30" ht="32.25" customHeight="1" thickBot="1" x14ac:dyDescent="0.25">
      <c r="A1" s="594"/>
      <c r="B1" s="574" t="s">
        <v>0</v>
      </c>
      <c r="C1" s="575"/>
      <c r="D1" s="575"/>
      <c r="E1" s="575"/>
      <c r="F1" s="575"/>
      <c r="G1" s="575"/>
      <c r="H1" s="575"/>
      <c r="I1" s="575"/>
      <c r="J1" s="575"/>
      <c r="K1" s="575"/>
      <c r="L1" s="575"/>
      <c r="M1" s="575"/>
      <c r="N1" s="575"/>
      <c r="O1" s="575"/>
      <c r="P1" s="575"/>
      <c r="Q1" s="575"/>
      <c r="R1" s="575"/>
      <c r="S1" s="575"/>
      <c r="T1" s="575"/>
      <c r="U1" s="575"/>
      <c r="V1" s="575"/>
      <c r="W1" s="575"/>
      <c r="X1" s="575"/>
      <c r="Y1" s="575"/>
      <c r="Z1" s="575"/>
      <c r="AA1" s="576"/>
      <c r="AB1" s="571" t="s">
        <v>1</v>
      </c>
      <c r="AC1" s="572"/>
      <c r="AD1" s="573"/>
    </row>
    <row r="2" spans="1:30" ht="30.75" customHeight="1" thickBot="1" x14ac:dyDescent="0.25">
      <c r="A2" s="595"/>
      <c r="B2" s="574" t="s">
        <v>2</v>
      </c>
      <c r="C2" s="575"/>
      <c r="D2" s="575"/>
      <c r="E2" s="575"/>
      <c r="F2" s="575"/>
      <c r="G2" s="575"/>
      <c r="H2" s="575"/>
      <c r="I2" s="575"/>
      <c r="J2" s="575"/>
      <c r="K2" s="575"/>
      <c r="L2" s="575"/>
      <c r="M2" s="575"/>
      <c r="N2" s="575"/>
      <c r="O2" s="575"/>
      <c r="P2" s="575"/>
      <c r="Q2" s="575"/>
      <c r="R2" s="575"/>
      <c r="S2" s="575"/>
      <c r="T2" s="575"/>
      <c r="U2" s="575"/>
      <c r="V2" s="575"/>
      <c r="W2" s="575"/>
      <c r="X2" s="575"/>
      <c r="Y2" s="575"/>
      <c r="Z2" s="575"/>
      <c r="AA2" s="576"/>
      <c r="AB2" s="577" t="s">
        <v>3</v>
      </c>
      <c r="AC2" s="578"/>
      <c r="AD2" s="579"/>
    </row>
    <row r="3" spans="1:30" ht="24" customHeight="1" x14ac:dyDescent="0.2">
      <c r="A3" s="595"/>
      <c r="B3" s="580" t="s">
        <v>4</v>
      </c>
      <c r="C3" s="581"/>
      <c r="D3" s="581"/>
      <c r="E3" s="581"/>
      <c r="F3" s="581"/>
      <c r="G3" s="581"/>
      <c r="H3" s="581"/>
      <c r="I3" s="581"/>
      <c r="J3" s="581"/>
      <c r="K3" s="581"/>
      <c r="L3" s="581"/>
      <c r="M3" s="581"/>
      <c r="N3" s="581"/>
      <c r="O3" s="581"/>
      <c r="P3" s="581"/>
      <c r="Q3" s="581"/>
      <c r="R3" s="581"/>
      <c r="S3" s="581"/>
      <c r="T3" s="581"/>
      <c r="U3" s="581"/>
      <c r="V3" s="581"/>
      <c r="W3" s="581"/>
      <c r="X3" s="581"/>
      <c r="Y3" s="581"/>
      <c r="Z3" s="581"/>
      <c r="AA3" s="582"/>
      <c r="AB3" s="577" t="s">
        <v>5</v>
      </c>
      <c r="AC3" s="578"/>
      <c r="AD3" s="579"/>
    </row>
    <row r="4" spans="1:30" ht="22" customHeight="1" thickBot="1" x14ac:dyDescent="0.25">
      <c r="A4" s="596"/>
      <c r="B4" s="505"/>
      <c r="C4" s="507"/>
      <c r="D4" s="507"/>
      <c r="E4" s="507"/>
      <c r="F4" s="507"/>
      <c r="G4" s="507"/>
      <c r="H4" s="507"/>
      <c r="I4" s="507"/>
      <c r="J4" s="507"/>
      <c r="K4" s="507"/>
      <c r="L4" s="507"/>
      <c r="M4" s="507"/>
      <c r="N4" s="507"/>
      <c r="O4" s="507"/>
      <c r="P4" s="507"/>
      <c r="Q4" s="507"/>
      <c r="R4" s="507"/>
      <c r="S4" s="507"/>
      <c r="T4" s="507"/>
      <c r="U4" s="507"/>
      <c r="V4" s="507"/>
      <c r="W4" s="507"/>
      <c r="X4" s="507"/>
      <c r="Y4" s="507"/>
      <c r="Z4" s="507"/>
      <c r="AA4" s="583"/>
      <c r="AB4" s="584" t="s">
        <v>6</v>
      </c>
      <c r="AC4" s="585"/>
      <c r="AD4" s="586"/>
    </row>
    <row r="5" spans="1:30" ht="9" customHeight="1" thickBot="1" x14ac:dyDescent="0.25">
      <c r="A5" s="51"/>
      <c r="B5" s="180"/>
      <c r="C5" s="181"/>
      <c r="D5" s="54"/>
      <c r="E5" s="54"/>
      <c r="F5" s="54"/>
      <c r="G5" s="54"/>
      <c r="H5" s="54"/>
      <c r="I5" s="54"/>
      <c r="J5" s="54"/>
      <c r="K5" s="54"/>
      <c r="L5" s="54"/>
      <c r="M5" s="54"/>
      <c r="N5" s="54"/>
      <c r="O5" s="54"/>
      <c r="P5" s="54"/>
      <c r="Q5" s="54"/>
      <c r="R5" s="54"/>
      <c r="S5" s="54"/>
      <c r="T5" s="54"/>
      <c r="U5" s="54"/>
      <c r="V5" s="54"/>
      <c r="W5" s="54"/>
      <c r="X5" s="54"/>
      <c r="Y5" s="54"/>
      <c r="Z5" s="55"/>
      <c r="AA5" s="54"/>
      <c r="AB5" s="56"/>
      <c r="AC5" s="57"/>
      <c r="AD5" s="58"/>
    </row>
    <row r="6" spans="1:30" ht="9" customHeight="1" x14ac:dyDescent="0.2">
      <c r="A6" s="59"/>
      <c r="B6" s="54"/>
      <c r="C6" s="54"/>
      <c r="D6" s="54"/>
      <c r="E6" s="54"/>
      <c r="F6" s="54"/>
      <c r="G6" s="54"/>
      <c r="H6" s="54"/>
      <c r="I6" s="54"/>
      <c r="J6" s="54"/>
      <c r="K6" s="54"/>
      <c r="L6" s="54"/>
      <c r="M6" s="54"/>
      <c r="N6" s="54"/>
      <c r="O6" s="54"/>
      <c r="P6" s="54"/>
      <c r="Q6" s="54"/>
      <c r="R6" s="54"/>
      <c r="S6" s="54"/>
      <c r="T6" s="54"/>
      <c r="U6" s="54"/>
      <c r="V6" s="54"/>
      <c r="W6" s="54"/>
      <c r="X6" s="54"/>
      <c r="Y6" s="54"/>
      <c r="Z6" s="55"/>
      <c r="AA6" s="54"/>
      <c r="AB6" s="54"/>
      <c r="AC6" s="60"/>
      <c r="AD6" s="61"/>
    </row>
    <row r="7" spans="1:30" ht="15" customHeight="1" x14ac:dyDescent="0.2">
      <c r="A7" s="601" t="s">
        <v>7</v>
      </c>
      <c r="B7" s="602"/>
      <c r="C7" s="607" t="s">
        <v>8</v>
      </c>
      <c r="D7" s="601" t="s">
        <v>9</v>
      </c>
      <c r="E7" s="619"/>
      <c r="F7" s="619"/>
      <c r="G7" s="619"/>
      <c r="H7" s="602"/>
      <c r="I7" s="622">
        <v>45233</v>
      </c>
      <c r="J7" s="623"/>
      <c r="K7" s="601" t="s">
        <v>10</v>
      </c>
      <c r="L7" s="602"/>
      <c r="M7" s="589" t="s">
        <v>11</v>
      </c>
      <c r="N7" s="590"/>
      <c r="O7" s="628"/>
      <c r="P7" s="629"/>
      <c r="Q7" s="54"/>
      <c r="R7" s="54"/>
      <c r="S7" s="54"/>
      <c r="T7" s="54"/>
      <c r="U7" s="54"/>
      <c r="V7" s="54"/>
      <c r="W7" s="54"/>
      <c r="X7" s="54"/>
      <c r="Y7" s="54"/>
      <c r="Z7" s="55"/>
      <c r="AA7" s="54"/>
      <c r="AB7" s="54"/>
      <c r="AC7" s="60"/>
      <c r="AD7" s="61"/>
    </row>
    <row r="8" spans="1:30" ht="15" customHeight="1" x14ac:dyDescent="0.2">
      <c r="A8" s="603"/>
      <c r="B8" s="604"/>
      <c r="C8" s="608"/>
      <c r="D8" s="603"/>
      <c r="E8" s="620"/>
      <c r="F8" s="620"/>
      <c r="G8" s="620"/>
      <c r="H8" s="604"/>
      <c r="I8" s="624"/>
      <c r="J8" s="625"/>
      <c r="K8" s="603"/>
      <c r="L8" s="604"/>
      <c r="M8" s="630" t="s">
        <v>12</v>
      </c>
      <c r="N8" s="631"/>
      <c r="O8" s="632"/>
      <c r="P8" s="633"/>
      <c r="Q8" s="54"/>
      <c r="R8" s="54"/>
      <c r="S8" s="54"/>
      <c r="T8" s="54"/>
      <c r="U8" s="54"/>
      <c r="V8" s="54"/>
      <c r="W8" s="54"/>
      <c r="X8" s="54"/>
      <c r="Y8" s="54"/>
      <c r="Z8" s="55"/>
      <c r="AA8" s="54"/>
      <c r="AB8" s="54"/>
      <c r="AC8" s="60"/>
      <c r="AD8" s="61"/>
    </row>
    <row r="9" spans="1:30" ht="15.75" customHeight="1" x14ac:dyDescent="0.2">
      <c r="A9" s="605"/>
      <c r="B9" s="606"/>
      <c r="C9" s="609"/>
      <c r="D9" s="605"/>
      <c r="E9" s="621"/>
      <c r="F9" s="621"/>
      <c r="G9" s="621"/>
      <c r="H9" s="606"/>
      <c r="I9" s="626"/>
      <c r="J9" s="627"/>
      <c r="K9" s="605"/>
      <c r="L9" s="606"/>
      <c r="M9" s="634" t="s">
        <v>13</v>
      </c>
      <c r="N9" s="635"/>
      <c r="O9" s="587" t="s">
        <v>14</v>
      </c>
      <c r="P9" s="588"/>
      <c r="Q9" s="54"/>
      <c r="R9" s="54"/>
      <c r="S9" s="54"/>
      <c r="T9" s="54"/>
      <c r="U9" s="54"/>
      <c r="V9" s="54"/>
      <c r="W9" s="54"/>
      <c r="X9" s="54"/>
      <c r="Y9" s="54"/>
      <c r="Z9" s="55"/>
      <c r="AA9" s="54"/>
      <c r="AB9" s="54"/>
      <c r="AC9" s="60"/>
      <c r="AD9" s="61"/>
    </row>
    <row r="10" spans="1:30" ht="15" customHeight="1" x14ac:dyDescent="0.2">
      <c r="A10" s="157"/>
      <c r="B10" s="158"/>
      <c r="C10" s="158"/>
      <c r="D10" s="65"/>
      <c r="E10" s="65"/>
      <c r="F10" s="65"/>
      <c r="G10" s="65"/>
      <c r="H10" s="65"/>
      <c r="I10" s="154"/>
      <c r="J10" s="154"/>
      <c r="K10" s="65"/>
      <c r="L10" s="65"/>
      <c r="M10" s="155"/>
      <c r="N10" s="155"/>
      <c r="O10" s="156"/>
      <c r="P10" s="156"/>
      <c r="Q10" s="158"/>
      <c r="R10" s="158"/>
      <c r="S10" s="158"/>
      <c r="T10" s="158"/>
      <c r="U10" s="158"/>
      <c r="V10" s="158"/>
      <c r="W10" s="158"/>
      <c r="X10" s="158"/>
      <c r="Y10" s="158"/>
      <c r="Z10" s="159"/>
      <c r="AA10" s="158"/>
      <c r="AB10" s="158"/>
      <c r="AC10" s="160"/>
      <c r="AD10" s="161"/>
    </row>
    <row r="11" spans="1:30" ht="15" customHeight="1" x14ac:dyDescent="0.2">
      <c r="A11" s="601" t="s">
        <v>15</v>
      </c>
      <c r="B11" s="602"/>
      <c r="C11" s="610" t="s">
        <v>16</v>
      </c>
      <c r="D11" s="611"/>
      <c r="E11" s="611"/>
      <c r="F11" s="611"/>
      <c r="G11" s="611"/>
      <c r="H11" s="611"/>
      <c r="I11" s="611"/>
      <c r="J11" s="611"/>
      <c r="K11" s="611"/>
      <c r="L11" s="611"/>
      <c r="M11" s="611"/>
      <c r="N11" s="611"/>
      <c r="O11" s="611"/>
      <c r="P11" s="611"/>
      <c r="Q11" s="611"/>
      <c r="R11" s="611"/>
      <c r="S11" s="611"/>
      <c r="T11" s="611"/>
      <c r="U11" s="611"/>
      <c r="V11" s="611"/>
      <c r="W11" s="611"/>
      <c r="X11" s="611"/>
      <c r="Y11" s="611"/>
      <c r="Z11" s="611"/>
      <c r="AA11" s="611"/>
      <c r="AB11" s="611"/>
      <c r="AC11" s="611"/>
      <c r="AD11" s="612"/>
    </row>
    <row r="12" spans="1:30" ht="15" customHeight="1" x14ac:dyDescent="0.2">
      <c r="A12" s="603"/>
      <c r="B12" s="604"/>
      <c r="C12" s="613"/>
      <c r="D12" s="614"/>
      <c r="E12" s="614"/>
      <c r="F12" s="614"/>
      <c r="G12" s="614"/>
      <c r="H12" s="614"/>
      <c r="I12" s="614"/>
      <c r="J12" s="614"/>
      <c r="K12" s="614"/>
      <c r="L12" s="614"/>
      <c r="M12" s="614"/>
      <c r="N12" s="614"/>
      <c r="O12" s="614"/>
      <c r="P12" s="614"/>
      <c r="Q12" s="614"/>
      <c r="R12" s="614"/>
      <c r="S12" s="614"/>
      <c r="T12" s="614"/>
      <c r="U12" s="614"/>
      <c r="V12" s="614"/>
      <c r="W12" s="614"/>
      <c r="X12" s="614"/>
      <c r="Y12" s="614"/>
      <c r="Z12" s="614"/>
      <c r="AA12" s="614"/>
      <c r="AB12" s="614"/>
      <c r="AC12" s="614"/>
      <c r="AD12" s="615"/>
    </row>
    <row r="13" spans="1:30" ht="15" customHeight="1" thickBot="1" x14ac:dyDescent="0.25">
      <c r="A13" s="605"/>
      <c r="B13" s="606"/>
      <c r="C13" s="616"/>
      <c r="D13" s="617"/>
      <c r="E13" s="617"/>
      <c r="F13" s="617"/>
      <c r="G13" s="617"/>
      <c r="H13" s="617"/>
      <c r="I13" s="617"/>
      <c r="J13" s="617"/>
      <c r="K13" s="617"/>
      <c r="L13" s="617"/>
      <c r="M13" s="617"/>
      <c r="N13" s="617"/>
      <c r="O13" s="617"/>
      <c r="P13" s="617"/>
      <c r="Q13" s="617"/>
      <c r="R13" s="617"/>
      <c r="S13" s="617"/>
      <c r="T13" s="617"/>
      <c r="U13" s="617"/>
      <c r="V13" s="617"/>
      <c r="W13" s="617"/>
      <c r="X13" s="617"/>
      <c r="Y13" s="617"/>
      <c r="Z13" s="617"/>
      <c r="AA13" s="617"/>
      <c r="AB13" s="617"/>
      <c r="AC13" s="617"/>
      <c r="AD13" s="618"/>
    </row>
    <row r="14" spans="1:30" ht="9" customHeight="1" thickBot="1" x14ac:dyDescent="0.25">
      <c r="A14" s="67"/>
      <c r="B14" s="68"/>
      <c r="C14" s="69"/>
      <c r="D14" s="69"/>
      <c r="E14" s="69"/>
      <c r="F14" s="69"/>
      <c r="G14" s="69"/>
      <c r="H14" s="69"/>
      <c r="I14" s="69"/>
      <c r="J14" s="69"/>
      <c r="K14" s="69"/>
      <c r="L14" s="69"/>
      <c r="M14" s="70"/>
      <c r="N14" s="70"/>
      <c r="O14" s="70"/>
      <c r="P14" s="70"/>
      <c r="Q14" s="70"/>
      <c r="R14" s="71"/>
      <c r="S14" s="71"/>
      <c r="T14" s="71"/>
      <c r="U14" s="71"/>
      <c r="V14" s="71"/>
      <c r="W14" s="71"/>
      <c r="X14" s="71"/>
      <c r="Y14" s="65"/>
      <c r="Z14" s="65"/>
      <c r="AA14" s="65"/>
      <c r="AB14" s="65"/>
      <c r="AC14" s="65"/>
      <c r="AD14" s="66"/>
    </row>
    <row r="15" spans="1:30" ht="39" customHeight="1" thickBot="1" x14ac:dyDescent="0.25">
      <c r="A15" s="552" t="s">
        <v>17</v>
      </c>
      <c r="B15" s="553"/>
      <c r="C15" s="591" t="s">
        <v>18</v>
      </c>
      <c r="D15" s="592"/>
      <c r="E15" s="592"/>
      <c r="F15" s="592"/>
      <c r="G15" s="592"/>
      <c r="H15" s="592"/>
      <c r="I15" s="592"/>
      <c r="J15" s="592"/>
      <c r="K15" s="593"/>
      <c r="L15" s="560" t="s">
        <v>19</v>
      </c>
      <c r="M15" s="564"/>
      <c r="N15" s="564"/>
      <c r="O15" s="564"/>
      <c r="P15" s="564"/>
      <c r="Q15" s="561"/>
      <c r="R15" s="557" t="s">
        <v>20</v>
      </c>
      <c r="S15" s="558"/>
      <c r="T15" s="558"/>
      <c r="U15" s="558"/>
      <c r="V15" s="558"/>
      <c r="W15" s="558"/>
      <c r="X15" s="559"/>
      <c r="Y15" s="560" t="s">
        <v>21</v>
      </c>
      <c r="Z15" s="561"/>
      <c r="AA15" s="548" t="s">
        <v>22</v>
      </c>
      <c r="AB15" s="549"/>
      <c r="AC15" s="549"/>
      <c r="AD15" s="550"/>
    </row>
    <row r="16" spans="1:30" ht="9" customHeight="1" thickBot="1" x14ac:dyDescent="0.25">
      <c r="A16" s="59"/>
      <c r="B16" s="54"/>
      <c r="C16" s="551"/>
      <c r="D16" s="551"/>
      <c r="E16" s="551"/>
      <c r="F16" s="551"/>
      <c r="G16" s="551"/>
      <c r="H16" s="551"/>
      <c r="I16" s="551"/>
      <c r="J16" s="551"/>
      <c r="K16" s="551"/>
      <c r="L16" s="551"/>
      <c r="M16" s="551"/>
      <c r="N16" s="551"/>
      <c r="O16" s="551"/>
      <c r="P16" s="551"/>
      <c r="Q16" s="551"/>
      <c r="R16" s="551"/>
      <c r="S16" s="551"/>
      <c r="T16" s="551"/>
      <c r="U16" s="551"/>
      <c r="V16" s="551"/>
      <c r="W16" s="551"/>
      <c r="X16" s="551"/>
      <c r="Y16" s="551"/>
      <c r="Z16" s="551"/>
      <c r="AA16" s="551"/>
      <c r="AB16" s="551"/>
      <c r="AC16" s="73"/>
      <c r="AD16" s="74"/>
    </row>
    <row r="17" spans="1:41" s="76" customFormat="1" ht="37.5" customHeight="1" thickBot="1" x14ac:dyDescent="0.25">
      <c r="A17" s="552" t="s">
        <v>23</v>
      </c>
      <c r="B17" s="553"/>
      <c r="C17" s="554" t="s">
        <v>98</v>
      </c>
      <c r="D17" s="555"/>
      <c r="E17" s="555"/>
      <c r="F17" s="555"/>
      <c r="G17" s="555"/>
      <c r="H17" s="555"/>
      <c r="I17" s="555"/>
      <c r="J17" s="555"/>
      <c r="K17" s="555"/>
      <c r="L17" s="555"/>
      <c r="M17" s="555"/>
      <c r="N17" s="555"/>
      <c r="O17" s="555"/>
      <c r="P17" s="555"/>
      <c r="Q17" s="556"/>
      <c r="R17" s="560" t="s">
        <v>25</v>
      </c>
      <c r="S17" s="564"/>
      <c r="T17" s="564"/>
      <c r="U17" s="564"/>
      <c r="V17" s="561"/>
      <c r="W17" s="562">
        <v>13</v>
      </c>
      <c r="X17" s="563"/>
      <c r="Y17" s="564" t="s">
        <v>26</v>
      </c>
      <c r="Z17" s="564"/>
      <c r="AA17" s="564"/>
      <c r="AB17" s="561"/>
      <c r="AC17" s="599">
        <v>0.15</v>
      </c>
      <c r="AD17" s="600"/>
    </row>
    <row r="18" spans="1:41" ht="16.5" customHeight="1" thickBot="1" x14ac:dyDescent="0.25">
      <c r="A18" s="77"/>
      <c r="B18" s="78"/>
      <c r="C18" s="78"/>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9"/>
    </row>
    <row r="19" spans="1:41" ht="32" customHeight="1" thickBot="1" x14ac:dyDescent="0.25">
      <c r="A19" s="560"/>
      <c r="B19" s="564"/>
      <c r="C19" s="564"/>
      <c r="D19" s="564"/>
      <c r="E19" s="564"/>
      <c r="F19" s="564"/>
      <c r="G19" s="564"/>
      <c r="H19" s="564"/>
      <c r="I19" s="564"/>
      <c r="J19" s="564"/>
      <c r="K19" s="564"/>
      <c r="L19" s="564"/>
      <c r="M19" s="564"/>
      <c r="N19" s="564"/>
      <c r="O19" s="564"/>
      <c r="P19" s="564"/>
      <c r="Q19" s="564"/>
      <c r="R19" s="564"/>
      <c r="S19" s="564"/>
      <c r="T19" s="564"/>
      <c r="U19" s="564"/>
      <c r="V19" s="564"/>
      <c r="W19" s="564"/>
      <c r="X19" s="564"/>
      <c r="Y19" s="564"/>
      <c r="Z19" s="564"/>
      <c r="AA19" s="564"/>
      <c r="AB19" s="564"/>
      <c r="AC19" s="564"/>
      <c r="AD19" s="561"/>
      <c r="AE19" s="83"/>
      <c r="AF19" s="83"/>
    </row>
    <row r="20" spans="1:41" ht="32" customHeight="1" x14ac:dyDescent="0.2">
      <c r="A20" s="182"/>
      <c r="B20" s="58"/>
      <c r="C20" s="568" t="s">
        <v>28</v>
      </c>
      <c r="D20" s="569"/>
      <c r="E20" s="569"/>
      <c r="F20" s="569"/>
      <c r="G20" s="569"/>
      <c r="H20" s="569"/>
      <c r="I20" s="569"/>
      <c r="J20" s="569"/>
      <c r="K20" s="569"/>
      <c r="L20" s="569"/>
      <c r="M20" s="569"/>
      <c r="N20" s="569"/>
      <c r="O20" s="569"/>
      <c r="P20" s="570"/>
      <c r="Q20" s="565" t="s">
        <v>29</v>
      </c>
      <c r="R20" s="566"/>
      <c r="S20" s="566"/>
      <c r="T20" s="566"/>
      <c r="U20" s="566"/>
      <c r="V20" s="566"/>
      <c r="W20" s="566"/>
      <c r="X20" s="566"/>
      <c r="Y20" s="566"/>
      <c r="Z20" s="566"/>
      <c r="AA20" s="566"/>
      <c r="AB20" s="566"/>
      <c r="AC20" s="566"/>
      <c r="AD20" s="567"/>
      <c r="AE20" s="83"/>
      <c r="AF20" s="83"/>
    </row>
    <row r="21" spans="1:41" ht="32" customHeight="1" x14ac:dyDescent="0.2">
      <c r="A21" s="183"/>
      <c r="B21" s="74"/>
      <c r="C21" s="146" t="s">
        <v>30</v>
      </c>
      <c r="D21" s="147" t="s">
        <v>31</v>
      </c>
      <c r="E21" s="147" t="s">
        <v>32</v>
      </c>
      <c r="F21" s="147" t="s">
        <v>33</v>
      </c>
      <c r="G21" s="147" t="s">
        <v>34</v>
      </c>
      <c r="H21" s="147" t="s">
        <v>35</v>
      </c>
      <c r="I21" s="147" t="s">
        <v>36</v>
      </c>
      <c r="J21" s="147" t="s">
        <v>37</v>
      </c>
      <c r="K21" s="277" t="s">
        <v>38</v>
      </c>
      <c r="L21" s="277" t="s">
        <v>8</v>
      </c>
      <c r="M21" s="147" t="s">
        <v>39</v>
      </c>
      <c r="N21" s="147" t="s">
        <v>40</v>
      </c>
      <c r="O21" s="147" t="s">
        <v>41</v>
      </c>
      <c r="P21" s="148" t="s">
        <v>42</v>
      </c>
      <c r="Q21" s="146" t="s">
        <v>30</v>
      </c>
      <c r="R21" s="147" t="s">
        <v>31</v>
      </c>
      <c r="S21" s="147" t="s">
        <v>32</v>
      </c>
      <c r="T21" s="147" t="s">
        <v>33</v>
      </c>
      <c r="U21" s="147" t="s">
        <v>34</v>
      </c>
      <c r="V21" s="147" t="s">
        <v>35</v>
      </c>
      <c r="W21" s="147" t="s">
        <v>36</v>
      </c>
      <c r="X21" s="147" t="s">
        <v>37</v>
      </c>
      <c r="Y21" s="147" t="s">
        <v>38</v>
      </c>
      <c r="Z21" s="147" t="s">
        <v>8</v>
      </c>
      <c r="AA21" s="147" t="s">
        <v>39</v>
      </c>
      <c r="AB21" s="147" t="s">
        <v>40</v>
      </c>
      <c r="AC21" s="147" t="s">
        <v>41</v>
      </c>
      <c r="AD21" s="148" t="s">
        <v>42</v>
      </c>
      <c r="AE21" s="3"/>
      <c r="AF21" s="3"/>
    </row>
    <row r="22" spans="1:41" ht="32" customHeight="1" x14ac:dyDescent="0.2">
      <c r="A22" s="527" t="s">
        <v>43</v>
      </c>
      <c r="B22" s="598"/>
      <c r="C22" s="168"/>
      <c r="D22" s="166"/>
      <c r="E22" s="166"/>
      <c r="F22" s="166"/>
      <c r="G22" s="166"/>
      <c r="H22" s="166"/>
      <c r="I22" s="166"/>
      <c r="J22" s="169"/>
      <c r="K22" s="305"/>
      <c r="L22" s="305"/>
      <c r="M22" s="317"/>
      <c r="N22" s="166"/>
      <c r="O22" s="166">
        <f>SUM(C22:N22)</f>
        <v>0</v>
      </c>
      <c r="P22" s="169"/>
      <c r="Q22" s="168">
        <v>187995600</v>
      </c>
      <c r="R22" s="310"/>
      <c r="S22" s="166"/>
      <c r="T22" s="166">
        <v>21559511</v>
      </c>
      <c r="U22" s="166"/>
      <c r="V22" s="166">
        <f>2445118+34249272-3569820</f>
        <v>33124570</v>
      </c>
      <c r="W22" s="166"/>
      <c r="X22" s="166"/>
      <c r="Y22" s="166"/>
      <c r="Z22" s="166">
        <v>-17843918</v>
      </c>
      <c r="AA22" s="166"/>
      <c r="AB22" s="166"/>
      <c r="AC22" s="166">
        <f>SUM(Q22:AB22)</f>
        <v>224835763</v>
      </c>
      <c r="AD22" s="173"/>
      <c r="AE22" s="3"/>
      <c r="AF22" s="597" t="s">
        <v>99</v>
      </c>
      <c r="AG22" s="597"/>
      <c r="AH22" s="597"/>
      <c r="AI22" s="597"/>
      <c r="AJ22" s="597"/>
      <c r="AK22" s="597"/>
      <c r="AL22" s="597"/>
      <c r="AM22" s="597"/>
    </row>
    <row r="23" spans="1:41" ht="32" customHeight="1" x14ac:dyDescent="0.2">
      <c r="A23" s="528" t="s">
        <v>45</v>
      </c>
      <c r="B23" s="540"/>
      <c r="C23" s="163"/>
      <c r="D23" s="162"/>
      <c r="E23" s="162"/>
      <c r="F23" s="162"/>
      <c r="G23" s="162"/>
      <c r="H23" s="162"/>
      <c r="I23" s="162"/>
      <c r="J23" s="167"/>
      <c r="K23" s="305"/>
      <c r="L23" s="305"/>
      <c r="M23" s="307"/>
      <c r="N23" s="162"/>
      <c r="O23" s="162">
        <f>SUM(C23:N23)</f>
        <v>0</v>
      </c>
      <c r="P23" s="174" t="str">
        <f>IFERROR(O23/(SUMIF(C23:N23,"&gt;0",C22:N22))," ")</f>
        <v xml:space="preserve"> </v>
      </c>
      <c r="Q23" s="309">
        <v>48136000</v>
      </c>
      <c r="R23" s="305">
        <v>106411067</v>
      </c>
      <c r="S23" s="305">
        <v>29070932</v>
      </c>
      <c r="T23" s="305">
        <v>-3221999</v>
      </c>
      <c r="U23" s="305">
        <v>23423763</v>
      </c>
      <c r="V23" s="305">
        <v>11200000</v>
      </c>
      <c r="W23" s="305" t="s">
        <v>100</v>
      </c>
      <c r="X23" s="305" t="s">
        <v>100</v>
      </c>
      <c r="Y23" s="305" t="s">
        <v>100</v>
      </c>
      <c r="Z23" s="305">
        <v>1440000</v>
      </c>
      <c r="AA23" s="162"/>
      <c r="AB23" s="162"/>
      <c r="AC23" s="162">
        <f>SUM(Q23:AB23)</f>
        <v>216459763</v>
      </c>
      <c r="AD23" s="171">
        <f>+AC23/AC22</f>
        <v>0.96274614016810123</v>
      </c>
      <c r="AE23" s="3"/>
      <c r="AF23" s="597"/>
      <c r="AG23" s="597"/>
      <c r="AH23" s="597"/>
      <c r="AI23" s="597"/>
      <c r="AJ23" s="597"/>
      <c r="AK23" s="597"/>
      <c r="AL23" s="597"/>
      <c r="AM23" s="597"/>
    </row>
    <row r="24" spans="1:41" ht="32" customHeight="1" thickBot="1" x14ac:dyDescent="0.25">
      <c r="A24" s="638" t="s">
        <v>47</v>
      </c>
      <c r="B24" s="538"/>
      <c r="C24" s="302">
        <v>19304538</v>
      </c>
      <c r="D24" s="303">
        <f>494400+543840+4505045</f>
        <v>5543285</v>
      </c>
      <c r="E24" s="162"/>
      <c r="F24" s="162"/>
      <c r="G24" s="162"/>
      <c r="H24" s="162">
        <v>-1</v>
      </c>
      <c r="I24" s="162">
        <v>0</v>
      </c>
      <c r="J24" s="167">
        <v>0</v>
      </c>
      <c r="K24" s="318">
        <v>-10127</v>
      </c>
      <c r="L24" s="318"/>
      <c r="M24" s="307"/>
      <c r="N24" s="162"/>
      <c r="O24" s="162">
        <f>SUM(C24:N24)</f>
        <v>24837695</v>
      </c>
      <c r="P24" s="167"/>
      <c r="Q24" s="163"/>
      <c r="R24" s="310">
        <v>7727600</v>
      </c>
      <c r="S24" s="162">
        <v>16388000</v>
      </c>
      <c r="T24" s="162">
        <v>16388000</v>
      </c>
      <c r="U24" s="162">
        <f>16388000+21559511</f>
        <v>37947511</v>
      </c>
      <c r="V24" s="162">
        <f>16388000-3569820</f>
        <v>12818180</v>
      </c>
      <c r="W24" s="162">
        <f>16388000+2445118+11416424</f>
        <v>30249542</v>
      </c>
      <c r="X24" s="162">
        <v>16388000</v>
      </c>
      <c r="Y24" s="162">
        <f>16388000+11416424</f>
        <v>27804424</v>
      </c>
      <c r="Z24" s="162">
        <f>16388000-17843918</f>
        <v>-1455918</v>
      </c>
      <c r="AA24" s="162">
        <f>16388000+11416424</f>
        <v>27804424</v>
      </c>
      <c r="AB24" s="162">
        <v>32776000</v>
      </c>
      <c r="AC24" s="162">
        <f>SUM(Q24:AB24)</f>
        <v>224835763</v>
      </c>
      <c r="AD24" s="171"/>
      <c r="AE24" s="3"/>
      <c r="AF24" s="597"/>
      <c r="AG24" s="597"/>
      <c r="AH24" s="597"/>
      <c r="AI24" s="597"/>
      <c r="AJ24" s="597"/>
      <c r="AK24" s="597"/>
      <c r="AL24" s="597"/>
      <c r="AM24" s="597"/>
    </row>
    <row r="25" spans="1:41" ht="32" customHeight="1" thickBot="1" x14ac:dyDescent="0.25">
      <c r="A25" s="636" t="s">
        <v>50</v>
      </c>
      <c r="B25" s="637"/>
      <c r="C25" s="314">
        <v>543840</v>
      </c>
      <c r="D25" s="314">
        <v>18760518</v>
      </c>
      <c r="E25" s="314" t="s">
        <v>51</v>
      </c>
      <c r="F25" s="314">
        <v>5151217</v>
      </c>
      <c r="G25" s="314" t="s">
        <v>101</v>
      </c>
      <c r="H25" s="314">
        <v>382120</v>
      </c>
      <c r="I25" s="314" t="s">
        <v>101</v>
      </c>
      <c r="J25" s="315" t="s">
        <v>101</v>
      </c>
      <c r="K25" s="311" t="s">
        <v>101</v>
      </c>
      <c r="L25" s="311">
        <v>0</v>
      </c>
      <c r="M25" s="316"/>
      <c r="N25" s="165"/>
      <c r="O25" s="165">
        <f>SUM(C25:N25)</f>
        <v>24837695</v>
      </c>
      <c r="P25" s="170">
        <f>IFERROR(O25/(SUMIF(C25:N25,"&gt;0",C24:N24))," ")</f>
        <v>0.99959243912806528</v>
      </c>
      <c r="Q25" s="164"/>
      <c r="R25" s="311">
        <v>1078933</v>
      </c>
      <c r="S25" s="311">
        <v>7823734</v>
      </c>
      <c r="T25" s="311">
        <v>13298133</v>
      </c>
      <c r="U25" s="311">
        <v>17920800</v>
      </c>
      <c r="V25" s="311">
        <v>17866933</v>
      </c>
      <c r="W25" s="311">
        <v>44143230</v>
      </c>
      <c r="X25" s="311">
        <v>17367200</v>
      </c>
      <c r="Y25" s="311">
        <v>15384800</v>
      </c>
      <c r="Z25" s="311">
        <v>14316000</v>
      </c>
      <c r="AA25" s="165"/>
      <c r="AB25" s="165"/>
      <c r="AC25" s="165">
        <f>SUM(Q25:AB25)</f>
        <v>149199763</v>
      </c>
      <c r="AD25" s="172">
        <f>+AC25/AC24</f>
        <v>0.66359444338043316</v>
      </c>
      <c r="AE25" s="3"/>
      <c r="AF25" s="597"/>
      <c r="AG25" s="597"/>
      <c r="AH25" s="597"/>
      <c r="AI25" s="597"/>
      <c r="AJ25" s="597"/>
      <c r="AK25" s="597"/>
      <c r="AL25" s="597"/>
      <c r="AM25" s="597"/>
    </row>
    <row r="26" spans="1:41" ht="32" customHeight="1" thickBot="1" x14ac:dyDescent="0.25">
      <c r="A26" s="59"/>
      <c r="B26" s="54"/>
      <c r="C26" s="80"/>
      <c r="D26" s="80"/>
      <c r="E26" s="80"/>
      <c r="F26" s="80"/>
      <c r="G26" s="80"/>
      <c r="H26" s="80"/>
      <c r="I26" s="80"/>
      <c r="J26" s="80"/>
      <c r="K26" s="80"/>
      <c r="L26" s="80"/>
      <c r="M26" s="80"/>
      <c r="N26" s="80"/>
      <c r="O26" s="80"/>
      <c r="P26" s="80"/>
      <c r="Q26" s="80"/>
      <c r="R26" s="80"/>
      <c r="S26" s="80"/>
      <c r="T26" s="80"/>
      <c r="U26" s="80"/>
      <c r="V26" s="80"/>
      <c r="W26" s="80"/>
      <c r="X26" s="80"/>
      <c r="Y26" s="80"/>
      <c r="Z26" s="80"/>
      <c r="AA26" s="80"/>
      <c r="AB26" s="80"/>
      <c r="AC26" s="60"/>
      <c r="AD26" s="161"/>
    </row>
    <row r="27" spans="1:41" ht="34" customHeight="1" x14ac:dyDescent="0.2">
      <c r="A27" s="543" t="s">
        <v>52</v>
      </c>
      <c r="B27" s="544"/>
      <c r="C27" s="545"/>
      <c r="D27" s="545"/>
      <c r="E27" s="545"/>
      <c r="F27" s="545"/>
      <c r="G27" s="545"/>
      <c r="H27" s="545"/>
      <c r="I27" s="545"/>
      <c r="J27" s="545"/>
      <c r="K27" s="545"/>
      <c r="L27" s="545"/>
      <c r="M27" s="545"/>
      <c r="N27" s="545"/>
      <c r="O27" s="545"/>
      <c r="P27" s="545"/>
      <c r="Q27" s="545"/>
      <c r="R27" s="545"/>
      <c r="S27" s="545"/>
      <c r="T27" s="545"/>
      <c r="U27" s="545"/>
      <c r="V27" s="545"/>
      <c r="W27" s="545"/>
      <c r="X27" s="545"/>
      <c r="Y27" s="545"/>
      <c r="Z27" s="545"/>
      <c r="AA27" s="545"/>
      <c r="AB27" s="545"/>
      <c r="AC27" s="545"/>
      <c r="AD27" s="546"/>
    </row>
    <row r="28" spans="1:41" ht="15" customHeight="1" x14ac:dyDescent="0.2">
      <c r="A28" s="536" t="s">
        <v>53</v>
      </c>
      <c r="B28" s="538" t="s">
        <v>54</v>
      </c>
      <c r="C28" s="539"/>
      <c r="D28" s="540" t="s">
        <v>55</v>
      </c>
      <c r="E28" s="541"/>
      <c r="F28" s="541"/>
      <c r="G28" s="541"/>
      <c r="H28" s="541"/>
      <c r="I28" s="541"/>
      <c r="J28" s="541"/>
      <c r="K28" s="541"/>
      <c r="L28" s="541"/>
      <c r="M28" s="541"/>
      <c r="N28" s="541"/>
      <c r="O28" s="535"/>
      <c r="P28" s="529" t="s">
        <v>41</v>
      </c>
      <c r="Q28" s="529" t="s">
        <v>56</v>
      </c>
      <c r="R28" s="529"/>
      <c r="S28" s="529"/>
      <c r="T28" s="529"/>
      <c r="U28" s="529"/>
      <c r="V28" s="529"/>
      <c r="W28" s="529"/>
      <c r="X28" s="529"/>
      <c r="Y28" s="529"/>
      <c r="Z28" s="529"/>
      <c r="AA28" s="529"/>
      <c r="AB28" s="529"/>
      <c r="AC28" s="529"/>
      <c r="AD28" s="542"/>
    </row>
    <row r="29" spans="1:41" ht="27" customHeight="1" x14ac:dyDescent="0.2">
      <c r="A29" s="537"/>
      <c r="B29" s="532"/>
      <c r="C29" s="487"/>
      <c r="D29" s="88" t="s">
        <v>30</v>
      </c>
      <c r="E29" s="88" t="s">
        <v>31</v>
      </c>
      <c r="F29" s="88" t="s">
        <v>32</v>
      </c>
      <c r="G29" s="88" t="s">
        <v>33</v>
      </c>
      <c r="H29" s="88" t="s">
        <v>34</v>
      </c>
      <c r="I29" s="88" t="s">
        <v>35</v>
      </c>
      <c r="J29" s="88" t="s">
        <v>36</v>
      </c>
      <c r="K29" s="88" t="s">
        <v>37</v>
      </c>
      <c r="L29" s="88" t="s">
        <v>38</v>
      </c>
      <c r="M29" s="88" t="s">
        <v>8</v>
      </c>
      <c r="N29" s="88" t="s">
        <v>39</v>
      </c>
      <c r="O29" s="88" t="s">
        <v>40</v>
      </c>
      <c r="P29" s="535"/>
      <c r="Q29" s="529"/>
      <c r="R29" s="529"/>
      <c r="S29" s="529"/>
      <c r="T29" s="529"/>
      <c r="U29" s="529"/>
      <c r="V29" s="529"/>
      <c r="W29" s="529"/>
      <c r="X29" s="529"/>
      <c r="Y29" s="529"/>
      <c r="Z29" s="529"/>
      <c r="AA29" s="529"/>
      <c r="AB29" s="529"/>
      <c r="AC29" s="529"/>
      <c r="AD29" s="542"/>
    </row>
    <row r="30" spans="1:41" ht="68.25" customHeight="1" thickBot="1" x14ac:dyDescent="0.25">
      <c r="A30" s="85" t="s">
        <v>102</v>
      </c>
      <c r="B30" s="520"/>
      <c r="C30" s="521"/>
      <c r="D30" s="89"/>
      <c r="E30" s="89"/>
      <c r="F30" s="89"/>
      <c r="G30" s="89"/>
      <c r="H30" s="89"/>
      <c r="I30" s="89"/>
      <c r="J30" s="89"/>
      <c r="K30" s="89"/>
      <c r="L30" s="89"/>
      <c r="M30" s="89"/>
      <c r="N30" s="89"/>
      <c r="O30" s="89"/>
      <c r="P30" s="86">
        <f>SUM(D30:O30)</f>
        <v>0</v>
      </c>
      <c r="Q30" s="522"/>
      <c r="R30" s="522"/>
      <c r="S30" s="522"/>
      <c r="T30" s="522"/>
      <c r="U30" s="522"/>
      <c r="V30" s="522"/>
      <c r="W30" s="522"/>
      <c r="X30" s="522"/>
      <c r="Y30" s="522"/>
      <c r="Z30" s="522"/>
      <c r="AA30" s="522"/>
      <c r="AB30" s="522"/>
      <c r="AC30" s="522"/>
      <c r="AD30" s="523"/>
    </row>
    <row r="31" spans="1:41" ht="45" customHeight="1" thickBot="1" x14ac:dyDescent="0.25">
      <c r="A31" s="524" t="s">
        <v>58</v>
      </c>
      <c r="B31" s="525"/>
      <c r="C31" s="525"/>
      <c r="D31" s="525"/>
      <c r="E31" s="525"/>
      <c r="F31" s="525"/>
      <c r="G31" s="525"/>
      <c r="H31" s="525"/>
      <c r="I31" s="525"/>
      <c r="J31" s="525"/>
      <c r="K31" s="525"/>
      <c r="L31" s="525"/>
      <c r="M31" s="525"/>
      <c r="N31" s="525"/>
      <c r="O31" s="525"/>
      <c r="P31" s="525"/>
      <c r="Q31" s="525"/>
      <c r="R31" s="525"/>
      <c r="S31" s="525"/>
      <c r="T31" s="525"/>
      <c r="U31" s="525"/>
      <c r="V31" s="525"/>
      <c r="W31" s="525"/>
      <c r="X31" s="525"/>
      <c r="Y31" s="525"/>
      <c r="Z31" s="525"/>
      <c r="AA31" s="525"/>
      <c r="AB31" s="525"/>
      <c r="AC31" s="525"/>
      <c r="AD31" s="526"/>
    </row>
    <row r="32" spans="1:41" ht="23" customHeight="1" x14ac:dyDescent="0.2">
      <c r="A32" s="527" t="s">
        <v>59</v>
      </c>
      <c r="B32" s="485" t="s">
        <v>60</v>
      </c>
      <c r="C32" s="485" t="s">
        <v>54</v>
      </c>
      <c r="D32" s="485" t="s">
        <v>61</v>
      </c>
      <c r="E32" s="485"/>
      <c r="F32" s="485"/>
      <c r="G32" s="485"/>
      <c r="H32" s="485"/>
      <c r="I32" s="485"/>
      <c r="J32" s="485"/>
      <c r="K32" s="485"/>
      <c r="L32" s="485"/>
      <c r="M32" s="485"/>
      <c r="N32" s="485"/>
      <c r="O32" s="485"/>
      <c r="P32" s="485"/>
      <c r="Q32" s="485" t="s">
        <v>62</v>
      </c>
      <c r="R32" s="485"/>
      <c r="S32" s="485"/>
      <c r="T32" s="485"/>
      <c r="U32" s="485"/>
      <c r="V32" s="485"/>
      <c r="W32" s="485"/>
      <c r="X32" s="485"/>
      <c r="Y32" s="485"/>
      <c r="Z32" s="485"/>
      <c r="AA32" s="485"/>
      <c r="AB32" s="485"/>
      <c r="AC32" s="485"/>
      <c r="AD32" s="488"/>
      <c r="AG32" s="87"/>
      <c r="AH32" s="87"/>
      <c r="AI32" s="87"/>
      <c r="AJ32" s="87"/>
      <c r="AK32" s="87"/>
      <c r="AL32" s="87"/>
      <c r="AM32" s="87"/>
      <c r="AN32" s="87"/>
      <c r="AO32" s="87"/>
    </row>
    <row r="33" spans="1:41" ht="27" customHeight="1" thickBot="1" x14ac:dyDescent="0.25">
      <c r="A33" s="484"/>
      <c r="B33" s="486"/>
      <c r="C33" s="639"/>
      <c r="D33" s="226" t="s">
        <v>30</v>
      </c>
      <c r="E33" s="226" t="s">
        <v>31</v>
      </c>
      <c r="F33" s="226" t="s">
        <v>32</v>
      </c>
      <c r="G33" s="226" t="s">
        <v>33</v>
      </c>
      <c r="H33" s="226" t="s">
        <v>34</v>
      </c>
      <c r="I33" s="226" t="s">
        <v>35</v>
      </c>
      <c r="J33" s="226" t="s">
        <v>36</v>
      </c>
      <c r="K33" s="226" t="s">
        <v>37</v>
      </c>
      <c r="L33" s="226" t="s">
        <v>38</v>
      </c>
      <c r="M33" s="226" t="s">
        <v>8</v>
      </c>
      <c r="N33" s="226" t="s">
        <v>39</v>
      </c>
      <c r="O33" s="226" t="s">
        <v>40</v>
      </c>
      <c r="P33" s="226" t="s">
        <v>41</v>
      </c>
      <c r="Q33" s="640" t="s">
        <v>63</v>
      </c>
      <c r="R33" s="640"/>
      <c r="S33" s="640"/>
      <c r="T33" s="640" t="s">
        <v>64</v>
      </c>
      <c r="U33" s="640"/>
      <c r="V33" s="640"/>
      <c r="W33" s="667" t="s">
        <v>65</v>
      </c>
      <c r="X33" s="566"/>
      <c r="Y33" s="566"/>
      <c r="Z33" s="668"/>
      <c r="AA33" s="667" t="s">
        <v>66</v>
      </c>
      <c r="AB33" s="566"/>
      <c r="AC33" s="566"/>
      <c r="AD33" s="567"/>
      <c r="AG33" s="87"/>
      <c r="AH33" s="87"/>
      <c r="AI33" s="87"/>
      <c r="AJ33" s="87"/>
      <c r="AK33" s="87"/>
      <c r="AL33" s="87"/>
      <c r="AM33" s="87"/>
      <c r="AN33" s="87"/>
      <c r="AO33" s="87"/>
    </row>
    <row r="34" spans="1:41" ht="131.25" customHeight="1" x14ac:dyDescent="0.2">
      <c r="A34" s="524" t="s">
        <v>102</v>
      </c>
      <c r="B34" s="670">
        <v>0.15</v>
      </c>
      <c r="C34" s="358" t="s">
        <v>67</v>
      </c>
      <c r="D34" s="356">
        <v>13</v>
      </c>
      <c r="E34" s="356">
        <v>13</v>
      </c>
      <c r="F34" s="356">
        <v>13</v>
      </c>
      <c r="G34" s="356">
        <v>13</v>
      </c>
      <c r="H34" s="356">
        <v>13</v>
      </c>
      <c r="I34" s="356">
        <v>13</v>
      </c>
      <c r="J34" s="356">
        <v>13</v>
      </c>
      <c r="K34" s="356">
        <v>13</v>
      </c>
      <c r="L34" s="356">
        <v>13</v>
      </c>
      <c r="M34" s="356">
        <v>13</v>
      </c>
      <c r="N34" s="359">
        <v>13</v>
      </c>
      <c r="O34" s="359">
        <v>13</v>
      </c>
      <c r="P34" s="359">
        <v>13</v>
      </c>
      <c r="Q34" s="672" t="s">
        <v>103</v>
      </c>
      <c r="R34" s="641"/>
      <c r="S34" s="641"/>
      <c r="T34" s="641" t="s">
        <v>104</v>
      </c>
      <c r="U34" s="641"/>
      <c r="V34" s="641"/>
      <c r="W34" s="641" t="s">
        <v>105</v>
      </c>
      <c r="X34" s="641"/>
      <c r="Y34" s="641"/>
      <c r="Z34" s="641"/>
      <c r="AA34" s="641" t="s">
        <v>106</v>
      </c>
      <c r="AB34" s="641"/>
      <c r="AC34" s="641"/>
      <c r="AD34" s="643"/>
      <c r="AG34" s="87"/>
      <c r="AH34" s="87"/>
      <c r="AI34" s="87"/>
      <c r="AJ34" s="87"/>
      <c r="AK34" s="87"/>
      <c r="AL34" s="87"/>
      <c r="AM34" s="87"/>
      <c r="AN34" s="87"/>
      <c r="AO34" s="87"/>
    </row>
    <row r="35" spans="1:41" ht="117.75" customHeight="1" thickBot="1" x14ac:dyDescent="0.25">
      <c r="A35" s="669"/>
      <c r="B35" s="671"/>
      <c r="C35" s="91" t="s">
        <v>72</v>
      </c>
      <c r="D35" s="360">
        <v>13</v>
      </c>
      <c r="E35" s="361">
        <v>13</v>
      </c>
      <c r="F35" s="361">
        <v>13</v>
      </c>
      <c r="G35" s="361">
        <v>13</v>
      </c>
      <c r="H35" s="361">
        <v>13</v>
      </c>
      <c r="I35" s="361">
        <v>12</v>
      </c>
      <c r="J35" s="361">
        <v>12</v>
      </c>
      <c r="K35" s="361">
        <v>13</v>
      </c>
      <c r="L35" s="361">
        <v>14</v>
      </c>
      <c r="M35" s="361">
        <v>12</v>
      </c>
      <c r="N35" s="362"/>
      <c r="O35" s="362"/>
      <c r="P35" s="363">
        <f>AVERAGE(D35:O35)</f>
        <v>12.8</v>
      </c>
      <c r="Q35" s="673"/>
      <c r="R35" s="642"/>
      <c r="S35" s="642"/>
      <c r="T35" s="642"/>
      <c r="U35" s="642"/>
      <c r="V35" s="642"/>
      <c r="W35" s="642"/>
      <c r="X35" s="642"/>
      <c r="Y35" s="642"/>
      <c r="Z35" s="642"/>
      <c r="AA35" s="642"/>
      <c r="AB35" s="642"/>
      <c r="AC35" s="642"/>
      <c r="AD35" s="644"/>
      <c r="AE35" s="49"/>
      <c r="AG35" s="87"/>
      <c r="AH35" s="87"/>
      <c r="AI35" s="87"/>
      <c r="AJ35" s="87"/>
      <c r="AK35" s="87"/>
      <c r="AL35" s="87"/>
      <c r="AM35" s="87"/>
      <c r="AN35" s="87"/>
      <c r="AO35" s="87"/>
    </row>
    <row r="36" spans="1:41" ht="26" customHeight="1" x14ac:dyDescent="0.2">
      <c r="A36" s="527" t="s">
        <v>73</v>
      </c>
      <c r="B36" s="485" t="s">
        <v>74</v>
      </c>
      <c r="C36" s="531" t="s">
        <v>75</v>
      </c>
      <c r="D36" s="485"/>
      <c r="E36" s="485"/>
      <c r="F36" s="485"/>
      <c r="G36" s="485"/>
      <c r="H36" s="485"/>
      <c r="I36" s="485"/>
      <c r="J36" s="485"/>
      <c r="K36" s="485"/>
      <c r="L36" s="485"/>
      <c r="M36" s="485"/>
      <c r="N36" s="485"/>
      <c r="O36" s="485"/>
      <c r="P36" s="485"/>
      <c r="Q36" s="598" t="s">
        <v>76</v>
      </c>
      <c r="R36" s="645"/>
      <c r="S36" s="645"/>
      <c r="T36" s="645"/>
      <c r="U36" s="645"/>
      <c r="V36" s="645"/>
      <c r="W36" s="645"/>
      <c r="X36" s="645"/>
      <c r="Y36" s="645"/>
      <c r="Z36" s="645"/>
      <c r="AA36" s="645"/>
      <c r="AB36" s="645"/>
      <c r="AC36" s="645"/>
      <c r="AD36" s="646"/>
      <c r="AG36" s="87"/>
      <c r="AH36" s="87"/>
      <c r="AI36" s="87"/>
      <c r="AJ36" s="87"/>
      <c r="AK36" s="87"/>
      <c r="AL36" s="87"/>
      <c r="AM36" s="87"/>
      <c r="AN36" s="87"/>
      <c r="AO36" s="87"/>
    </row>
    <row r="37" spans="1:41" ht="26" customHeight="1" thickBot="1" x14ac:dyDescent="0.25">
      <c r="A37" s="484"/>
      <c r="B37" s="486"/>
      <c r="C37" s="232" t="s">
        <v>77</v>
      </c>
      <c r="D37" s="226" t="s">
        <v>78</v>
      </c>
      <c r="E37" s="226" t="s">
        <v>79</v>
      </c>
      <c r="F37" s="226" t="s">
        <v>80</v>
      </c>
      <c r="G37" s="226" t="s">
        <v>81</v>
      </c>
      <c r="H37" s="226" t="s">
        <v>82</v>
      </c>
      <c r="I37" s="226" t="s">
        <v>83</v>
      </c>
      <c r="J37" s="226" t="s">
        <v>84</v>
      </c>
      <c r="K37" s="226" t="s">
        <v>85</v>
      </c>
      <c r="L37" s="226" t="s">
        <v>86</v>
      </c>
      <c r="M37" s="226" t="s">
        <v>87</v>
      </c>
      <c r="N37" s="226" t="s">
        <v>88</v>
      </c>
      <c r="O37" s="226" t="s">
        <v>89</v>
      </c>
      <c r="P37" s="226" t="s">
        <v>90</v>
      </c>
      <c r="Q37" s="547" t="s">
        <v>91</v>
      </c>
      <c r="R37" s="647"/>
      <c r="S37" s="647"/>
      <c r="T37" s="647"/>
      <c r="U37" s="647"/>
      <c r="V37" s="647"/>
      <c r="W37" s="647"/>
      <c r="X37" s="647"/>
      <c r="Y37" s="647"/>
      <c r="Z37" s="647"/>
      <c r="AA37" s="647"/>
      <c r="AB37" s="647"/>
      <c r="AC37" s="647"/>
      <c r="AD37" s="648"/>
      <c r="AG37" s="94"/>
      <c r="AH37" s="94"/>
      <c r="AI37" s="94"/>
      <c r="AJ37" s="94"/>
      <c r="AK37" s="94"/>
      <c r="AL37" s="94"/>
      <c r="AM37" s="94"/>
      <c r="AN37" s="94"/>
      <c r="AO37" s="94"/>
    </row>
    <row r="38" spans="1:41" ht="45" customHeight="1" x14ac:dyDescent="0.2">
      <c r="A38" s="663" t="s">
        <v>107</v>
      </c>
      <c r="B38" s="496">
        <v>0.05</v>
      </c>
      <c r="C38" s="365" t="s">
        <v>67</v>
      </c>
      <c r="D38" s="255">
        <v>0</v>
      </c>
      <c r="E38" s="256">
        <v>0.25</v>
      </c>
      <c r="F38" s="256">
        <v>0</v>
      </c>
      <c r="G38" s="256">
        <v>0</v>
      </c>
      <c r="H38" s="256">
        <v>0.25</v>
      </c>
      <c r="I38" s="256">
        <v>0</v>
      </c>
      <c r="J38" s="256">
        <v>0</v>
      </c>
      <c r="K38" s="256">
        <v>0.25</v>
      </c>
      <c r="L38" s="256">
        <v>0</v>
      </c>
      <c r="M38" s="366">
        <v>0</v>
      </c>
      <c r="N38" s="366">
        <v>0.25</v>
      </c>
      <c r="O38" s="366">
        <v>0</v>
      </c>
      <c r="P38" s="367">
        <f t="shared" ref="P38:P43" si="0">SUM(D38:O38)</f>
        <v>1</v>
      </c>
      <c r="Q38" s="664" t="s">
        <v>108</v>
      </c>
      <c r="R38" s="665"/>
      <c r="S38" s="665"/>
      <c r="T38" s="665"/>
      <c r="U38" s="665"/>
      <c r="V38" s="665"/>
      <c r="W38" s="665"/>
      <c r="X38" s="665"/>
      <c r="Y38" s="665"/>
      <c r="Z38" s="665"/>
      <c r="AA38" s="665"/>
      <c r="AB38" s="665"/>
      <c r="AC38" s="665"/>
      <c r="AD38" s="666"/>
      <c r="AE38" s="97"/>
      <c r="AG38" s="98"/>
      <c r="AH38" s="98"/>
      <c r="AI38" s="98"/>
      <c r="AJ38" s="98"/>
      <c r="AK38" s="98"/>
      <c r="AL38" s="98"/>
      <c r="AM38" s="98"/>
      <c r="AN38" s="98"/>
      <c r="AO38" s="98"/>
    </row>
    <row r="39" spans="1:41" ht="45" customHeight="1" x14ac:dyDescent="0.2">
      <c r="A39" s="650"/>
      <c r="B39" s="497"/>
      <c r="C39" s="189" t="s">
        <v>72</v>
      </c>
      <c r="D39" s="257">
        <v>0</v>
      </c>
      <c r="E39" s="258">
        <v>0.25</v>
      </c>
      <c r="F39" s="258">
        <v>0</v>
      </c>
      <c r="G39" s="258">
        <v>0</v>
      </c>
      <c r="H39" s="258">
        <v>0.23</v>
      </c>
      <c r="I39" s="258">
        <v>0.02</v>
      </c>
      <c r="J39" s="258">
        <v>0</v>
      </c>
      <c r="K39" s="258">
        <v>0.25</v>
      </c>
      <c r="L39" s="258">
        <v>0</v>
      </c>
      <c r="M39" s="353">
        <v>0.03</v>
      </c>
      <c r="N39" s="100"/>
      <c r="O39" s="100"/>
      <c r="P39" s="101">
        <f t="shared" si="0"/>
        <v>0.78</v>
      </c>
      <c r="Q39" s="654"/>
      <c r="R39" s="655"/>
      <c r="S39" s="655"/>
      <c r="T39" s="655"/>
      <c r="U39" s="655"/>
      <c r="V39" s="655"/>
      <c r="W39" s="655"/>
      <c r="X39" s="655"/>
      <c r="Y39" s="655"/>
      <c r="Z39" s="655"/>
      <c r="AA39" s="655"/>
      <c r="AB39" s="655"/>
      <c r="AC39" s="655"/>
      <c r="AD39" s="656"/>
      <c r="AE39" s="97"/>
    </row>
    <row r="40" spans="1:41" ht="68.25" customHeight="1" x14ac:dyDescent="0.2">
      <c r="A40" s="649" t="s">
        <v>109</v>
      </c>
      <c r="B40" s="475">
        <v>0.05</v>
      </c>
      <c r="C40" s="190" t="s">
        <v>67</v>
      </c>
      <c r="D40" s="259">
        <v>0</v>
      </c>
      <c r="E40" s="260">
        <v>0.17</v>
      </c>
      <c r="F40" s="260">
        <v>0</v>
      </c>
      <c r="G40" s="260">
        <v>0.16600000000000001</v>
      </c>
      <c r="H40" s="260">
        <v>0</v>
      </c>
      <c r="I40" s="260">
        <v>0.16600000000000001</v>
      </c>
      <c r="J40" s="260">
        <v>0</v>
      </c>
      <c r="K40" s="260">
        <v>0.16600000000000001</v>
      </c>
      <c r="L40" s="260">
        <v>0</v>
      </c>
      <c r="M40" s="103">
        <v>0.16600000000000001</v>
      </c>
      <c r="N40" s="103">
        <v>0</v>
      </c>
      <c r="O40" s="103">
        <v>0.16600000000000001</v>
      </c>
      <c r="P40" s="101">
        <f t="shared" si="0"/>
        <v>1</v>
      </c>
      <c r="Q40" s="651" t="s">
        <v>110</v>
      </c>
      <c r="R40" s="652"/>
      <c r="S40" s="652"/>
      <c r="T40" s="652"/>
      <c r="U40" s="652"/>
      <c r="V40" s="652"/>
      <c r="W40" s="652"/>
      <c r="X40" s="652"/>
      <c r="Y40" s="652"/>
      <c r="Z40" s="652"/>
      <c r="AA40" s="652"/>
      <c r="AB40" s="652"/>
      <c r="AC40" s="652"/>
      <c r="AD40" s="653"/>
      <c r="AE40" s="97"/>
    </row>
    <row r="41" spans="1:41" ht="67.5" customHeight="1" x14ac:dyDescent="0.2">
      <c r="A41" s="650"/>
      <c r="B41" s="497"/>
      <c r="C41" s="189" t="s">
        <v>72</v>
      </c>
      <c r="D41" s="257">
        <v>0</v>
      </c>
      <c r="E41" s="258">
        <v>0.17</v>
      </c>
      <c r="F41" s="261">
        <v>0.17</v>
      </c>
      <c r="G41" s="261">
        <v>0.16600000000000001</v>
      </c>
      <c r="H41" s="261">
        <v>0.1</v>
      </c>
      <c r="I41" s="261">
        <v>7.0000000000000007E-2</v>
      </c>
      <c r="J41" s="261">
        <v>0</v>
      </c>
      <c r="K41" s="261">
        <v>0.16600000000000001</v>
      </c>
      <c r="L41" s="261">
        <v>0.03</v>
      </c>
      <c r="M41" s="354">
        <v>0.05</v>
      </c>
      <c r="N41" s="104"/>
      <c r="O41" s="104"/>
      <c r="P41" s="101">
        <f t="shared" si="0"/>
        <v>0.92200000000000004</v>
      </c>
      <c r="Q41" s="654"/>
      <c r="R41" s="655"/>
      <c r="S41" s="655"/>
      <c r="T41" s="655"/>
      <c r="U41" s="655"/>
      <c r="V41" s="655"/>
      <c r="W41" s="655"/>
      <c r="X41" s="655"/>
      <c r="Y41" s="655"/>
      <c r="Z41" s="655"/>
      <c r="AA41" s="655"/>
      <c r="AB41" s="655"/>
      <c r="AC41" s="655"/>
      <c r="AD41" s="656"/>
      <c r="AE41" s="97"/>
    </row>
    <row r="42" spans="1:41" ht="57" customHeight="1" x14ac:dyDescent="0.2">
      <c r="A42" s="657" t="s">
        <v>111</v>
      </c>
      <c r="B42" s="659">
        <v>0.05</v>
      </c>
      <c r="C42" s="102" t="s">
        <v>67</v>
      </c>
      <c r="D42" s="259">
        <v>0</v>
      </c>
      <c r="E42" s="260">
        <v>0</v>
      </c>
      <c r="F42" s="260">
        <v>0.5</v>
      </c>
      <c r="G42" s="260">
        <v>0</v>
      </c>
      <c r="H42" s="260">
        <v>0</v>
      </c>
      <c r="I42" s="260">
        <v>0</v>
      </c>
      <c r="J42" s="260">
        <v>0</v>
      </c>
      <c r="K42" s="260">
        <v>0</v>
      </c>
      <c r="L42" s="260">
        <v>0.5</v>
      </c>
      <c r="M42" s="103">
        <v>0</v>
      </c>
      <c r="N42" s="103">
        <v>0</v>
      </c>
      <c r="O42" s="103">
        <v>0</v>
      </c>
      <c r="P42" s="101">
        <f t="shared" si="0"/>
        <v>1</v>
      </c>
      <c r="Q42" s="651" t="s">
        <v>112</v>
      </c>
      <c r="R42" s="652"/>
      <c r="S42" s="652"/>
      <c r="T42" s="652"/>
      <c r="U42" s="652"/>
      <c r="V42" s="652"/>
      <c r="W42" s="652"/>
      <c r="X42" s="652"/>
      <c r="Y42" s="652"/>
      <c r="Z42" s="652"/>
      <c r="AA42" s="652"/>
      <c r="AB42" s="652"/>
      <c r="AC42" s="652"/>
      <c r="AD42" s="653"/>
      <c r="AE42" s="97"/>
    </row>
    <row r="43" spans="1:41" ht="57" customHeight="1" thickBot="1" x14ac:dyDescent="0.25">
      <c r="A43" s="658"/>
      <c r="B43" s="476"/>
      <c r="C43" s="91" t="s">
        <v>72</v>
      </c>
      <c r="D43" s="262">
        <v>0</v>
      </c>
      <c r="E43" s="249">
        <v>0.1</v>
      </c>
      <c r="F43" s="249">
        <v>0.4</v>
      </c>
      <c r="G43" s="249">
        <v>0</v>
      </c>
      <c r="H43" s="249">
        <v>0.25</v>
      </c>
      <c r="I43" s="249">
        <v>0.02</v>
      </c>
      <c r="J43" s="249">
        <v>0</v>
      </c>
      <c r="K43" s="249">
        <v>0.03</v>
      </c>
      <c r="L43" s="249">
        <v>0.1</v>
      </c>
      <c r="M43" s="355">
        <v>0.05</v>
      </c>
      <c r="N43" s="106"/>
      <c r="O43" s="106"/>
      <c r="P43" s="107">
        <f t="shared" si="0"/>
        <v>0.95000000000000007</v>
      </c>
      <c r="Q43" s="660"/>
      <c r="R43" s="661"/>
      <c r="S43" s="661"/>
      <c r="T43" s="661"/>
      <c r="U43" s="661"/>
      <c r="V43" s="661"/>
      <c r="W43" s="661"/>
      <c r="X43" s="661"/>
      <c r="Y43" s="661"/>
      <c r="Z43" s="661"/>
      <c r="AA43" s="661"/>
      <c r="AB43" s="661"/>
      <c r="AC43" s="661"/>
      <c r="AD43" s="662"/>
      <c r="AE43" s="97"/>
    </row>
    <row r="44" spans="1:41" x14ac:dyDescent="0.2">
      <c r="A44" s="50" t="s">
        <v>96</v>
      </c>
    </row>
  </sheetData>
  <mergeCells count="80">
    <mergeCell ref="AF22:AM25"/>
    <mergeCell ref="A40:A41"/>
    <mergeCell ref="B40:B41"/>
    <mergeCell ref="Q40:AD41"/>
    <mergeCell ref="A42:A43"/>
    <mergeCell ref="B42:B43"/>
    <mergeCell ref="Q42:AD43"/>
    <mergeCell ref="A38:A39"/>
    <mergeCell ref="B38:B39"/>
    <mergeCell ref="Q38:AD39"/>
    <mergeCell ref="W33:Z33"/>
    <mergeCell ref="AA33:AD33"/>
    <mergeCell ref="A34:A35"/>
    <mergeCell ref="B34:B35"/>
    <mergeCell ref="Q34:S35"/>
    <mergeCell ref="T34:V35"/>
    <mergeCell ref="W34:Z35"/>
    <mergeCell ref="AA34:AD35"/>
    <mergeCell ref="A36:A37"/>
    <mergeCell ref="B36:B37"/>
    <mergeCell ref="C36:P36"/>
    <mergeCell ref="Q36:AD36"/>
    <mergeCell ref="Q37:AD37"/>
    <mergeCell ref="B30:C30"/>
    <mergeCell ref="Q30:AD30"/>
    <mergeCell ref="A31:AD31"/>
    <mergeCell ref="A32:A33"/>
    <mergeCell ref="B32:B33"/>
    <mergeCell ref="C32:C33"/>
    <mergeCell ref="D32:P32"/>
    <mergeCell ref="Q32:AD32"/>
    <mergeCell ref="Q33:S33"/>
    <mergeCell ref="T33:V33"/>
    <mergeCell ref="A28:A29"/>
    <mergeCell ref="B28:C29"/>
    <mergeCell ref="D28:O28"/>
    <mergeCell ref="P28:P29"/>
    <mergeCell ref="Q28:AD29"/>
    <mergeCell ref="Q20:AD20"/>
    <mergeCell ref="A22:B22"/>
    <mergeCell ref="A23:B23"/>
    <mergeCell ref="A25:B25"/>
    <mergeCell ref="A27:AD27"/>
    <mergeCell ref="A24:B24"/>
    <mergeCell ref="R17:V17"/>
    <mergeCell ref="W17:X17"/>
    <mergeCell ref="Y17:AB17"/>
    <mergeCell ref="AC17:AD17"/>
    <mergeCell ref="A15:B15"/>
    <mergeCell ref="C15:K15"/>
    <mergeCell ref="L15:Q15"/>
    <mergeCell ref="R15:X15"/>
    <mergeCell ref="Y15:Z15"/>
    <mergeCell ref="A19:AD19"/>
    <mergeCell ref="C20:P20"/>
    <mergeCell ref="A11:B13"/>
    <mergeCell ref="C11:AD13"/>
    <mergeCell ref="A7:B9"/>
    <mergeCell ref="C7:C9"/>
    <mergeCell ref="D7:H9"/>
    <mergeCell ref="O7:P7"/>
    <mergeCell ref="M8:N8"/>
    <mergeCell ref="O8:P8"/>
    <mergeCell ref="M9:N9"/>
    <mergeCell ref="O9:P9"/>
    <mergeCell ref="AA15:AD15"/>
    <mergeCell ref="C16:AB16"/>
    <mergeCell ref="A17:B17"/>
    <mergeCell ref="C17:Q17"/>
    <mergeCell ref="AB4:AD4"/>
    <mergeCell ref="I7:J9"/>
    <mergeCell ref="K7:L9"/>
    <mergeCell ref="M7:N7"/>
    <mergeCell ref="A1:A4"/>
    <mergeCell ref="B1:AA1"/>
    <mergeCell ref="AB1:AD1"/>
    <mergeCell ref="B2:AA2"/>
    <mergeCell ref="AB2:AD2"/>
    <mergeCell ref="B3:AA4"/>
    <mergeCell ref="AB3:AD3"/>
  </mergeCells>
  <dataValidations count="3">
    <dataValidation type="list" allowBlank="1" showInputMessage="1" showErrorMessage="1" sqref="C7:C9" xr:uid="{F5D43805-BC68-41E1-9554-8074F180838B}"/>
    <dataValidation type="textLength" operator="lessThanOrEqual" allowBlank="1" showInputMessage="1" showErrorMessage="1" errorTitle="Máximo 2.000 caracteres" error="Máximo 2.000 caracteres" promptTitle="2.000 caracteres" sqref="Q30:AD30" xr:uid="{00000000-0002-0000-0100-000001000000}">
      <formula1>2000</formula1>
    </dataValidation>
    <dataValidation type="textLength" operator="lessThanOrEqual" allowBlank="1" showInputMessage="1" showErrorMessage="1" errorTitle="Máximo 2.000 caracteres" error="Máximo 2.000 caracteres" sqref="AA34 Q34 W34 Q38:AD43" xr:uid="{00000000-0002-0000-0100-000002000000}">
      <formula1>2000</formula1>
    </dataValidation>
  </dataValidations>
  <pageMargins left="0.25" right="0.25" top="0.75" bottom="0.75" header="0.3" footer="0.3"/>
  <pageSetup scale="19" orientation="landscape"/>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AO98"/>
  <sheetViews>
    <sheetView showGridLines="0" view="pageBreakPreview" topLeftCell="D31" zoomScale="60" zoomScaleNormal="60" workbookViewId="0">
      <selection activeCell="N39" sqref="N39"/>
    </sheetView>
  </sheetViews>
  <sheetFormatPr baseColWidth="10" defaultColWidth="10.83203125" defaultRowHeight="15" x14ac:dyDescent="0.2"/>
  <cols>
    <col min="1" max="1" width="38.5" style="50" customWidth="1"/>
    <col min="2" max="2" width="15.5" style="50" customWidth="1"/>
    <col min="3" max="14" width="20.6640625" style="50" customWidth="1"/>
    <col min="15" max="15" width="21.5" style="50" customWidth="1"/>
    <col min="16" max="16" width="18.1640625" style="50" customWidth="1"/>
    <col min="17" max="17" width="20.33203125" style="50" customWidth="1"/>
    <col min="18" max="18" width="18.1640625" style="50" customWidth="1"/>
    <col min="19" max="19" width="24.5" style="50" customWidth="1"/>
    <col min="20" max="27" width="18.1640625" style="50" customWidth="1"/>
    <col min="28" max="28" width="22.6640625" style="50" customWidth="1"/>
    <col min="29" max="29" width="19" style="50" customWidth="1"/>
    <col min="30" max="30" width="19.5" style="50" customWidth="1"/>
    <col min="31" max="31" width="6.33203125" style="50" bestFit="1" customWidth="1"/>
    <col min="32" max="32" width="22.83203125" style="50" customWidth="1"/>
    <col min="33" max="33" width="18.5" style="50" bestFit="1" customWidth="1"/>
    <col min="34" max="34" width="8.5" style="50" customWidth="1"/>
    <col min="35" max="35" width="18.5" style="50" bestFit="1" customWidth="1"/>
    <col min="36" max="36" width="5.6640625" style="50" customWidth="1"/>
    <col min="37" max="37" width="18.5" style="50" bestFit="1" customWidth="1"/>
    <col min="38" max="38" width="4.6640625" style="50" customWidth="1"/>
    <col min="39" max="39" width="23" style="50" bestFit="1" customWidth="1"/>
    <col min="40" max="40" width="10.83203125" style="50"/>
    <col min="41" max="41" width="18.5" style="50" bestFit="1" customWidth="1"/>
    <col min="42" max="42" width="16.1640625" style="50" customWidth="1"/>
    <col min="43" max="16384" width="10.83203125" style="50"/>
  </cols>
  <sheetData>
    <row r="1" spans="1:30" ht="32.25" customHeight="1" thickBot="1" x14ac:dyDescent="0.25">
      <c r="A1" s="594"/>
      <c r="B1" s="574" t="s">
        <v>0</v>
      </c>
      <c r="C1" s="575"/>
      <c r="D1" s="575"/>
      <c r="E1" s="575"/>
      <c r="F1" s="575"/>
      <c r="G1" s="575"/>
      <c r="H1" s="575"/>
      <c r="I1" s="575"/>
      <c r="J1" s="575"/>
      <c r="K1" s="575"/>
      <c r="L1" s="575"/>
      <c r="M1" s="575"/>
      <c r="N1" s="575"/>
      <c r="O1" s="575"/>
      <c r="P1" s="575"/>
      <c r="Q1" s="575"/>
      <c r="R1" s="575"/>
      <c r="S1" s="575"/>
      <c r="T1" s="575"/>
      <c r="U1" s="575"/>
      <c r="V1" s="575"/>
      <c r="W1" s="575"/>
      <c r="X1" s="575"/>
      <c r="Y1" s="575"/>
      <c r="Z1" s="575"/>
      <c r="AA1" s="576"/>
      <c r="AB1" s="571" t="s">
        <v>1</v>
      </c>
      <c r="AC1" s="572"/>
      <c r="AD1" s="573"/>
    </row>
    <row r="2" spans="1:30" ht="30.75" customHeight="1" thickBot="1" x14ac:dyDescent="0.25">
      <c r="A2" s="595"/>
      <c r="B2" s="574" t="s">
        <v>2</v>
      </c>
      <c r="C2" s="575"/>
      <c r="D2" s="575"/>
      <c r="E2" s="575"/>
      <c r="F2" s="575"/>
      <c r="G2" s="575"/>
      <c r="H2" s="575"/>
      <c r="I2" s="575"/>
      <c r="J2" s="575"/>
      <c r="K2" s="575"/>
      <c r="L2" s="575"/>
      <c r="M2" s="575"/>
      <c r="N2" s="575"/>
      <c r="O2" s="575"/>
      <c r="P2" s="575"/>
      <c r="Q2" s="575"/>
      <c r="R2" s="575"/>
      <c r="S2" s="575"/>
      <c r="T2" s="575"/>
      <c r="U2" s="575"/>
      <c r="V2" s="575"/>
      <c r="W2" s="575"/>
      <c r="X2" s="575"/>
      <c r="Y2" s="575"/>
      <c r="Z2" s="575"/>
      <c r="AA2" s="576"/>
      <c r="AB2" s="577" t="s">
        <v>3</v>
      </c>
      <c r="AC2" s="578"/>
      <c r="AD2" s="579"/>
    </row>
    <row r="3" spans="1:30" ht="24" customHeight="1" x14ac:dyDescent="0.2">
      <c r="A3" s="595"/>
      <c r="B3" s="580" t="s">
        <v>4</v>
      </c>
      <c r="C3" s="581"/>
      <c r="D3" s="581"/>
      <c r="E3" s="581"/>
      <c r="F3" s="581"/>
      <c r="G3" s="581"/>
      <c r="H3" s="581"/>
      <c r="I3" s="581"/>
      <c r="J3" s="581"/>
      <c r="K3" s="581"/>
      <c r="L3" s="581"/>
      <c r="M3" s="581"/>
      <c r="N3" s="581"/>
      <c r="O3" s="581"/>
      <c r="P3" s="581"/>
      <c r="Q3" s="581"/>
      <c r="R3" s="581"/>
      <c r="S3" s="581"/>
      <c r="T3" s="581"/>
      <c r="U3" s="581"/>
      <c r="V3" s="581"/>
      <c r="W3" s="581"/>
      <c r="X3" s="581"/>
      <c r="Y3" s="581"/>
      <c r="Z3" s="581"/>
      <c r="AA3" s="582"/>
      <c r="AB3" s="577" t="s">
        <v>5</v>
      </c>
      <c r="AC3" s="578"/>
      <c r="AD3" s="579"/>
    </row>
    <row r="4" spans="1:30" ht="22" customHeight="1" thickBot="1" x14ac:dyDescent="0.25">
      <c r="A4" s="596"/>
      <c r="B4" s="505"/>
      <c r="C4" s="507"/>
      <c r="D4" s="507"/>
      <c r="E4" s="507"/>
      <c r="F4" s="507"/>
      <c r="G4" s="507"/>
      <c r="H4" s="507"/>
      <c r="I4" s="507"/>
      <c r="J4" s="507"/>
      <c r="K4" s="507"/>
      <c r="L4" s="507"/>
      <c r="M4" s="507"/>
      <c r="N4" s="507"/>
      <c r="O4" s="507"/>
      <c r="P4" s="507"/>
      <c r="Q4" s="507"/>
      <c r="R4" s="507"/>
      <c r="S4" s="507"/>
      <c r="T4" s="507"/>
      <c r="U4" s="507"/>
      <c r="V4" s="507"/>
      <c r="W4" s="507"/>
      <c r="X4" s="507"/>
      <c r="Y4" s="507"/>
      <c r="Z4" s="507"/>
      <c r="AA4" s="583"/>
      <c r="AB4" s="584" t="s">
        <v>6</v>
      </c>
      <c r="AC4" s="585"/>
      <c r="AD4" s="586"/>
    </row>
    <row r="5" spans="1:30" ht="9" customHeight="1" thickBot="1" x14ac:dyDescent="0.25">
      <c r="A5" s="51"/>
      <c r="B5" s="180"/>
      <c r="C5" s="181"/>
      <c r="D5" s="54"/>
      <c r="E5" s="54"/>
      <c r="F5" s="54"/>
      <c r="G5" s="54"/>
      <c r="H5" s="54"/>
      <c r="I5" s="54"/>
      <c r="J5" s="54"/>
      <c r="K5" s="54"/>
      <c r="L5" s="54"/>
      <c r="M5" s="54"/>
      <c r="N5" s="54"/>
      <c r="O5" s="54"/>
      <c r="P5" s="54"/>
      <c r="Q5" s="54"/>
      <c r="R5" s="54"/>
      <c r="S5" s="54"/>
      <c r="T5" s="54"/>
      <c r="U5" s="54"/>
      <c r="V5" s="54"/>
      <c r="W5" s="54"/>
      <c r="X5" s="54"/>
      <c r="Y5" s="54"/>
      <c r="Z5" s="55"/>
      <c r="AA5" s="54"/>
      <c r="AB5" s="56"/>
      <c r="AC5" s="57"/>
      <c r="AD5" s="58"/>
    </row>
    <row r="6" spans="1:30" ht="9" customHeight="1" x14ac:dyDescent="0.2">
      <c r="A6" s="59"/>
      <c r="B6" s="54"/>
      <c r="C6" s="54"/>
      <c r="D6" s="54"/>
      <c r="E6" s="54"/>
      <c r="F6" s="54"/>
      <c r="G6" s="54"/>
      <c r="H6" s="54"/>
      <c r="I6" s="54"/>
      <c r="J6" s="54"/>
      <c r="K6" s="54"/>
      <c r="L6" s="54"/>
      <c r="M6" s="54"/>
      <c r="N6" s="54"/>
      <c r="O6" s="54"/>
      <c r="P6" s="54"/>
      <c r="Q6" s="54"/>
      <c r="R6" s="54"/>
      <c r="S6" s="54"/>
      <c r="T6" s="54"/>
      <c r="U6" s="54"/>
      <c r="V6" s="54"/>
      <c r="W6" s="54"/>
      <c r="X6" s="54"/>
      <c r="Y6" s="54"/>
      <c r="Z6" s="55"/>
      <c r="AA6" s="54"/>
      <c r="AB6" s="54"/>
      <c r="AC6" s="60"/>
      <c r="AD6" s="61"/>
    </row>
    <row r="7" spans="1:30" ht="15" customHeight="1" x14ac:dyDescent="0.2">
      <c r="A7" s="601" t="s">
        <v>7</v>
      </c>
      <c r="B7" s="602"/>
      <c r="C7" s="607" t="s">
        <v>8</v>
      </c>
      <c r="D7" s="601" t="s">
        <v>9</v>
      </c>
      <c r="E7" s="619"/>
      <c r="F7" s="619"/>
      <c r="G7" s="619"/>
      <c r="H7" s="602"/>
      <c r="I7" s="622">
        <v>45233</v>
      </c>
      <c r="J7" s="623"/>
      <c r="K7" s="601" t="s">
        <v>10</v>
      </c>
      <c r="L7" s="602"/>
      <c r="M7" s="589" t="s">
        <v>11</v>
      </c>
      <c r="N7" s="590"/>
      <c r="O7" s="628"/>
      <c r="P7" s="629"/>
      <c r="Q7" s="54"/>
      <c r="R7" s="54"/>
      <c r="S7" s="54"/>
      <c r="T7" s="54"/>
      <c r="U7" s="54"/>
      <c r="V7" s="54"/>
      <c r="W7" s="54"/>
      <c r="X7" s="54"/>
      <c r="Y7" s="54"/>
      <c r="Z7" s="55"/>
      <c r="AA7" s="54"/>
      <c r="AB7" s="54"/>
      <c r="AC7" s="60"/>
      <c r="AD7" s="61"/>
    </row>
    <row r="8" spans="1:30" ht="15" customHeight="1" x14ac:dyDescent="0.2">
      <c r="A8" s="603"/>
      <c r="B8" s="604"/>
      <c r="C8" s="608"/>
      <c r="D8" s="603"/>
      <c r="E8" s="620"/>
      <c r="F8" s="620"/>
      <c r="G8" s="620"/>
      <c r="H8" s="604"/>
      <c r="I8" s="624"/>
      <c r="J8" s="625"/>
      <c r="K8" s="603"/>
      <c r="L8" s="604"/>
      <c r="M8" s="630" t="s">
        <v>12</v>
      </c>
      <c r="N8" s="631"/>
      <c r="O8" s="632"/>
      <c r="P8" s="633"/>
      <c r="Q8" s="54"/>
      <c r="R8" s="54"/>
      <c r="S8" s="54"/>
      <c r="T8" s="54"/>
      <c r="U8" s="54"/>
      <c r="V8" s="54"/>
      <c r="W8" s="54"/>
      <c r="X8" s="54"/>
      <c r="Y8" s="54"/>
      <c r="Z8" s="55"/>
      <c r="AA8" s="54"/>
      <c r="AB8" s="54"/>
      <c r="AC8" s="60"/>
      <c r="AD8" s="61"/>
    </row>
    <row r="9" spans="1:30" ht="15.75" customHeight="1" x14ac:dyDescent="0.2">
      <c r="A9" s="605"/>
      <c r="B9" s="606"/>
      <c r="C9" s="609"/>
      <c r="D9" s="605"/>
      <c r="E9" s="621"/>
      <c r="F9" s="621"/>
      <c r="G9" s="621"/>
      <c r="H9" s="606"/>
      <c r="I9" s="626"/>
      <c r="J9" s="627"/>
      <c r="K9" s="605"/>
      <c r="L9" s="606"/>
      <c r="M9" s="634" t="s">
        <v>13</v>
      </c>
      <c r="N9" s="635"/>
      <c r="O9" s="587" t="s">
        <v>14</v>
      </c>
      <c r="P9" s="588"/>
      <c r="Q9" s="54"/>
      <c r="R9" s="54"/>
      <c r="S9" s="54"/>
      <c r="T9" s="54"/>
      <c r="U9" s="54"/>
      <c r="V9" s="54"/>
      <c r="W9" s="54"/>
      <c r="X9" s="54"/>
      <c r="Y9" s="54"/>
      <c r="Z9" s="55"/>
      <c r="AA9" s="54"/>
      <c r="AB9" s="54"/>
      <c r="AC9" s="60"/>
      <c r="AD9" s="61"/>
    </row>
    <row r="10" spans="1:30" ht="15" customHeight="1" x14ac:dyDescent="0.2">
      <c r="A10" s="157"/>
      <c r="B10" s="158"/>
      <c r="C10" s="158"/>
      <c r="D10" s="65"/>
      <c r="E10" s="65"/>
      <c r="F10" s="65"/>
      <c r="G10" s="65"/>
      <c r="H10" s="65"/>
      <c r="I10" s="154"/>
      <c r="J10" s="154"/>
      <c r="K10" s="65"/>
      <c r="L10" s="65"/>
      <c r="M10" s="155"/>
      <c r="N10" s="155"/>
      <c r="O10" s="156"/>
      <c r="P10" s="156"/>
      <c r="Q10" s="158"/>
      <c r="R10" s="158"/>
      <c r="S10" s="158"/>
      <c r="T10" s="158"/>
      <c r="U10" s="158"/>
      <c r="V10" s="158"/>
      <c r="W10" s="158"/>
      <c r="X10" s="158"/>
      <c r="Y10" s="158"/>
      <c r="Z10" s="159"/>
      <c r="AA10" s="158"/>
      <c r="AB10" s="158"/>
      <c r="AC10" s="160"/>
      <c r="AD10" s="161"/>
    </row>
    <row r="11" spans="1:30" ht="15" customHeight="1" x14ac:dyDescent="0.2">
      <c r="A11" s="601" t="s">
        <v>15</v>
      </c>
      <c r="B11" s="602"/>
      <c r="C11" s="610" t="s">
        <v>16</v>
      </c>
      <c r="D11" s="611"/>
      <c r="E11" s="611"/>
      <c r="F11" s="611"/>
      <c r="G11" s="611"/>
      <c r="H11" s="611"/>
      <c r="I11" s="611"/>
      <c r="J11" s="611"/>
      <c r="K11" s="611"/>
      <c r="L11" s="611"/>
      <c r="M11" s="611"/>
      <c r="N11" s="611"/>
      <c r="O11" s="611"/>
      <c r="P11" s="611"/>
      <c r="Q11" s="611"/>
      <c r="R11" s="611"/>
      <c r="S11" s="611"/>
      <c r="T11" s="611"/>
      <c r="U11" s="611"/>
      <c r="V11" s="611"/>
      <c r="W11" s="611"/>
      <c r="X11" s="611"/>
      <c r="Y11" s="611"/>
      <c r="Z11" s="611"/>
      <c r="AA11" s="611"/>
      <c r="AB11" s="611"/>
      <c r="AC11" s="611"/>
      <c r="AD11" s="612"/>
    </row>
    <row r="12" spans="1:30" ht="15" customHeight="1" x14ac:dyDescent="0.2">
      <c r="A12" s="603"/>
      <c r="B12" s="604"/>
      <c r="C12" s="613"/>
      <c r="D12" s="614"/>
      <c r="E12" s="614"/>
      <c r="F12" s="614"/>
      <c r="G12" s="614"/>
      <c r="H12" s="614"/>
      <c r="I12" s="614"/>
      <c r="J12" s="614"/>
      <c r="K12" s="614"/>
      <c r="L12" s="614"/>
      <c r="M12" s="614"/>
      <c r="N12" s="614"/>
      <c r="O12" s="614"/>
      <c r="P12" s="614"/>
      <c r="Q12" s="614"/>
      <c r="R12" s="614"/>
      <c r="S12" s="614"/>
      <c r="T12" s="614"/>
      <c r="U12" s="614"/>
      <c r="V12" s="614"/>
      <c r="W12" s="614"/>
      <c r="X12" s="614"/>
      <c r="Y12" s="614"/>
      <c r="Z12" s="614"/>
      <c r="AA12" s="614"/>
      <c r="AB12" s="614"/>
      <c r="AC12" s="614"/>
      <c r="AD12" s="615"/>
    </row>
    <row r="13" spans="1:30" ht="15" customHeight="1" thickBot="1" x14ac:dyDescent="0.25">
      <c r="A13" s="605"/>
      <c r="B13" s="606"/>
      <c r="C13" s="616"/>
      <c r="D13" s="617"/>
      <c r="E13" s="617"/>
      <c r="F13" s="617"/>
      <c r="G13" s="617"/>
      <c r="H13" s="617"/>
      <c r="I13" s="617"/>
      <c r="J13" s="617"/>
      <c r="K13" s="617"/>
      <c r="L13" s="617"/>
      <c r="M13" s="617"/>
      <c r="N13" s="617"/>
      <c r="O13" s="617"/>
      <c r="P13" s="617"/>
      <c r="Q13" s="617"/>
      <c r="R13" s="617"/>
      <c r="S13" s="617"/>
      <c r="T13" s="617"/>
      <c r="U13" s="617"/>
      <c r="V13" s="617"/>
      <c r="W13" s="617"/>
      <c r="X13" s="617"/>
      <c r="Y13" s="617"/>
      <c r="Z13" s="617"/>
      <c r="AA13" s="617"/>
      <c r="AB13" s="617"/>
      <c r="AC13" s="617"/>
      <c r="AD13" s="618"/>
    </row>
    <row r="14" spans="1:30" ht="9" customHeight="1" thickBot="1" x14ac:dyDescent="0.25">
      <c r="A14" s="67"/>
      <c r="B14" s="68"/>
      <c r="C14" s="69"/>
      <c r="D14" s="69"/>
      <c r="E14" s="69"/>
      <c r="F14" s="69"/>
      <c r="G14" s="69"/>
      <c r="H14" s="69"/>
      <c r="I14" s="69"/>
      <c r="J14" s="69"/>
      <c r="K14" s="69"/>
      <c r="L14" s="69"/>
      <c r="M14" s="70"/>
      <c r="N14" s="70"/>
      <c r="O14" s="70"/>
      <c r="P14" s="70"/>
      <c r="Q14" s="70"/>
      <c r="R14" s="71"/>
      <c r="S14" s="71"/>
      <c r="T14" s="71"/>
      <c r="U14" s="71"/>
      <c r="V14" s="71"/>
      <c r="W14" s="71"/>
      <c r="X14" s="71"/>
      <c r="Y14" s="65"/>
      <c r="Z14" s="65"/>
      <c r="AA14" s="65"/>
      <c r="AB14" s="65"/>
      <c r="AC14" s="65"/>
      <c r="AD14" s="66"/>
    </row>
    <row r="15" spans="1:30" ht="39" customHeight="1" thickBot="1" x14ac:dyDescent="0.25">
      <c r="A15" s="552" t="s">
        <v>17</v>
      </c>
      <c r="B15" s="553"/>
      <c r="C15" s="591" t="s">
        <v>18</v>
      </c>
      <c r="D15" s="592"/>
      <c r="E15" s="592"/>
      <c r="F15" s="592"/>
      <c r="G15" s="592"/>
      <c r="H15" s="592"/>
      <c r="I15" s="592"/>
      <c r="J15" s="592"/>
      <c r="K15" s="593"/>
      <c r="L15" s="560" t="s">
        <v>19</v>
      </c>
      <c r="M15" s="564"/>
      <c r="N15" s="564"/>
      <c r="O15" s="564"/>
      <c r="P15" s="564"/>
      <c r="Q15" s="561"/>
      <c r="R15" s="557" t="s">
        <v>20</v>
      </c>
      <c r="S15" s="558"/>
      <c r="T15" s="558"/>
      <c r="U15" s="558"/>
      <c r="V15" s="558"/>
      <c r="W15" s="558"/>
      <c r="X15" s="559"/>
      <c r="Y15" s="560" t="s">
        <v>21</v>
      </c>
      <c r="Z15" s="561"/>
      <c r="AA15" s="548" t="s">
        <v>22</v>
      </c>
      <c r="AB15" s="549"/>
      <c r="AC15" s="549"/>
      <c r="AD15" s="550"/>
    </row>
    <row r="16" spans="1:30" ht="9" customHeight="1" thickBot="1" x14ac:dyDescent="0.25">
      <c r="A16" s="59"/>
      <c r="B16" s="54"/>
      <c r="C16" s="551"/>
      <c r="D16" s="551"/>
      <c r="E16" s="551"/>
      <c r="F16" s="551"/>
      <c r="G16" s="551"/>
      <c r="H16" s="551"/>
      <c r="I16" s="551"/>
      <c r="J16" s="551"/>
      <c r="K16" s="551"/>
      <c r="L16" s="551"/>
      <c r="M16" s="551"/>
      <c r="N16" s="551"/>
      <c r="O16" s="551"/>
      <c r="P16" s="551"/>
      <c r="Q16" s="551"/>
      <c r="R16" s="551"/>
      <c r="S16" s="551"/>
      <c r="T16" s="551"/>
      <c r="U16" s="551"/>
      <c r="V16" s="551"/>
      <c r="W16" s="551"/>
      <c r="X16" s="551"/>
      <c r="Y16" s="551"/>
      <c r="Z16" s="551"/>
      <c r="AA16" s="551"/>
      <c r="AB16" s="551"/>
      <c r="AC16" s="73"/>
      <c r="AD16" s="74"/>
    </row>
    <row r="17" spans="1:41" s="76" customFormat="1" ht="37.5" customHeight="1" thickBot="1" x14ac:dyDescent="0.25">
      <c r="A17" s="552" t="s">
        <v>23</v>
      </c>
      <c r="B17" s="553"/>
      <c r="C17" s="554" t="s">
        <v>113</v>
      </c>
      <c r="D17" s="555"/>
      <c r="E17" s="555"/>
      <c r="F17" s="555"/>
      <c r="G17" s="555"/>
      <c r="H17" s="555"/>
      <c r="I17" s="555"/>
      <c r="J17" s="555"/>
      <c r="K17" s="555"/>
      <c r="L17" s="555"/>
      <c r="M17" s="555"/>
      <c r="N17" s="555"/>
      <c r="O17" s="555"/>
      <c r="P17" s="555"/>
      <c r="Q17" s="556"/>
      <c r="R17" s="560" t="s">
        <v>25</v>
      </c>
      <c r="S17" s="564"/>
      <c r="T17" s="564"/>
      <c r="U17" s="564"/>
      <c r="V17" s="561"/>
      <c r="W17" s="680">
        <v>0.25</v>
      </c>
      <c r="X17" s="681"/>
      <c r="Y17" s="564" t="s">
        <v>26</v>
      </c>
      <c r="Z17" s="564"/>
      <c r="AA17" s="564"/>
      <c r="AB17" s="561"/>
      <c r="AC17" s="599">
        <v>0.15</v>
      </c>
      <c r="AD17" s="600"/>
    </row>
    <row r="18" spans="1:41" ht="16.5" customHeight="1" thickBot="1" x14ac:dyDescent="0.25">
      <c r="A18" s="77"/>
      <c r="B18" s="78"/>
      <c r="C18" s="78"/>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9"/>
    </row>
    <row r="19" spans="1:41" ht="32" customHeight="1" thickBot="1" x14ac:dyDescent="0.25">
      <c r="A19" s="560" t="s">
        <v>27</v>
      </c>
      <c r="B19" s="564"/>
      <c r="C19" s="564"/>
      <c r="D19" s="564"/>
      <c r="E19" s="564"/>
      <c r="F19" s="564"/>
      <c r="G19" s="564"/>
      <c r="H19" s="564"/>
      <c r="I19" s="564"/>
      <c r="J19" s="564"/>
      <c r="K19" s="564"/>
      <c r="L19" s="564"/>
      <c r="M19" s="564"/>
      <c r="N19" s="564"/>
      <c r="O19" s="564"/>
      <c r="P19" s="564"/>
      <c r="Q19" s="564"/>
      <c r="R19" s="564"/>
      <c r="S19" s="564"/>
      <c r="T19" s="564"/>
      <c r="U19" s="564"/>
      <c r="V19" s="564"/>
      <c r="W19" s="564"/>
      <c r="X19" s="564"/>
      <c r="Y19" s="564"/>
      <c r="Z19" s="564"/>
      <c r="AA19" s="564"/>
      <c r="AB19" s="564"/>
      <c r="AC19" s="564"/>
      <c r="AD19" s="561"/>
      <c r="AE19" s="83"/>
      <c r="AF19" s="83"/>
    </row>
    <row r="20" spans="1:41" ht="32" customHeight="1" thickBot="1" x14ac:dyDescent="0.25">
      <c r="A20" s="82"/>
      <c r="B20" s="60"/>
      <c r="C20" s="568" t="s">
        <v>28</v>
      </c>
      <c r="D20" s="569"/>
      <c r="E20" s="569"/>
      <c r="F20" s="569"/>
      <c r="G20" s="569"/>
      <c r="H20" s="569"/>
      <c r="I20" s="569"/>
      <c r="J20" s="569"/>
      <c r="K20" s="569"/>
      <c r="L20" s="569"/>
      <c r="M20" s="569"/>
      <c r="N20" s="569"/>
      <c r="O20" s="569"/>
      <c r="P20" s="570"/>
      <c r="Q20" s="565" t="s">
        <v>29</v>
      </c>
      <c r="R20" s="566"/>
      <c r="S20" s="566"/>
      <c r="T20" s="566"/>
      <c r="U20" s="566"/>
      <c r="V20" s="566"/>
      <c r="W20" s="566"/>
      <c r="X20" s="566"/>
      <c r="Y20" s="566"/>
      <c r="Z20" s="566"/>
      <c r="AA20" s="566"/>
      <c r="AB20" s="566"/>
      <c r="AC20" s="566"/>
      <c r="AD20" s="567"/>
      <c r="AE20" s="83"/>
      <c r="AF20" s="83"/>
    </row>
    <row r="21" spans="1:41" ht="32" customHeight="1" x14ac:dyDescent="0.2">
      <c r="A21" s="59"/>
      <c r="B21" s="54"/>
      <c r="C21" s="146" t="s">
        <v>30</v>
      </c>
      <c r="D21" s="147" t="s">
        <v>31</v>
      </c>
      <c r="E21" s="147" t="s">
        <v>32</v>
      </c>
      <c r="F21" s="147" t="s">
        <v>33</v>
      </c>
      <c r="G21" s="147" t="s">
        <v>34</v>
      </c>
      <c r="H21" s="147" t="s">
        <v>35</v>
      </c>
      <c r="I21" s="147" t="s">
        <v>36</v>
      </c>
      <c r="J21" s="147" t="s">
        <v>37</v>
      </c>
      <c r="K21" s="147" t="s">
        <v>38</v>
      </c>
      <c r="L21" s="147" t="s">
        <v>8</v>
      </c>
      <c r="M21" s="147" t="s">
        <v>39</v>
      </c>
      <c r="N21" s="147" t="s">
        <v>40</v>
      </c>
      <c r="O21" s="147" t="s">
        <v>41</v>
      </c>
      <c r="P21" s="148" t="s">
        <v>42</v>
      </c>
      <c r="Q21" s="146" t="s">
        <v>30</v>
      </c>
      <c r="R21" s="147" t="s">
        <v>31</v>
      </c>
      <c r="S21" s="147" t="s">
        <v>32</v>
      </c>
      <c r="T21" s="147" t="s">
        <v>33</v>
      </c>
      <c r="U21" s="147" t="s">
        <v>34</v>
      </c>
      <c r="V21" s="147" t="s">
        <v>35</v>
      </c>
      <c r="W21" s="147" t="s">
        <v>36</v>
      </c>
      <c r="X21" s="147" t="s">
        <v>37</v>
      </c>
      <c r="Y21" s="147" t="s">
        <v>38</v>
      </c>
      <c r="Z21" s="147" t="s">
        <v>8</v>
      </c>
      <c r="AA21" s="147" t="s">
        <v>39</v>
      </c>
      <c r="AB21" s="147" t="s">
        <v>40</v>
      </c>
      <c r="AC21" s="147" t="s">
        <v>41</v>
      </c>
      <c r="AD21" s="148" t="s">
        <v>42</v>
      </c>
      <c r="AE21" s="3"/>
      <c r="AF21" s="3"/>
    </row>
    <row r="22" spans="1:41" ht="32" customHeight="1" x14ac:dyDescent="0.2">
      <c r="A22" s="527" t="s">
        <v>43</v>
      </c>
      <c r="B22" s="598"/>
      <c r="C22" s="168"/>
      <c r="D22" s="166"/>
      <c r="E22" s="166"/>
      <c r="F22" s="166"/>
      <c r="G22" s="166"/>
      <c r="H22" s="166"/>
      <c r="I22" s="166"/>
      <c r="J22" s="166"/>
      <c r="K22" s="166"/>
      <c r="L22" s="166"/>
      <c r="M22" s="166"/>
      <c r="N22" s="166"/>
      <c r="O22" s="166">
        <f>SUM(C22:N22)</f>
        <v>0</v>
      </c>
      <c r="P22" s="169"/>
      <c r="Q22" s="168">
        <v>2721220256</v>
      </c>
      <c r="R22" s="310"/>
      <c r="S22" s="166">
        <f>19186926+10126938+6986000</f>
        <v>36299864</v>
      </c>
      <c r="T22" s="166">
        <f>35000000+22500000+24639441</f>
        <v>82139441</v>
      </c>
      <c r="U22" s="166"/>
      <c r="V22" s="166">
        <f>2139478+39142026-89234435</f>
        <v>-47952931</v>
      </c>
      <c r="W22" s="166">
        <v>11893445</v>
      </c>
      <c r="X22" s="166"/>
      <c r="Y22" s="166"/>
      <c r="Z22" s="166">
        <v>102824946</v>
      </c>
      <c r="AA22" s="166"/>
      <c r="AB22" s="166"/>
      <c r="AC22" s="166">
        <f>SUM(Q22:AB22)</f>
        <v>2906425021</v>
      </c>
      <c r="AD22" s="173"/>
      <c r="AE22" s="3"/>
      <c r="AF22" s="597" t="s">
        <v>44</v>
      </c>
      <c r="AG22" s="597"/>
      <c r="AH22" s="597"/>
      <c r="AI22" s="597"/>
      <c r="AJ22" s="597"/>
      <c r="AK22" s="597"/>
      <c r="AL22" s="597"/>
      <c r="AM22" s="597"/>
    </row>
    <row r="23" spans="1:41" ht="32" customHeight="1" x14ac:dyDescent="0.2">
      <c r="A23" s="528" t="s">
        <v>45</v>
      </c>
      <c r="B23" s="540"/>
      <c r="C23" s="163"/>
      <c r="D23" s="162"/>
      <c r="E23" s="162"/>
      <c r="F23" s="162"/>
      <c r="G23" s="162"/>
      <c r="H23" s="162"/>
      <c r="I23" s="162"/>
      <c r="J23" s="162"/>
      <c r="K23" s="162"/>
      <c r="L23" s="162"/>
      <c r="M23" s="162"/>
      <c r="N23" s="162"/>
      <c r="O23" s="162">
        <f>SUM(C23:N23)</f>
        <v>0</v>
      </c>
      <c r="P23" s="174" t="str">
        <f>IFERROR(O23/(SUMIF(C23:N23,"&gt;0",C22:N22))," ")</f>
        <v xml:space="preserve"> </v>
      </c>
      <c r="Q23" s="309">
        <v>1095524494</v>
      </c>
      <c r="R23" s="305">
        <v>1268876251</v>
      </c>
      <c r="S23" s="305">
        <v>167072463</v>
      </c>
      <c r="T23" s="305">
        <v>-18748320</v>
      </c>
      <c r="U23" s="305">
        <v>51615203</v>
      </c>
      <c r="V23" s="305">
        <v>73453791</v>
      </c>
      <c r="W23" s="305">
        <v>49502400</v>
      </c>
      <c r="X23" s="305" t="s">
        <v>100</v>
      </c>
      <c r="Y23" s="305">
        <v>12710200</v>
      </c>
      <c r="Z23" s="305">
        <v>57334667</v>
      </c>
      <c r="AA23" s="162"/>
      <c r="AB23" s="162"/>
      <c r="AC23" s="162">
        <f>SUM(Q23:AB23)</f>
        <v>2757341149</v>
      </c>
      <c r="AD23" s="171">
        <f>+AC23/AC22</f>
        <v>0.94870541268988062</v>
      </c>
      <c r="AE23" s="3"/>
      <c r="AF23" s="597"/>
      <c r="AG23" s="597"/>
      <c r="AH23" s="597"/>
      <c r="AI23" s="597"/>
      <c r="AJ23" s="597"/>
      <c r="AK23" s="597"/>
      <c r="AL23" s="597"/>
      <c r="AM23" s="597"/>
    </row>
    <row r="24" spans="1:41" ht="32" customHeight="1" x14ac:dyDescent="0.2">
      <c r="A24" s="528" t="s">
        <v>47</v>
      </c>
      <c r="B24" s="540"/>
      <c r="C24" s="302">
        <f>25110243+698600+1646343+2010000+1804187+22062331</f>
        <v>53331704</v>
      </c>
      <c r="D24" s="303">
        <f>1749516+3375000+698600+1646343+2400000+500000+3750000+461423+1+735420+1420164+309000+1081500+735420+772500+772500+432600+475860+5148623</f>
        <v>26464470</v>
      </c>
      <c r="E24" s="162">
        <f>698600+1646343+2400000+500000+4956875</f>
        <v>10201818</v>
      </c>
      <c r="F24" s="162">
        <f>698600+1646343+2387790+500000+5038625</f>
        <v>10271358</v>
      </c>
      <c r="G24" s="162">
        <f>548900+1646343</f>
        <v>2195243</v>
      </c>
      <c r="H24" s="162">
        <f>1646343-120167</f>
        <v>1526176</v>
      </c>
      <c r="I24" s="162">
        <v>1049769</v>
      </c>
      <c r="J24" s="304" t="s">
        <v>101</v>
      </c>
      <c r="K24" s="162">
        <v>-11574</v>
      </c>
      <c r="L24" s="162"/>
      <c r="M24" s="162"/>
      <c r="N24" s="162">
        <v>3719997</v>
      </c>
      <c r="O24" s="184">
        <f>SUM(C24:N24)</f>
        <v>108748961</v>
      </c>
      <c r="P24" s="167"/>
      <c r="Q24" s="163"/>
      <c r="R24" s="310">
        <v>111139916</v>
      </c>
      <c r="S24" s="162">
        <v>224170940</v>
      </c>
      <c r="T24" s="162">
        <f>229320940+1918693+1646343+776223</f>
        <v>233662199</v>
      </c>
      <c r="U24" s="162">
        <f>229320940+1918693+3888889+2500000+1646343+24639441+776223</f>
        <v>264690529</v>
      </c>
      <c r="V24" s="162">
        <f>229320940+1918693+3888889+2500000+1646343+776222-89234435</f>
        <v>150816652</v>
      </c>
      <c r="W24" s="162">
        <f>229320940+1918693+2139478+3888889+2500000+741130+13047342+776222</f>
        <v>254332694</v>
      </c>
      <c r="X24" s="162">
        <f>244770940+1918693+3888889+2500000+741130+11893445+776222</f>
        <v>266489319</v>
      </c>
      <c r="Y24" s="162">
        <f>244770940+1918693+3888889+2500000+741130+13047342+776222</f>
        <v>267643216</v>
      </c>
      <c r="Z24" s="162">
        <f>244770940+1918692+3888889+2500000+741130+776222+102824946</f>
        <v>357420819</v>
      </c>
      <c r="AA24" s="162">
        <f>244770940+1918692+3888889+2500000+741130+13047342+776222</f>
        <v>267643215</v>
      </c>
      <c r="AB24" s="162">
        <f>489541880+3837384+7777777+5000000+1482259+776222</f>
        <v>508415522</v>
      </c>
      <c r="AC24" s="162">
        <f>SUM(Q24:AB24)</f>
        <v>2906425021</v>
      </c>
      <c r="AD24" s="171"/>
      <c r="AE24" s="3"/>
      <c r="AF24" s="597"/>
      <c r="AG24" s="597"/>
      <c r="AH24" s="597"/>
      <c r="AI24" s="597"/>
      <c r="AJ24" s="597"/>
      <c r="AK24" s="597"/>
      <c r="AL24" s="597"/>
      <c r="AM24" s="597"/>
    </row>
    <row r="25" spans="1:41" ht="32" customHeight="1" x14ac:dyDescent="0.2">
      <c r="A25" s="484" t="s">
        <v>50</v>
      </c>
      <c r="B25" s="547"/>
      <c r="C25" s="313">
        <v>12332011</v>
      </c>
      <c r="D25" s="311">
        <v>39266779</v>
      </c>
      <c r="E25" s="311">
        <v>27153750</v>
      </c>
      <c r="F25" s="311">
        <v>11625441</v>
      </c>
      <c r="G25" s="311">
        <v>6967107</v>
      </c>
      <c r="H25" s="311">
        <v>3110643</v>
      </c>
      <c r="I25" s="311">
        <v>1646352</v>
      </c>
      <c r="J25" s="311" t="s">
        <v>101</v>
      </c>
      <c r="K25" s="311" t="s">
        <v>101</v>
      </c>
      <c r="L25" s="165">
        <v>3375000</v>
      </c>
      <c r="M25" s="165"/>
      <c r="N25" s="165"/>
      <c r="O25" s="165">
        <f>SUM(C25:N25)</f>
        <v>105477083</v>
      </c>
      <c r="P25" s="170">
        <f>+O25/O24</f>
        <v>0.96991347806991923</v>
      </c>
      <c r="Q25" s="319"/>
      <c r="R25" s="301">
        <v>18557067</v>
      </c>
      <c r="S25" s="301">
        <v>123898287</v>
      </c>
      <c r="T25" s="301">
        <v>234447104</v>
      </c>
      <c r="U25" s="301">
        <v>234493079</v>
      </c>
      <c r="V25" s="301">
        <v>251870794</v>
      </c>
      <c r="W25" s="301">
        <v>266020722</v>
      </c>
      <c r="X25" s="301">
        <v>254381295</v>
      </c>
      <c r="Y25" s="301">
        <v>253226761</v>
      </c>
      <c r="Z25" s="165">
        <v>255923093</v>
      </c>
      <c r="AA25" s="165"/>
      <c r="AB25" s="165"/>
      <c r="AC25" s="165">
        <f>SUM(Q25:AB25)</f>
        <v>1892818202</v>
      </c>
      <c r="AD25" s="172">
        <f>+AC25/AC24</f>
        <v>0.65125306461501176</v>
      </c>
      <c r="AE25" s="3"/>
      <c r="AF25" s="597"/>
      <c r="AG25" s="597"/>
      <c r="AH25" s="597"/>
      <c r="AI25" s="597"/>
      <c r="AJ25" s="597"/>
      <c r="AK25" s="597"/>
      <c r="AL25" s="597"/>
      <c r="AM25" s="597"/>
    </row>
    <row r="26" spans="1:41" ht="32" customHeight="1" x14ac:dyDescent="0.2">
      <c r="A26" s="59"/>
      <c r="B26" s="54"/>
      <c r="C26" s="80"/>
      <c r="D26" s="80"/>
      <c r="E26" s="80"/>
      <c r="F26" s="80"/>
      <c r="G26" s="80"/>
      <c r="H26" s="80"/>
      <c r="I26" s="80"/>
      <c r="J26" s="80"/>
      <c r="K26" s="80"/>
      <c r="L26" s="80"/>
      <c r="M26" s="80"/>
      <c r="N26" s="80"/>
      <c r="O26" s="80"/>
      <c r="P26" s="80"/>
      <c r="Q26" s="80"/>
      <c r="R26" s="80"/>
      <c r="S26" s="80"/>
      <c r="T26" s="80"/>
      <c r="U26" s="80"/>
      <c r="V26" s="80"/>
      <c r="W26" s="80"/>
      <c r="X26" s="80"/>
      <c r="Y26" s="80"/>
      <c r="Z26" s="80"/>
      <c r="AA26" s="80"/>
      <c r="AB26" s="80"/>
      <c r="AC26" s="60"/>
      <c r="AD26" s="161"/>
    </row>
    <row r="27" spans="1:41" ht="34" customHeight="1" x14ac:dyDescent="0.2">
      <c r="A27" s="543" t="s">
        <v>52</v>
      </c>
      <c r="B27" s="544"/>
      <c r="C27" s="545"/>
      <c r="D27" s="545"/>
      <c r="E27" s="545"/>
      <c r="F27" s="545"/>
      <c r="G27" s="545"/>
      <c r="H27" s="545"/>
      <c r="I27" s="545"/>
      <c r="J27" s="545"/>
      <c r="K27" s="545"/>
      <c r="L27" s="545"/>
      <c r="M27" s="545"/>
      <c r="N27" s="545"/>
      <c r="O27" s="545"/>
      <c r="P27" s="545"/>
      <c r="Q27" s="545"/>
      <c r="R27" s="545"/>
      <c r="S27" s="545"/>
      <c r="T27" s="545"/>
      <c r="U27" s="545"/>
      <c r="V27" s="545"/>
      <c r="W27" s="545"/>
      <c r="X27" s="545"/>
      <c r="Y27" s="545"/>
      <c r="Z27" s="545"/>
      <c r="AA27" s="545"/>
      <c r="AB27" s="545"/>
      <c r="AC27" s="545"/>
      <c r="AD27" s="546"/>
    </row>
    <row r="28" spans="1:41" ht="15" customHeight="1" x14ac:dyDescent="0.2">
      <c r="A28" s="536" t="s">
        <v>53</v>
      </c>
      <c r="B28" s="538" t="s">
        <v>54</v>
      </c>
      <c r="C28" s="539"/>
      <c r="D28" s="540" t="s">
        <v>55</v>
      </c>
      <c r="E28" s="541"/>
      <c r="F28" s="541"/>
      <c r="G28" s="541"/>
      <c r="H28" s="541"/>
      <c r="I28" s="541"/>
      <c r="J28" s="541"/>
      <c r="K28" s="541"/>
      <c r="L28" s="541"/>
      <c r="M28" s="541"/>
      <c r="N28" s="541"/>
      <c r="O28" s="535"/>
      <c r="P28" s="529" t="s">
        <v>41</v>
      </c>
      <c r="Q28" s="529" t="s">
        <v>56</v>
      </c>
      <c r="R28" s="529"/>
      <c r="S28" s="529"/>
      <c r="T28" s="529"/>
      <c r="U28" s="529"/>
      <c r="V28" s="529"/>
      <c r="W28" s="529"/>
      <c r="X28" s="529"/>
      <c r="Y28" s="529"/>
      <c r="Z28" s="529"/>
      <c r="AA28" s="529"/>
      <c r="AB28" s="529"/>
      <c r="AC28" s="529"/>
      <c r="AD28" s="542"/>
    </row>
    <row r="29" spans="1:41" ht="27" customHeight="1" x14ac:dyDescent="0.2">
      <c r="A29" s="537"/>
      <c r="B29" s="532"/>
      <c r="C29" s="487"/>
      <c r="D29" s="88" t="s">
        <v>30</v>
      </c>
      <c r="E29" s="88" t="s">
        <v>31</v>
      </c>
      <c r="F29" s="88" t="s">
        <v>32</v>
      </c>
      <c r="G29" s="88" t="s">
        <v>33</v>
      </c>
      <c r="H29" s="88" t="s">
        <v>34</v>
      </c>
      <c r="I29" s="88" t="s">
        <v>35</v>
      </c>
      <c r="J29" s="88" t="s">
        <v>36</v>
      </c>
      <c r="K29" s="88" t="s">
        <v>37</v>
      </c>
      <c r="L29" s="88" t="s">
        <v>38</v>
      </c>
      <c r="M29" s="88" t="s">
        <v>8</v>
      </c>
      <c r="N29" s="88" t="s">
        <v>39</v>
      </c>
      <c r="O29" s="88" t="s">
        <v>40</v>
      </c>
      <c r="P29" s="535"/>
      <c r="Q29" s="529"/>
      <c r="R29" s="529"/>
      <c r="S29" s="529"/>
      <c r="T29" s="529"/>
      <c r="U29" s="529"/>
      <c r="V29" s="529"/>
      <c r="W29" s="529"/>
      <c r="X29" s="529"/>
      <c r="Y29" s="529"/>
      <c r="Z29" s="529"/>
      <c r="AA29" s="529"/>
      <c r="AB29" s="529"/>
      <c r="AC29" s="529"/>
      <c r="AD29" s="542"/>
    </row>
    <row r="30" spans="1:41" ht="68.25" customHeight="1" thickBot="1" x14ac:dyDescent="0.25">
      <c r="A30" s="85" t="s">
        <v>114</v>
      </c>
      <c r="B30" s="520"/>
      <c r="C30" s="521"/>
      <c r="D30" s="89"/>
      <c r="E30" s="89"/>
      <c r="F30" s="89"/>
      <c r="G30" s="89"/>
      <c r="H30" s="89"/>
      <c r="I30" s="89"/>
      <c r="J30" s="89"/>
      <c r="K30" s="89"/>
      <c r="L30" s="89"/>
      <c r="M30" s="89"/>
      <c r="N30" s="89"/>
      <c r="O30" s="89"/>
      <c r="P30" s="86">
        <f>SUM(D30:O30)</f>
        <v>0</v>
      </c>
      <c r="Q30" s="522"/>
      <c r="R30" s="522"/>
      <c r="S30" s="522"/>
      <c r="T30" s="522"/>
      <c r="U30" s="522"/>
      <c r="V30" s="522"/>
      <c r="W30" s="522"/>
      <c r="X30" s="522"/>
      <c r="Y30" s="522"/>
      <c r="Z30" s="522"/>
      <c r="AA30" s="522"/>
      <c r="AB30" s="522"/>
      <c r="AC30" s="522"/>
      <c r="AD30" s="523"/>
    </row>
    <row r="31" spans="1:41" ht="45" customHeight="1" thickBot="1" x14ac:dyDescent="0.25">
      <c r="A31" s="524" t="s">
        <v>58</v>
      </c>
      <c r="B31" s="525"/>
      <c r="C31" s="525"/>
      <c r="D31" s="525"/>
      <c r="E31" s="525"/>
      <c r="F31" s="525"/>
      <c r="G31" s="525"/>
      <c r="H31" s="525"/>
      <c r="I31" s="525"/>
      <c r="J31" s="525"/>
      <c r="K31" s="525"/>
      <c r="L31" s="525"/>
      <c r="M31" s="525"/>
      <c r="N31" s="525"/>
      <c r="O31" s="525"/>
      <c r="P31" s="525"/>
      <c r="Q31" s="525"/>
      <c r="R31" s="525"/>
      <c r="S31" s="525"/>
      <c r="T31" s="525"/>
      <c r="U31" s="525"/>
      <c r="V31" s="525"/>
      <c r="W31" s="525"/>
      <c r="X31" s="525"/>
      <c r="Y31" s="525"/>
      <c r="Z31" s="525"/>
      <c r="AA31" s="525"/>
      <c r="AB31" s="525"/>
      <c r="AC31" s="525"/>
      <c r="AD31" s="526"/>
    </row>
    <row r="32" spans="1:41" ht="23" customHeight="1" x14ac:dyDescent="0.2">
      <c r="A32" s="527" t="s">
        <v>59</v>
      </c>
      <c r="B32" s="485" t="s">
        <v>60</v>
      </c>
      <c r="C32" s="488" t="s">
        <v>54</v>
      </c>
      <c r="D32" s="531" t="s">
        <v>61</v>
      </c>
      <c r="E32" s="485"/>
      <c r="F32" s="485"/>
      <c r="G32" s="485"/>
      <c r="H32" s="485"/>
      <c r="I32" s="485"/>
      <c r="J32" s="485"/>
      <c r="K32" s="485"/>
      <c r="L32" s="485"/>
      <c r="M32" s="485"/>
      <c r="N32" s="485"/>
      <c r="O32" s="485"/>
      <c r="P32" s="488"/>
      <c r="Q32" s="527" t="s">
        <v>62</v>
      </c>
      <c r="R32" s="485"/>
      <c r="S32" s="485"/>
      <c r="T32" s="485"/>
      <c r="U32" s="485"/>
      <c r="V32" s="485"/>
      <c r="W32" s="485"/>
      <c r="X32" s="485"/>
      <c r="Y32" s="485"/>
      <c r="Z32" s="485"/>
      <c r="AA32" s="485"/>
      <c r="AB32" s="485"/>
      <c r="AC32" s="485"/>
      <c r="AD32" s="488"/>
      <c r="AG32" s="87"/>
      <c r="AH32" s="87"/>
      <c r="AI32" s="87"/>
      <c r="AJ32" s="87"/>
      <c r="AK32" s="87"/>
      <c r="AL32" s="87"/>
      <c r="AM32" s="87"/>
      <c r="AN32" s="87"/>
      <c r="AO32" s="87"/>
    </row>
    <row r="33" spans="1:41" ht="27" customHeight="1" x14ac:dyDescent="0.2">
      <c r="A33" s="528"/>
      <c r="B33" s="529"/>
      <c r="C33" s="530"/>
      <c r="D33" s="232" t="s">
        <v>30</v>
      </c>
      <c r="E33" s="226" t="s">
        <v>31</v>
      </c>
      <c r="F33" s="226" t="s">
        <v>32</v>
      </c>
      <c r="G33" s="226" t="s">
        <v>33</v>
      </c>
      <c r="H33" s="226" t="s">
        <v>34</v>
      </c>
      <c r="I33" s="226" t="s">
        <v>35</v>
      </c>
      <c r="J33" s="226" t="s">
        <v>36</v>
      </c>
      <c r="K33" s="226" t="s">
        <v>37</v>
      </c>
      <c r="L33" s="226" t="s">
        <v>38</v>
      </c>
      <c r="M33" s="226" t="s">
        <v>8</v>
      </c>
      <c r="N33" s="226" t="s">
        <v>39</v>
      </c>
      <c r="O33" s="226" t="s">
        <v>40</v>
      </c>
      <c r="P33" s="227" t="s">
        <v>41</v>
      </c>
      <c r="Q33" s="484" t="s">
        <v>63</v>
      </c>
      <c r="R33" s="486"/>
      <c r="S33" s="486"/>
      <c r="T33" s="486" t="s">
        <v>64</v>
      </c>
      <c r="U33" s="486"/>
      <c r="V33" s="486"/>
      <c r="W33" s="696" t="s">
        <v>65</v>
      </c>
      <c r="X33" s="569"/>
      <c r="Y33" s="569"/>
      <c r="Z33" s="697"/>
      <c r="AA33" s="696" t="s">
        <v>66</v>
      </c>
      <c r="AB33" s="569"/>
      <c r="AC33" s="569"/>
      <c r="AD33" s="570"/>
      <c r="AG33" s="87"/>
      <c r="AH33" s="87"/>
      <c r="AI33" s="87"/>
      <c r="AJ33" s="87"/>
      <c r="AK33" s="87"/>
      <c r="AL33" s="87"/>
      <c r="AM33" s="87"/>
      <c r="AN33" s="87"/>
      <c r="AO33" s="87"/>
    </row>
    <row r="34" spans="1:41" ht="106.5" customHeight="1" x14ac:dyDescent="0.2">
      <c r="A34" s="698" t="s">
        <v>114</v>
      </c>
      <c r="B34" s="506">
        <v>0.15</v>
      </c>
      <c r="C34" s="235" t="s">
        <v>67</v>
      </c>
      <c r="D34" s="230">
        <f>D69</f>
        <v>0</v>
      </c>
      <c r="E34" s="231">
        <f t="shared" ref="E34:O34" si="0">E69</f>
        <v>3.2500000000000008E-2</v>
      </c>
      <c r="F34" s="231">
        <f t="shared" si="0"/>
        <v>3.2158333333333337E-2</v>
      </c>
      <c r="G34" s="231">
        <f t="shared" si="0"/>
        <v>3.2158333333333337E-2</v>
      </c>
      <c r="H34" s="231">
        <f t="shared" si="0"/>
        <v>1.5491666666666669E-2</v>
      </c>
      <c r="I34" s="231">
        <f t="shared" si="0"/>
        <v>1.5491666666666669E-2</v>
      </c>
      <c r="J34" s="231">
        <f t="shared" si="0"/>
        <v>3.2158333333333337E-2</v>
      </c>
      <c r="K34" s="231">
        <f t="shared" si="0"/>
        <v>1.5491666666666669E-2</v>
      </c>
      <c r="L34" s="231">
        <f t="shared" si="0"/>
        <v>3.2158333333333337E-2</v>
      </c>
      <c r="M34" s="231">
        <f t="shared" si="0"/>
        <v>1.5491666666666669E-2</v>
      </c>
      <c r="N34" s="231">
        <f t="shared" si="0"/>
        <v>1.5491666666666669E-2</v>
      </c>
      <c r="O34" s="231">
        <f t="shared" si="0"/>
        <v>1.1408333333333336E-2</v>
      </c>
      <c r="P34" s="231">
        <f>SUM(D34:O34)</f>
        <v>0.25000000000000011</v>
      </c>
      <c r="Q34" s="700" t="s">
        <v>562</v>
      </c>
      <c r="R34" s="682"/>
      <c r="S34" s="682"/>
      <c r="T34" s="701" t="s">
        <v>115</v>
      </c>
      <c r="U34" s="701"/>
      <c r="V34" s="701"/>
      <c r="W34" s="702" t="s">
        <v>116</v>
      </c>
      <c r="X34" s="703"/>
      <c r="Y34" s="703"/>
      <c r="Z34" s="704"/>
      <c r="AA34" s="682" t="s">
        <v>117</v>
      </c>
      <c r="AB34" s="682"/>
      <c r="AC34" s="682"/>
      <c r="AD34" s="683"/>
      <c r="AG34" s="87"/>
      <c r="AH34" s="87"/>
      <c r="AI34" s="87"/>
      <c r="AJ34" s="87"/>
      <c r="AK34" s="87"/>
      <c r="AL34" s="87"/>
      <c r="AM34" s="87"/>
      <c r="AN34" s="87"/>
      <c r="AO34" s="87"/>
    </row>
    <row r="35" spans="1:41" ht="106.5" customHeight="1" thickBot="1" x14ac:dyDescent="0.25">
      <c r="A35" s="699"/>
      <c r="B35" s="507"/>
      <c r="C35" s="229" t="s">
        <v>72</v>
      </c>
      <c r="D35" s="228">
        <f>D66</f>
        <v>0</v>
      </c>
      <c r="E35" s="221">
        <f t="shared" ref="E35:M35" si="1">E66</f>
        <v>3.2500000000000008E-2</v>
      </c>
      <c r="F35" s="221">
        <f t="shared" si="1"/>
        <v>3.2158333333333337E-2</v>
      </c>
      <c r="G35" s="221">
        <f t="shared" si="1"/>
        <v>2.3825000000000006E-2</v>
      </c>
      <c r="H35" s="221">
        <f t="shared" si="1"/>
        <v>2.3825000000000006E-2</v>
      </c>
      <c r="I35" s="221">
        <f t="shared" si="1"/>
        <v>1.5491666666666669E-2</v>
      </c>
      <c r="J35" s="221">
        <f t="shared" si="1"/>
        <v>3.2158333333333337E-2</v>
      </c>
      <c r="K35" s="221">
        <f t="shared" si="1"/>
        <v>1.5491666666666669E-2</v>
      </c>
      <c r="L35" s="221">
        <f t="shared" si="1"/>
        <v>3.2158333333333337E-2</v>
      </c>
      <c r="M35" s="221">
        <f t="shared" si="1"/>
        <v>1.5491666666666669E-2</v>
      </c>
      <c r="N35" s="276">
        <v>0</v>
      </c>
      <c r="O35" s="372">
        <v>0</v>
      </c>
      <c r="P35" s="222">
        <f>SUM(D35:O35)</f>
        <v>0.2231000000000001</v>
      </c>
      <c r="Q35" s="700"/>
      <c r="R35" s="682"/>
      <c r="S35" s="682"/>
      <c r="T35" s="701"/>
      <c r="U35" s="701"/>
      <c r="V35" s="701"/>
      <c r="W35" s="702"/>
      <c r="X35" s="703"/>
      <c r="Y35" s="703"/>
      <c r="Z35" s="704"/>
      <c r="AA35" s="682"/>
      <c r="AB35" s="682"/>
      <c r="AC35" s="682"/>
      <c r="AD35" s="683"/>
      <c r="AE35" s="49"/>
      <c r="AG35" s="87"/>
      <c r="AH35" s="87"/>
      <c r="AI35" s="87"/>
      <c r="AJ35" s="87"/>
      <c r="AK35" s="87"/>
      <c r="AL35" s="87"/>
      <c r="AM35" s="87"/>
      <c r="AN35" s="87"/>
      <c r="AO35" s="87"/>
    </row>
    <row r="36" spans="1:41" ht="26" customHeight="1" x14ac:dyDescent="0.2">
      <c r="A36" s="483" t="s">
        <v>73</v>
      </c>
      <c r="B36" s="684" t="s">
        <v>74</v>
      </c>
      <c r="C36" s="487" t="s">
        <v>75</v>
      </c>
      <c r="D36" s="485"/>
      <c r="E36" s="485"/>
      <c r="F36" s="485"/>
      <c r="G36" s="485"/>
      <c r="H36" s="485"/>
      <c r="I36" s="485"/>
      <c r="J36" s="485"/>
      <c r="K36" s="485"/>
      <c r="L36" s="485"/>
      <c r="M36" s="485"/>
      <c r="N36" s="485"/>
      <c r="O36" s="485"/>
      <c r="P36" s="488"/>
      <c r="Q36" s="686" t="s">
        <v>76</v>
      </c>
      <c r="R36" s="645"/>
      <c r="S36" s="645"/>
      <c r="T36" s="645"/>
      <c r="U36" s="645"/>
      <c r="V36" s="645"/>
      <c r="W36" s="645"/>
      <c r="X36" s="645"/>
      <c r="Y36" s="645"/>
      <c r="Z36" s="645"/>
      <c r="AA36" s="645"/>
      <c r="AB36" s="645"/>
      <c r="AC36" s="645"/>
      <c r="AD36" s="646"/>
      <c r="AG36" s="87"/>
      <c r="AH36" s="87"/>
      <c r="AI36" s="87"/>
      <c r="AJ36" s="87"/>
      <c r="AK36" s="87"/>
      <c r="AL36" s="87"/>
      <c r="AM36" s="87"/>
      <c r="AN36" s="87"/>
      <c r="AO36" s="87"/>
    </row>
    <row r="37" spans="1:41" ht="26" customHeight="1" thickBot="1" x14ac:dyDescent="0.25">
      <c r="A37" s="484"/>
      <c r="B37" s="685"/>
      <c r="C37" s="232" t="s">
        <v>77</v>
      </c>
      <c r="D37" s="226" t="s">
        <v>78</v>
      </c>
      <c r="E37" s="226" t="s">
        <v>79</v>
      </c>
      <c r="F37" s="226" t="s">
        <v>80</v>
      </c>
      <c r="G37" s="226" t="s">
        <v>81</v>
      </c>
      <c r="H37" s="226" t="s">
        <v>82</v>
      </c>
      <c r="I37" s="226" t="s">
        <v>83</v>
      </c>
      <c r="J37" s="226" t="s">
        <v>84</v>
      </c>
      <c r="K37" s="226" t="s">
        <v>85</v>
      </c>
      <c r="L37" s="226" t="s">
        <v>86</v>
      </c>
      <c r="M37" s="226" t="s">
        <v>87</v>
      </c>
      <c r="N37" s="226" t="s">
        <v>88</v>
      </c>
      <c r="O37" s="226" t="s">
        <v>89</v>
      </c>
      <c r="P37" s="227" t="s">
        <v>90</v>
      </c>
      <c r="Q37" s="687" t="s">
        <v>91</v>
      </c>
      <c r="R37" s="647"/>
      <c r="S37" s="647"/>
      <c r="T37" s="647"/>
      <c r="U37" s="647"/>
      <c r="V37" s="647"/>
      <c r="W37" s="647"/>
      <c r="X37" s="647"/>
      <c r="Y37" s="647"/>
      <c r="Z37" s="647"/>
      <c r="AA37" s="647"/>
      <c r="AB37" s="647"/>
      <c r="AC37" s="647"/>
      <c r="AD37" s="648"/>
      <c r="AG37" s="94"/>
      <c r="AH37" s="94"/>
      <c r="AI37" s="94"/>
      <c r="AJ37" s="94"/>
      <c r="AK37" s="94"/>
      <c r="AL37" s="94"/>
      <c r="AM37" s="94"/>
      <c r="AN37" s="94"/>
      <c r="AO37" s="94"/>
    </row>
    <row r="38" spans="1:41" ht="35.25" customHeight="1" x14ac:dyDescent="0.2">
      <c r="A38" s="695" t="s">
        <v>118</v>
      </c>
      <c r="B38" s="496">
        <v>0.05</v>
      </c>
      <c r="C38" s="365" t="s">
        <v>67</v>
      </c>
      <c r="D38" s="265">
        <v>0</v>
      </c>
      <c r="E38" s="266">
        <v>0.1</v>
      </c>
      <c r="F38" s="267">
        <v>9.5000000000000001E-2</v>
      </c>
      <c r="G38" s="267">
        <v>9.5000000000000001E-2</v>
      </c>
      <c r="H38" s="266">
        <v>9.5000000000000001E-2</v>
      </c>
      <c r="I38" s="266">
        <v>9.5000000000000001E-2</v>
      </c>
      <c r="J38" s="266">
        <v>9.5000000000000001E-2</v>
      </c>
      <c r="K38" s="266">
        <v>9.5000000000000001E-2</v>
      </c>
      <c r="L38" s="266">
        <v>9.5000000000000001E-2</v>
      </c>
      <c r="M38" s="266">
        <v>9.5000000000000001E-2</v>
      </c>
      <c r="N38" s="266">
        <v>9.5000000000000001E-2</v>
      </c>
      <c r="O38" s="266">
        <v>4.4999999999999998E-2</v>
      </c>
      <c r="P38" s="370">
        <f t="shared" ref="P38:P43" si="2">SUM(D38:O38)</f>
        <v>0.99999999999999989</v>
      </c>
      <c r="Q38" s="674" t="s">
        <v>119</v>
      </c>
      <c r="R38" s="675"/>
      <c r="S38" s="675"/>
      <c r="T38" s="675"/>
      <c r="U38" s="675"/>
      <c r="V38" s="675"/>
      <c r="W38" s="675"/>
      <c r="X38" s="675"/>
      <c r="Y38" s="675"/>
      <c r="Z38" s="675"/>
      <c r="AA38" s="675"/>
      <c r="AB38" s="675"/>
      <c r="AC38" s="675"/>
      <c r="AD38" s="676"/>
      <c r="AE38" s="97"/>
      <c r="AG38" s="98"/>
      <c r="AH38" s="98"/>
      <c r="AI38" s="98"/>
      <c r="AJ38" s="98"/>
      <c r="AK38" s="98"/>
      <c r="AL38" s="98"/>
      <c r="AM38" s="98"/>
      <c r="AN38" s="98"/>
      <c r="AO38" s="98"/>
    </row>
    <row r="39" spans="1:41" ht="35.25" customHeight="1" thickBot="1" x14ac:dyDescent="0.25">
      <c r="A39" s="689"/>
      <c r="B39" s="497"/>
      <c r="C39" s="189" t="s">
        <v>72</v>
      </c>
      <c r="D39" s="251">
        <v>0</v>
      </c>
      <c r="E39" s="252">
        <v>0.1</v>
      </c>
      <c r="F39" s="252">
        <v>9.5000000000000001E-2</v>
      </c>
      <c r="G39" s="252">
        <v>9.5000000000000001E-2</v>
      </c>
      <c r="H39" s="252">
        <v>9.5000000000000001E-2</v>
      </c>
      <c r="I39" s="252">
        <v>9.5000000000000001E-2</v>
      </c>
      <c r="J39" s="252">
        <v>9.5000000000000001E-2</v>
      </c>
      <c r="K39" s="252">
        <v>9.5000000000000001E-2</v>
      </c>
      <c r="L39" s="252">
        <v>9.5000000000000001E-2</v>
      </c>
      <c r="M39" s="328">
        <f>+M38</f>
        <v>9.5000000000000001E-2</v>
      </c>
      <c r="N39" s="252" t="s">
        <v>48</v>
      </c>
      <c r="O39" s="252" t="s">
        <v>48</v>
      </c>
      <c r="P39" s="327">
        <f t="shared" si="2"/>
        <v>0.85999999999999988</v>
      </c>
      <c r="Q39" s="677"/>
      <c r="R39" s="678"/>
      <c r="S39" s="678"/>
      <c r="T39" s="678"/>
      <c r="U39" s="678"/>
      <c r="V39" s="678"/>
      <c r="W39" s="678"/>
      <c r="X39" s="678"/>
      <c r="Y39" s="678"/>
      <c r="Z39" s="678"/>
      <c r="AA39" s="678"/>
      <c r="AB39" s="678"/>
      <c r="AC39" s="678"/>
      <c r="AD39" s="679"/>
      <c r="AE39" s="97"/>
    </row>
    <row r="40" spans="1:41" ht="29.25" customHeight="1" x14ac:dyDescent="0.2">
      <c r="A40" s="688" t="s">
        <v>120</v>
      </c>
      <c r="B40" s="475">
        <v>0.05</v>
      </c>
      <c r="C40" s="190" t="s">
        <v>67</v>
      </c>
      <c r="D40" s="268">
        <v>0</v>
      </c>
      <c r="E40" s="250">
        <v>0.2</v>
      </c>
      <c r="F40" s="269">
        <v>0.2</v>
      </c>
      <c r="G40" s="269">
        <v>0.2</v>
      </c>
      <c r="H40" s="250">
        <v>0</v>
      </c>
      <c r="I40" s="250">
        <v>0</v>
      </c>
      <c r="J40" s="250">
        <v>0.2</v>
      </c>
      <c r="K40" s="250">
        <v>0</v>
      </c>
      <c r="L40" s="250">
        <v>0.2</v>
      </c>
      <c r="M40" s="250">
        <v>0</v>
      </c>
      <c r="N40" s="250">
        <v>0</v>
      </c>
      <c r="O40" s="250">
        <v>0</v>
      </c>
      <c r="P40" s="101">
        <f t="shared" si="2"/>
        <v>1</v>
      </c>
      <c r="Q40" s="674" t="s">
        <v>121</v>
      </c>
      <c r="R40" s="675"/>
      <c r="S40" s="675"/>
      <c r="T40" s="675"/>
      <c r="U40" s="675"/>
      <c r="V40" s="675"/>
      <c r="W40" s="675"/>
      <c r="X40" s="675"/>
      <c r="Y40" s="675"/>
      <c r="Z40" s="675"/>
      <c r="AA40" s="675"/>
      <c r="AB40" s="675"/>
      <c r="AC40" s="675"/>
      <c r="AD40" s="676"/>
      <c r="AE40" s="97"/>
    </row>
    <row r="41" spans="1:41" ht="29.25" customHeight="1" x14ac:dyDescent="0.2">
      <c r="A41" s="689"/>
      <c r="B41" s="497"/>
      <c r="C41" s="189" t="s">
        <v>72</v>
      </c>
      <c r="D41" s="251">
        <v>0</v>
      </c>
      <c r="E41" s="252">
        <v>0.2</v>
      </c>
      <c r="F41" s="252">
        <v>0.2</v>
      </c>
      <c r="G41" s="252">
        <v>0.1</v>
      </c>
      <c r="H41" s="252">
        <v>0.1</v>
      </c>
      <c r="I41" s="252">
        <v>0</v>
      </c>
      <c r="J41" s="252">
        <v>0.2</v>
      </c>
      <c r="K41" s="252">
        <v>0</v>
      </c>
      <c r="L41" s="252">
        <v>0.2</v>
      </c>
      <c r="M41" s="328">
        <f>+M40</f>
        <v>0</v>
      </c>
      <c r="N41" s="252" t="s">
        <v>48</v>
      </c>
      <c r="O41" s="252" t="s">
        <v>48</v>
      </c>
      <c r="P41" s="101">
        <f t="shared" si="2"/>
        <v>1</v>
      </c>
      <c r="Q41" s="677"/>
      <c r="R41" s="678"/>
      <c r="S41" s="678"/>
      <c r="T41" s="678"/>
      <c r="U41" s="678"/>
      <c r="V41" s="678"/>
      <c r="W41" s="678"/>
      <c r="X41" s="678"/>
      <c r="Y41" s="678"/>
      <c r="Z41" s="678"/>
      <c r="AA41" s="678"/>
      <c r="AB41" s="678"/>
      <c r="AC41" s="678"/>
      <c r="AD41" s="679"/>
      <c r="AE41" s="97"/>
    </row>
    <row r="42" spans="1:41" ht="48.75" customHeight="1" thickBot="1" x14ac:dyDescent="0.25">
      <c r="A42" s="693" t="s">
        <v>122</v>
      </c>
      <c r="B42" s="659">
        <v>0.05</v>
      </c>
      <c r="C42" s="233" t="s">
        <v>67</v>
      </c>
      <c r="D42" s="329">
        <v>0</v>
      </c>
      <c r="E42" s="330">
        <v>0.09</v>
      </c>
      <c r="F42" s="331">
        <v>9.0899999999999995E-2</v>
      </c>
      <c r="G42" s="331">
        <v>9.0899999999999995E-2</v>
      </c>
      <c r="H42" s="330">
        <v>9.0899999999999995E-2</v>
      </c>
      <c r="I42" s="330">
        <v>9.0899999999999995E-2</v>
      </c>
      <c r="J42" s="330">
        <v>9.0899999999999995E-2</v>
      </c>
      <c r="K42" s="330">
        <v>9.0899999999999995E-2</v>
      </c>
      <c r="L42" s="330">
        <v>9.0899999999999995E-2</v>
      </c>
      <c r="M42" s="330">
        <v>9.0899999999999995E-2</v>
      </c>
      <c r="N42" s="330">
        <v>9.0899999999999995E-2</v>
      </c>
      <c r="O42" s="330">
        <v>9.1899999999999996E-2</v>
      </c>
      <c r="P42" s="371">
        <f>SUM(D42:O42)</f>
        <v>0.99999999999999989</v>
      </c>
      <c r="Q42" s="677" t="s">
        <v>123</v>
      </c>
      <c r="R42" s="678"/>
      <c r="S42" s="678"/>
      <c r="T42" s="678"/>
      <c r="U42" s="678"/>
      <c r="V42" s="678"/>
      <c r="W42" s="678"/>
      <c r="X42" s="678"/>
      <c r="Y42" s="678"/>
      <c r="Z42" s="678"/>
      <c r="AA42" s="678"/>
      <c r="AB42" s="678"/>
      <c r="AC42" s="678"/>
      <c r="AD42" s="679"/>
      <c r="AE42" s="97"/>
    </row>
    <row r="43" spans="1:41" ht="48.75" customHeight="1" thickBot="1" x14ac:dyDescent="0.25">
      <c r="A43" s="694"/>
      <c r="B43" s="476"/>
      <c r="C43" s="234" t="s">
        <v>72</v>
      </c>
      <c r="D43" s="332">
        <f>+D42</f>
        <v>0</v>
      </c>
      <c r="E43" s="332">
        <f t="shared" ref="E43:M43" si="3">+E42</f>
        <v>0.09</v>
      </c>
      <c r="F43" s="332">
        <f t="shared" si="3"/>
        <v>9.0899999999999995E-2</v>
      </c>
      <c r="G43" s="332">
        <f t="shared" si="3"/>
        <v>9.0899999999999995E-2</v>
      </c>
      <c r="H43" s="332">
        <f t="shared" si="3"/>
        <v>9.0899999999999995E-2</v>
      </c>
      <c r="I43" s="332">
        <f t="shared" si="3"/>
        <v>9.0899999999999995E-2</v>
      </c>
      <c r="J43" s="332">
        <f t="shared" si="3"/>
        <v>9.0899999999999995E-2</v>
      </c>
      <c r="K43" s="332">
        <f t="shared" si="3"/>
        <v>9.0899999999999995E-2</v>
      </c>
      <c r="L43" s="332">
        <f t="shared" si="3"/>
        <v>9.0899999999999995E-2</v>
      </c>
      <c r="M43" s="338">
        <f t="shared" si="3"/>
        <v>9.0899999999999995E-2</v>
      </c>
      <c r="N43" s="333" t="s">
        <v>48</v>
      </c>
      <c r="O43" s="333" t="s">
        <v>48</v>
      </c>
      <c r="P43" s="335">
        <f t="shared" si="2"/>
        <v>0.81719999999999993</v>
      </c>
      <c r="Q43" s="690"/>
      <c r="R43" s="691"/>
      <c r="S43" s="691"/>
      <c r="T43" s="691"/>
      <c r="U43" s="691"/>
      <c r="V43" s="691"/>
      <c r="W43" s="691"/>
      <c r="X43" s="691"/>
      <c r="Y43" s="691"/>
      <c r="Z43" s="691"/>
      <c r="AA43" s="691"/>
      <c r="AB43" s="691"/>
      <c r="AC43" s="691"/>
      <c r="AD43" s="692"/>
      <c r="AE43" s="97"/>
    </row>
    <row r="44" spans="1:41" x14ac:dyDescent="0.2">
      <c r="A44" s="50" t="s">
        <v>96</v>
      </c>
      <c r="P44" s="336"/>
    </row>
    <row r="45" spans="1:41" x14ac:dyDescent="0.2">
      <c r="P45" s="337"/>
    </row>
    <row r="55" spans="1:30" x14ac:dyDescent="0.2">
      <c r="A55" s="459" t="s">
        <v>97</v>
      </c>
      <c r="B55" s="461" t="s">
        <v>74</v>
      </c>
      <c r="C55" s="463" t="s">
        <v>75</v>
      </c>
      <c r="D55" s="464"/>
      <c r="E55" s="464"/>
      <c r="F55" s="464"/>
      <c r="G55" s="464"/>
      <c r="H55" s="464"/>
      <c r="I55" s="464"/>
      <c r="J55" s="464"/>
      <c r="K55" s="464"/>
      <c r="L55" s="464"/>
      <c r="M55" s="464"/>
      <c r="N55" s="464"/>
      <c r="O55" s="464"/>
      <c r="P55" s="465"/>
      <c r="Q55" s="191"/>
      <c r="R55" s="191"/>
      <c r="S55" s="192"/>
      <c r="T55" s="192"/>
      <c r="U55" s="192"/>
      <c r="V55" s="192"/>
      <c r="W55" s="192"/>
      <c r="X55" s="192"/>
      <c r="Y55" s="192"/>
      <c r="Z55" s="192"/>
      <c r="AA55" s="192"/>
      <c r="AB55" s="192"/>
      <c r="AC55" s="192"/>
      <c r="AD55" s="192"/>
    </row>
    <row r="56" spans="1:30" x14ac:dyDescent="0.2">
      <c r="A56" s="460"/>
      <c r="B56" s="462"/>
      <c r="C56" s="193" t="s">
        <v>77</v>
      </c>
      <c r="D56" s="193" t="s">
        <v>78</v>
      </c>
      <c r="E56" s="193" t="s">
        <v>79</v>
      </c>
      <c r="F56" s="193" t="s">
        <v>80</v>
      </c>
      <c r="G56" s="193" t="s">
        <v>81</v>
      </c>
      <c r="H56" s="193" t="s">
        <v>82</v>
      </c>
      <c r="I56" s="193" t="s">
        <v>83</v>
      </c>
      <c r="J56" s="193" t="s">
        <v>84</v>
      </c>
      <c r="K56" s="193" t="s">
        <v>85</v>
      </c>
      <c r="L56" s="193" t="s">
        <v>86</v>
      </c>
      <c r="M56" s="193" t="s">
        <v>87</v>
      </c>
      <c r="N56" s="193" t="s">
        <v>88</v>
      </c>
      <c r="O56" s="193" t="s">
        <v>89</v>
      </c>
      <c r="P56" s="193" t="s">
        <v>90</v>
      </c>
      <c r="Q56" s="191"/>
      <c r="R56" s="191"/>
      <c r="S56" s="192"/>
      <c r="T56" s="192"/>
      <c r="U56" s="192"/>
      <c r="V56" s="192"/>
      <c r="W56" s="192"/>
      <c r="X56" s="192"/>
      <c r="Y56" s="192"/>
      <c r="Z56" s="192"/>
      <c r="AA56" s="192"/>
      <c r="AB56" s="192"/>
      <c r="AC56" s="192"/>
      <c r="AD56" s="192"/>
    </row>
    <row r="57" spans="1:30" x14ac:dyDescent="0.2">
      <c r="A57" s="466" t="str">
        <f>A38</f>
        <v xml:space="preserve">6. Implementar actividades de difusión del programa de Sistema de Cuidado con ciudadanía y actores territoriales </v>
      </c>
      <c r="B57" s="468">
        <f>B38</f>
        <v>0.05</v>
      </c>
      <c r="C57" s="194" t="s">
        <v>67</v>
      </c>
      <c r="D57" s="195">
        <f>D38*$B$38/$P$38</f>
        <v>0</v>
      </c>
      <c r="E57" s="195">
        <f t="shared" ref="D57:O58" si="4">E38*$B$38/$P$38</f>
        <v>5.0000000000000018E-3</v>
      </c>
      <c r="F57" s="195">
        <f t="shared" si="4"/>
        <v>4.7500000000000016E-3</v>
      </c>
      <c r="G57" s="195">
        <f t="shared" si="4"/>
        <v>4.7500000000000016E-3</v>
      </c>
      <c r="H57" s="195">
        <f t="shared" si="4"/>
        <v>4.7500000000000016E-3</v>
      </c>
      <c r="I57" s="195">
        <f t="shared" si="4"/>
        <v>4.7500000000000016E-3</v>
      </c>
      <c r="J57" s="195">
        <f t="shared" si="4"/>
        <v>4.7500000000000016E-3</v>
      </c>
      <c r="K57" s="195">
        <f t="shared" si="4"/>
        <v>4.7500000000000016E-3</v>
      </c>
      <c r="L57" s="195">
        <f t="shared" si="4"/>
        <v>4.7500000000000016E-3</v>
      </c>
      <c r="M57" s="195">
        <f t="shared" si="4"/>
        <v>4.7500000000000016E-3</v>
      </c>
      <c r="N57" s="195">
        <f t="shared" si="4"/>
        <v>4.7500000000000016E-3</v>
      </c>
      <c r="O57" s="195">
        <f t="shared" si="4"/>
        <v>2.2500000000000003E-3</v>
      </c>
      <c r="P57" s="196">
        <f t="shared" ref="P57:P62" si="5">SUM(D57:O57)</f>
        <v>5.0000000000000024E-2</v>
      </c>
      <c r="Q57" s="197">
        <v>0.05</v>
      </c>
      <c r="R57" s="198">
        <f t="shared" ref="R57:R65" si="6">+P57-Q57</f>
        <v>0</v>
      </c>
      <c r="S57" s="192"/>
      <c r="T57" s="192"/>
      <c r="U57" s="192"/>
      <c r="V57" s="192"/>
      <c r="W57" s="192"/>
      <c r="X57" s="192"/>
      <c r="Y57" s="192"/>
      <c r="Z57" s="192"/>
      <c r="AA57" s="192"/>
      <c r="AB57" s="192"/>
      <c r="AC57" s="192"/>
      <c r="AD57" s="192"/>
    </row>
    <row r="58" spans="1:30" x14ac:dyDescent="0.2">
      <c r="A58" s="467"/>
      <c r="B58" s="469"/>
      <c r="C58" s="199" t="s">
        <v>72</v>
      </c>
      <c r="D58" s="200">
        <f t="shared" si="4"/>
        <v>0</v>
      </c>
      <c r="E58" s="200">
        <f t="shared" si="4"/>
        <v>5.0000000000000018E-3</v>
      </c>
      <c r="F58" s="200">
        <f t="shared" si="4"/>
        <v>4.7500000000000016E-3</v>
      </c>
      <c r="G58" s="200">
        <f t="shared" si="4"/>
        <v>4.7500000000000016E-3</v>
      </c>
      <c r="H58" s="200">
        <f t="shared" si="4"/>
        <v>4.7500000000000016E-3</v>
      </c>
      <c r="I58" s="200">
        <f t="shared" si="4"/>
        <v>4.7500000000000016E-3</v>
      </c>
      <c r="J58" s="200">
        <f t="shared" si="4"/>
        <v>4.7500000000000016E-3</v>
      </c>
      <c r="K58" s="200">
        <f t="shared" si="4"/>
        <v>4.7500000000000016E-3</v>
      </c>
      <c r="L58" s="200">
        <f t="shared" si="4"/>
        <v>4.7500000000000016E-3</v>
      </c>
      <c r="M58" s="200">
        <f t="shared" si="4"/>
        <v>4.7500000000000016E-3</v>
      </c>
      <c r="N58" s="200" t="e">
        <f t="shared" si="4"/>
        <v>#VALUE!</v>
      </c>
      <c r="O58" s="200" t="e">
        <f t="shared" si="4"/>
        <v>#VALUE!</v>
      </c>
      <c r="P58" s="201" t="e">
        <f t="shared" si="5"/>
        <v>#VALUE!</v>
      </c>
      <c r="Q58" s="202" t="e">
        <f>+P58</f>
        <v>#VALUE!</v>
      </c>
      <c r="R58" s="198" t="e">
        <f t="shared" si="6"/>
        <v>#VALUE!</v>
      </c>
      <c r="S58" s="192"/>
      <c r="T58" s="192"/>
      <c r="U58" s="192"/>
      <c r="V58" s="192"/>
      <c r="W58" s="192"/>
      <c r="X58" s="192"/>
      <c r="Y58" s="192"/>
      <c r="Z58" s="192"/>
      <c r="AA58" s="192"/>
      <c r="AB58" s="192"/>
      <c r="AC58" s="192"/>
      <c r="AD58" s="192"/>
    </row>
    <row r="59" spans="1:30" x14ac:dyDescent="0.2">
      <c r="A59" s="466" t="str">
        <f>A40</f>
        <v>7. Articular las acciones intersectoriales para la puesta en operación de cinco (5) manzanas del cuidado</v>
      </c>
      <c r="B59" s="471">
        <f>B40</f>
        <v>0.05</v>
      </c>
      <c r="C59" s="194" t="s">
        <v>67</v>
      </c>
      <c r="D59" s="195">
        <f t="shared" ref="D59:O60" si="7">D40*$B$40/$P$40</f>
        <v>0</v>
      </c>
      <c r="E59" s="195">
        <f t="shared" si="7"/>
        <v>1.0000000000000002E-2</v>
      </c>
      <c r="F59" s="195">
        <f t="shared" si="7"/>
        <v>1.0000000000000002E-2</v>
      </c>
      <c r="G59" s="195">
        <f t="shared" si="7"/>
        <v>1.0000000000000002E-2</v>
      </c>
      <c r="H59" s="195">
        <f t="shared" si="7"/>
        <v>0</v>
      </c>
      <c r="I59" s="195">
        <f t="shared" si="7"/>
        <v>0</v>
      </c>
      <c r="J59" s="195">
        <f t="shared" si="7"/>
        <v>1.0000000000000002E-2</v>
      </c>
      <c r="K59" s="195">
        <f t="shared" si="7"/>
        <v>0</v>
      </c>
      <c r="L59" s="195">
        <f t="shared" si="7"/>
        <v>1.0000000000000002E-2</v>
      </c>
      <c r="M59" s="195">
        <f t="shared" si="7"/>
        <v>0</v>
      </c>
      <c r="N59" s="195">
        <f t="shared" si="7"/>
        <v>0</v>
      </c>
      <c r="O59" s="195">
        <f t="shared" si="7"/>
        <v>0</v>
      </c>
      <c r="P59" s="196">
        <f t="shared" si="5"/>
        <v>5.000000000000001E-2</v>
      </c>
      <c r="Q59" s="197">
        <v>2.5000000000000001E-2</v>
      </c>
      <c r="R59" s="198">
        <f t="shared" si="6"/>
        <v>2.5000000000000008E-2</v>
      </c>
      <c r="S59" s="192"/>
      <c r="T59" s="192"/>
      <c r="U59" s="192"/>
      <c r="V59" s="192"/>
      <c r="W59" s="192"/>
      <c r="X59" s="192"/>
      <c r="Y59" s="192"/>
      <c r="Z59" s="192"/>
      <c r="AA59" s="192"/>
      <c r="AB59" s="192"/>
      <c r="AC59" s="192"/>
      <c r="AD59" s="192"/>
    </row>
    <row r="60" spans="1:30" x14ac:dyDescent="0.2">
      <c r="A60" s="470"/>
      <c r="B60" s="472"/>
      <c r="C60" s="199" t="s">
        <v>72</v>
      </c>
      <c r="D60" s="200">
        <f t="shared" si="7"/>
        <v>0</v>
      </c>
      <c r="E60" s="200">
        <f t="shared" si="7"/>
        <v>1.0000000000000002E-2</v>
      </c>
      <c r="F60" s="200">
        <f t="shared" si="7"/>
        <v>1.0000000000000002E-2</v>
      </c>
      <c r="G60" s="200">
        <f t="shared" si="7"/>
        <v>5.000000000000001E-3</v>
      </c>
      <c r="H60" s="200">
        <f t="shared" si="7"/>
        <v>5.000000000000001E-3</v>
      </c>
      <c r="I60" s="200">
        <f t="shared" si="7"/>
        <v>0</v>
      </c>
      <c r="J60" s="200">
        <f t="shared" si="7"/>
        <v>1.0000000000000002E-2</v>
      </c>
      <c r="K60" s="200">
        <f t="shared" si="7"/>
        <v>0</v>
      </c>
      <c r="L60" s="200">
        <f t="shared" si="7"/>
        <v>1.0000000000000002E-2</v>
      </c>
      <c r="M60" s="200">
        <f t="shared" si="7"/>
        <v>0</v>
      </c>
      <c r="N60" s="200" t="e">
        <f t="shared" si="7"/>
        <v>#VALUE!</v>
      </c>
      <c r="O60" s="200" t="e">
        <f t="shared" si="7"/>
        <v>#VALUE!</v>
      </c>
      <c r="P60" s="201" t="e">
        <f t="shared" si="5"/>
        <v>#VALUE!</v>
      </c>
      <c r="Q60" s="202" t="e">
        <f>+P60</f>
        <v>#VALUE!</v>
      </c>
      <c r="R60" s="198" t="e">
        <f t="shared" si="6"/>
        <v>#VALUE!</v>
      </c>
      <c r="S60" s="192"/>
      <c r="T60" s="192"/>
      <c r="U60" s="192"/>
      <c r="V60" s="192"/>
      <c r="W60" s="192"/>
      <c r="X60" s="192"/>
      <c r="Y60" s="192"/>
      <c r="Z60" s="192"/>
      <c r="AA60" s="192"/>
      <c r="AB60" s="192"/>
      <c r="AC60" s="192"/>
      <c r="AD60" s="192"/>
    </row>
    <row r="61" spans="1:30" x14ac:dyDescent="0.2">
      <c r="A61" s="466" t="str">
        <f>A42</f>
        <v>8. Convocar y gestionar las sesiones de las Mesas Locales de las Manzanas del Cuidado que se encuentran en funcionamiento</v>
      </c>
      <c r="B61" s="471">
        <f>B42</f>
        <v>0.05</v>
      </c>
      <c r="C61" s="194" t="s">
        <v>67</v>
      </c>
      <c r="D61" s="195">
        <f t="shared" ref="D61:O62" si="8">D42*$B$42/$P$42</f>
        <v>0</v>
      </c>
      <c r="E61" s="195">
        <f t="shared" si="8"/>
        <v>4.5000000000000005E-3</v>
      </c>
      <c r="F61" s="195">
        <f t="shared" si="8"/>
        <v>4.5450000000000004E-3</v>
      </c>
      <c r="G61" s="195">
        <f t="shared" si="8"/>
        <v>4.5450000000000004E-3</v>
      </c>
      <c r="H61" s="195">
        <f t="shared" si="8"/>
        <v>4.5450000000000004E-3</v>
      </c>
      <c r="I61" s="195">
        <f t="shared" si="8"/>
        <v>4.5450000000000004E-3</v>
      </c>
      <c r="J61" s="195">
        <f t="shared" si="8"/>
        <v>4.5450000000000004E-3</v>
      </c>
      <c r="K61" s="195">
        <f t="shared" si="8"/>
        <v>4.5450000000000004E-3</v>
      </c>
      <c r="L61" s="195">
        <f t="shared" si="8"/>
        <v>4.5450000000000004E-3</v>
      </c>
      <c r="M61" s="195">
        <f t="shared" si="8"/>
        <v>4.5450000000000004E-3</v>
      </c>
      <c r="N61" s="195">
        <f t="shared" si="8"/>
        <v>4.5450000000000004E-3</v>
      </c>
      <c r="O61" s="195">
        <f t="shared" si="8"/>
        <v>4.595000000000001E-3</v>
      </c>
      <c r="P61" s="196">
        <f t="shared" si="5"/>
        <v>5.000000000000001E-2</v>
      </c>
      <c r="Q61" s="197">
        <v>2.5000000000000001E-2</v>
      </c>
      <c r="R61" s="198">
        <f t="shared" si="6"/>
        <v>2.5000000000000008E-2</v>
      </c>
      <c r="S61" s="192"/>
      <c r="T61" s="192"/>
      <c r="U61" s="192"/>
      <c r="V61" s="192"/>
      <c r="W61" s="192"/>
      <c r="X61" s="192"/>
      <c r="Y61" s="192"/>
      <c r="Z61" s="192"/>
      <c r="AA61" s="192"/>
      <c r="AB61" s="192"/>
      <c r="AC61" s="192"/>
      <c r="AD61" s="192"/>
    </row>
    <row r="62" spans="1:30" x14ac:dyDescent="0.2">
      <c r="A62" s="470"/>
      <c r="B62" s="472"/>
      <c r="C62" s="199" t="s">
        <v>72</v>
      </c>
      <c r="D62" s="200">
        <f t="shared" si="8"/>
        <v>0</v>
      </c>
      <c r="E62" s="200">
        <f t="shared" si="8"/>
        <v>4.5000000000000005E-3</v>
      </c>
      <c r="F62" s="200">
        <f t="shared" si="8"/>
        <v>4.5450000000000004E-3</v>
      </c>
      <c r="G62" s="200">
        <f t="shared" si="8"/>
        <v>4.5450000000000004E-3</v>
      </c>
      <c r="H62" s="200">
        <f t="shared" si="8"/>
        <v>4.5450000000000004E-3</v>
      </c>
      <c r="I62" s="200">
        <f t="shared" si="8"/>
        <v>4.5450000000000004E-3</v>
      </c>
      <c r="J62" s="200">
        <f t="shared" si="8"/>
        <v>4.5450000000000004E-3</v>
      </c>
      <c r="K62" s="200">
        <f t="shared" si="8"/>
        <v>4.5450000000000004E-3</v>
      </c>
      <c r="L62" s="200">
        <f t="shared" si="8"/>
        <v>4.5450000000000004E-3</v>
      </c>
      <c r="M62" s="200">
        <f t="shared" si="8"/>
        <v>4.5450000000000004E-3</v>
      </c>
      <c r="N62" s="200" t="e">
        <f t="shared" si="8"/>
        <v>#VALUE!</v>
      </c>
      <c r="O62" s="200" t="e">
        <f t="shared" si="8"/>
        <v>#VALUE!</v>
      </c>
      <c r="P62" s="201" t="e">
        <f t="shared" si="5"/>
        <v>#VALUE!</v>
      </c>
      <c r="Q62" s="202" t="e">
        <f>+P62</f>
        <v>#VALUE!</v>
      </c>
      <c r="R62" s="198" t="e">
        <f t="shared" si="6"/>
        <v>#VALUE!</v>
      </c>
      <c r="S62" s="192"/>
      <c r="T62" s="192"/>
      <c r="U62" s="192"/>
      <c r="V62" s="192"/>
      <c r="W62" s="192"/>
      <c r="X62" s="192"/>
      <c r="Y62" s="192"/>
      <c r="Z62" s="192"/>
      <c r="AA62" s="192"/>
      <c r="AB62" s="192"/>
      <c r="AC62" s="192"/>
      <c r="AD62" s="192"/>
    </row>
    <row r="63" spans="1:30" x14ac:dyDescent="0.2">
      <c r="A63" s="204"/>
      <c r="B63" s="205"/>
      <c r="C63" s="206"/>
      <c r="D63" s="195"/>
      <c r="E63" s="195"/>
      <c r="F63" s="195"/>
      <c r="G63" s="195"/>
      <c r="H63" s="195"/>
      <c r="I63" s="195"/>
      <c r="J63" s="195"/>
      <c r="K63" s="195"/>
      <c r="L63" s="195"/>
      <c r="M63" s="195"/>
      <c r="N63" s="195"/>
      <c r="O63" s="195"/>
      <c r="P63" s="207"/>
      <c r="Q63" s="197"/>
      <c r="R63" s="198"/>
      <c r="S63" s="192"/>
      <c r="T63" s="192"/>
      <c r="U63" s="192"/>
      <c r="V63" s="192"/>
      <c r="W63" s="192"/>
      <c r="X63" s="192"/>
      <c r="Y63" s="192"/>
      <c r="Z63" s="192"/>
      <c r="AA63" s="192"/>
      <c r="AB63" s="192"/>
      <c r="AC63" s="192"/>
      <c r="AD63" s="192"/>
    </row>
    <row r="64" spans="1:30" x14ac:dyDescent="0.2">
      <c r="A64" s="208"/>
      <c r="B64" s="209"/>
      <c r="C64" s="206"/>
      <c r="D64" s="210"/>
      <c r="E64" s="210"/>
      <c r="F64" s="210"/>
      <c r="G64" s="210"/>
      <c r="H64" s="210"/>
      <c r="I64" s="210"/>
      <c r="J64" s="210"/>
      <c r="K64" s="210"/>
      <c r="L64" s="210"/>
      <c r="M64" s="210"/>
      <c r="N64" s="210"/>
      <c r="O64" s="210"/>
      <c r="P64" s="207"/>
      <c r="Q64" s="202"/>
      <c r="R64" s="198"/>
      <c r="S64" s="192"/>
      <c r="T64" s="192"/>
      <c r="U64" s="192"/>
      <c r="V64" s="192"/>
      <c r="W64" s="192"/>
      <c r="X64" s="192"/>
      <c r="Y64" s="192"/>
      <c r="Z64" s="192"/>
      <c r="AA64" s="192"/>
      <c r="AB64" s="192"/>
      <c r="AC64" s="192"/>
      <c r="AD64" s="192"/>
    </row>
    <row r="65" spans="1:30" x14ac:dyDescent="0.2">
      <c r="A65" s="191"/>
      <c r="B65" s="211"/>
      <c r="C65" s="212"/>
      <c r="D65" s="213">
        <f>D58+D60+D62</f>
        <v>0</v>
      </c>
      <c r="E65" s="213">
        <f t="shared" ref="E65:O65" si="9">E58+E60+E62</f>
        <v>1.9500000000000003E-2</v>
      </c>
      <c r="F65" s="213">
        <f t="shared" si="9"/>
        <v>1.9295000000000003E-2</v>
      </c>
      <c r="G65" s="213">
        <f t="shared" si="9"/>
        <v>1.4295000000000002E-2</v>
      </c>
      <c r="H65" s="213">
        <f t="shared" si="9"/>
        <v>1.4295000000000002E-2</v>
      </c>
      <c r="I65" s="213">
        <f t="shared" si="9"/>
        <v>9.2950000000000012E-3</v>
      </c>
      <c r="J65" s="213">
        <f t="shared" si="9"/>
        <v>1.9295000000000003E-2</v>
      </c>
      <c r="K65" s="213">
        <f t="shared" si="9"/>
        <v>9.2950000000000012E-3</v>
      </c>
      <c r="L65" s="213">
        <f t="shared" si="9"/>
        <v>1.9295000000000003E-2</v>
      </c>
      <c r="M65" s="213">
        <f t="shared" si="9"/>
        <v>9.2950000000000012E-3</v>
      </c>
      <c r="N65" s="213" t="e">
        <f t="shared" si="9"/>
        <v>#VALUE!</v>
      </c>
      <c r="O65" s="213" t="e">
        <f t="shared" si="9"/>
        <v>#VALUE!</v>
      </c>
      <c r="P65" s="213" t="e">
        <f>P58+P60+P62</f>
        <v>#VALUE!</v>
      </c>
      <c r="Q65" s="191"/>
      <c r="R65" s="198" t="e">
        <f t="shared" si="6"/>
        <v>#VALUE!</v>
      </c>
      <c r="S65" s="192"/>
      <c r="T65" s="192"/>
      <c r="U65" s="192"/>
      <c r="V65" s="192"/>
      <c r="W65" s="192"/>
      <c r="X65" s="192"/>
      <c r="Y65" s="192"/>
      <c r="Z65" s="192"/>
      <c r="AA65" s="192"/>
      <c r="AB65" s="192"/>
      <c r="AC65" s="192"/>
      <c r="AD65" s="192"/>
    </row>
    <row r="66" spans="1:30" x14ac:dyDescent="0.2">
      <c r="A66" s="191"/>
      <c r="B66" s="214"/>
      <c r="C66" s="215" t="s">
        <v>72</v>
      </c>
      <c r="D66" s="216">
        <f>D65*$W$17/$B$34</f>
        <v>0</v>
      </c>
      <c r="E66" s="216">
        <f t="shared" ref="E66:O66" si="10">E65*$W$17/$B$34</f>
        <v>3.2500000000000008E-2</v>
      </c>
      <c r="F66" s="216">
        <f t="shared" si="10"/>
        <v>3.2158333333333337E-2</v>
      </c>
      <c r="G66" s="216">
        <f t="shared" si="10"/>
        <v>2.3825000000000006E-2</v>
      </c>
      <c r="H66" s="216">
        <f t="shared" si="10"/>
        <v>2.3825000000000006E-2</v>
      </c>
      <c r="I66" s="216">
        <f t="shared" si="10"/>
        <v>1.5491666666666669E-2</v>
      </c>
      <c r="J66" s="216">
        <f t="shared" si="10"/>
        <v>3.2158333333333337E-2</v>
      </c>
      <c r="K66" s="216">
        <f t="shared" si="10"/>
        <v>1.5491666666666669E-2</v>
      </c>
      <c r="L66" s="216">
        <f t="shared" si="10"/>
        <v>3.2158333333333337E-2</v>
      </c>
      <c r="M66" s="216">
        <f t="shared" si="10"/>
        <v>1.5491666666666669E-2</v>
      </c>
      <c r="N66" s="216" t="e">
        <f t="shared" si="10"/>
        <v>#VALUE!</v>
      </c>
      <c r="O66" s="216" t="e">
        <f t="shared" si="10"/>
        <v>#VALUE!</v>
      </c>
      <c r="P66" s="217" t="e">
        <f>SUM(D66:O66)</f>
        <v>#VALUE!</v>
      </c>
      <c r="Q66" s="218"/>
      <c r="R66" s="191"/>
      <c r="S66" s="192"/>
      <c r="T66" s="192"/>
      <c r="U66" s="192"/>
      <c r="V66" s="192"/>
      <c r="W66" s="192"/>
      <c r="X66" s="192"/>
      <c r="Y66" s="192"/>
      <c r="Z66" s="192"/>
      <c r="AA66" s="192"/>
      <c r="AB66" s="192"/>
      <c r="AC66" s="192"/>
      <c r="AD66" s="192"/>
    </row>
    <row r="67" spans="1:30" x14ac:dyDescent="0.2">
      <c r="A67" s="218"/>
      <c r="B67" s="219"/>
      <c r="C67" s="219"/>
      <c r="D67" s="219"/>
      <c r="E67" s="219"/>
      <c r="F67" s="219"/>
      <c r="G67" s="219"/>
      <c r="H67" s="219"/>
      <c r="I67" s="219"/>
      <c r="J67" s="219"/>
      <c r="K67" s="219"/>
      <c r="L67" s="219"/>
      <c r="M67" s="219"/>
      <c r="N67" s="219"/>
      <c r="O67" s="219"/>
      <c r="P67" s="219"/>
      <c r="Q67" s="218"/>
      <c r="R67" s="218"/>
      <c r="S67" s="192"/>
      <c r="T67" s="192"/>
      <c r="U67" s="192"/>
      <c r="V67" s="192"/>
      <c r="W67" s="192"/>
      <c r="X67" s="192"/>
      <c r="Y67" s="192"/>
      <c r="Z67" s="192"/>
      <c r="AA67" s="192"/>
      <c r="AB67" s="192"/>
      <c r="AC67" s="192"/>
      <c r="AD67" s="192"/>
    </row>
    <row r="68" spans="1:30" x14ac:dyDescent="0.2">
      <c r="A68" s="197"/>
      <c r="B68" s="108"/>
      <c r="C68" s="108"/>
      <c r="D68" s="213">
        <f t="shared" ref="D68:P68" si="11">+D57+D59+D61</f>
        <v>0</v>
      </c>
      <c r="E68" s="213">
        <f t="shared" si="11"/>
        <v>1.9500000000000003E-2</v>
      </c>
      <c r="F68" s="213">
        <f t="shared" si="11"/>
        <v>1.9295000000000003E-2</v>
      </c>
      <c r="G68" s="213">
        <f t="shared" si="11"/>
        <v>1.9295000000000003E-2</v>
      </c>
      <c r="H68" s="213">
        <f t="shared" si="11"/>
        <v>9.2950000000000012E-3</v>
      </c>
      <c r="I68" s="213">
        <f t="shared" si="11"/>
        <v>9.2950000000000012E-3</v>
      </c>
      <c r="J68" s="213">
        <f t="shared" si="11"/>
        <v>1.9295000000000003E-2</v>
      </c>
      <c r="K68" s="213">
        <f t="shared" si="11"/>
        <v>9.2950000000000012E-3</v>
      </c>
      <c r="L68" s="213">
        <f t="shared" si="11"/>
        <v>1.9295000000000003E-2</v>
      </c>
      <c r="M68" s="213">
        <f t="shared" si="11"/>
        <v>9.2950000000000012E-3</v>
      </c>
      <c r="N68" s="213">
        <f t="shared" si="11"/>
        <v>9.2950000000000012E-3</v>
      </c>
      <c r="O68" s="213">
        <f t="shared" si="11"/>
        <v>6.8450000000000013E-3</v>
      </c>
      <c r="P68" s="213">
        <f t="shared" si="11"/>
        <v>0.15000000000000005</v>
      </c>
      <c r="Q68" s="197"/>
      <c r="R68" s="197"/>
      <c r="S68" s="192"/>
      <c r="T68" s="192"/>
      <c r="U68" s="192"/>
      <c r="V68" s="192"/>
      <c r="W68" s="192"/>
      <c r="X68" s="192"/>
      <c r="Y68" s="192"/>
      <c r="Z68" s="192"/>
      <c r="AA68" s="192"/>
      <c r="AB68" s="192"/>
      <c r="AC68" s="192"/>
      <c r="AD68" s="192"/>
    </row>
    <row r="69" spans="1:30" x14ac:dyDescent="0.2">
      <c r="A69" s="197"/>
      <c r="B69" s="108"/>
      <c r="C69" s="215" t="s">
        <v>67</v>
      </c>
      <c r="D69" s="216">
        <f t="shared" ref="D69:O69" si="12">D68*$W$17/$B$34</f>
        <v>0</v>
      </c>
      <c r="E69" s="216">
        <f t="shared" si="12"/>
        <v>3.2500000000000008E-2</v>
      </c>
      <c r="F69" s="216">
        <f t="shared" si="12"/>
        <v>3.2158333333333337E-2</v>
      </c>
      <c r="G69" s="216">
        <f t="shared" si="12"/>
        <v>3.2158333333333337E-2</v>
      </c>
      <c r="H69" s="216">
        <f t="shared" si="12"/>
        <v>1.5491666666666669E-2</v>
      </c>
      <c r="I69" s="216">
        <f t="shared" si="12"/>
        <v>1.5491666666666669E-2</v>
      </c>
      <c r="J69" s="216">
        <f t="shared" si="12"/>
        <v>3.2158333333333337E-2</v>
      </c>
      <c r="K69" s="216">
        <f t="shared" si="12"/>
        <v>1.5491666666666669E-2</v>
      </c>
      <c r="L69" s="216">
        <f t="shared" si="12"/>
        <v>3.2158333333333337E-2</v>
      </c>
      <c r="M69" s="216">
        <f t="shared" si="12"/>
        <v>1.5491666666666669E-2</v>
      </c>
      <c r="N69" s="216">
        <f t="shared" si="12"/>
        <v>1.5491666666666669E-2</v>
      </c>
      <c r="O69" s="216">
        <f t="shared" si="12"/>
        <v>1.1408333333333336E-2</v>
      </c>
      <c r="P69" s="217">
        <f>SUM(D69:O69)</f>
        <v>0.25000000000000011</v>
      </c>
      <c r="Q69" s="197"/>
      <c r="R69" s="197"/>
      <c r="S69" s="192"/>
      <c r="T69" s="192"/>
      <c r="U69" s="192"/>
      <c r="V69" s="192"/>
      <c r="W69" s="192"/>
      <c r="X69" s="192"/>
      <c r="Y69" s="192"/>
      <c r="Z69" s="192"/>
      <c r="AA69" s="192"/>
      <c r="AB69" s="192"/>
      <c r="AC69" s="192"/>
      <c r="AD69" s="192"/>
    </row>
    <row r="70" spans="1:30" x14ac:dyDescent="0.2">
      <c r="A70" s="192"/>
      <c r="Q70" s="192"/>
      <c r="R70" s="192"/>
      <c r="S70" s="192"/>
      <c r="T70" s="192"/>
      <c r="U70" s="192"/>
      <c r="V70" s="192"/>
      <c r="W70" s="192"/>
      <c r="X70" s="192"/>
      <c r="Y70" s="192"/>
      <c r="Z70" s="192"/>
      <c r="AA70" s="192"/>
      <c r="AB70" s="192"/>
      <c r="AC70" s="192"/>
      <c r="AD70" s="192"/>
    </row>
    <row r="71" spans="1:30" x14ac:dyDescent="0.2">
      <c r="A71" s="192"/>
      <c r="Q71" s="192"/>
      <c r="R71" s="192"/>
      <c r="S71" s="192"/>
      <c r="T71" s="192"/>
      <c r="U71" s="192"/>
      <c r="V71" s="192"/>
      <c r="W71" s="192"/>
      <c r="X71" s="192"/>
      <c r="Y71" s="192"/>
      <c r="Z71" s="192"/>
      <c r="AA71" s="192"/>
      <c r="AB71" s="192"/>
      <c r="AC71" s="192"/>
      <c r="AD71" s="192"/>
    </row>
    <row r="72" spans="1:30" x14ac:dyDescent="0.2">
      <c r="A72" s="192"/>
      <c r="Q72" s="192"/>
      <c r="R72" s="192"/>
      <c r="S72" s="192"/>
      <c r="T72" s="192"/>
      <c r="U72" s="192"/>
      <c r="V72" s="192"/>
      <c r="W72" s="192"/>
      <c r="X72" s="192"/>
      <c r="Y72" s="192"/>
      <c r="Z72" s="192"/>
      <c r="AA72" s="192"/>
      <c r="AB72" s="192"/>
      <c r="AC72" s="192"/>
      <c r="AD72" s="192"/>
    </row>
    <row r="73" spans="1:30" x14ac:dyDescent="0.2">
      <c r="A73" s="192"/>
      <c r="Q73" s="192"/>
      <c r="R73" s="192"/>
      <c r="S73" s="192"/>
      <c r="T73" s="192"/>
      <c r="U73" s="192"/>
      <c r="V73" s="192"/>
      <c r="W73" s="192"/>
      <c r="X73" s="192"/>
      <c r="Y73" s="192"/>
      <c r="Z73" s="192"/>
      <c r="AA73" s="192"/>
      <c r="AB73" s="192"/>
      <c r="AC73" s="192"/>
      <c r="AD73" s="192"/>
    </row>
    <row r="74" spans="1:30" x14ac:dyDescent="0.2">
      <c r="A74" s="192"/>
      <c r="Q74" s="192"/>
      <c r="R74" s="192"/>
      <c r="S74" s="192"/>
      <c r="T74" s="192"/>
      <c r="U74" s="192"/>
      <c r="V74" s="192"/>
      <c r="W74" s="192"/>
      <c r="X74" s="192"/>
      <c r="Y74" s="192"/>
      <c r="Z74" s="192"/>
      <c r="AA74" s="192"/>
      <c r="AB74" s="192"/>
      <c r="AC74" s="192"/>
      <c r="AD74" s="192"/>
    </row>
    <row r="75" spans="1:30" x14ac:dyDescent="0.2">
      <c r="A75" s="192"/>
      <c r="Q75" s="192"/>
      <c r="R75" s="192"/>
      <c r="S75" s="192"/>
      <c r="T75" s="192"/>
      <c r="U75" s="192"/>
      <c r="V75" s="192"/>
      <c r="W75" s="192"/>
      <c r="X75" s="192"/>
      <c r="Y75" s="192"/>
      <c r="Z75" s="192"/>
      <c r="AA75" s="192"/>
      <c r="AB75" s="192"/>
      <c r="AC75" s="192"/>
      <c r="AD75" s="192"/>
    </row>
    <row r="76" spans="1:30" x14ac:dyDescent="0.2">
      <c r="A76" s="192"/>
      <c r="Q76" s="192"/>
      <c r="R76" s="192"/>
      <c r="S76" s="192"/>
      <c r="T76" s="192"/>
      <c r="U76" s="192"/>
      <c r="V76" s="192"/>
      <c r="W76" s="192"/>
      <c r="X76" s="192"/>
      <c r="Y76" s="192"/>
      <c r="Z76" s="192"/>
      <c r="AA76" s="192"/>
      <c r="AB76" s="192"/>
      <c r="AC76" s="192"/>
      <c r="AD76" s="192"/>
    </row>
    <row r="77" spans="1:30" x14ac:dyDescent="0.2">
      <c r="A77" s="192"/>
      <c r="Q77" s="192"/>
      <c r="R77" s="192"/>
      <c r="S77" s="192"/>
      <c r="T77" s="192"/>
      <c r="U77" s="192"/>
      <c r="V77" s="192"/>
      <c r="W77" s="192"/>
      <c r="X77" s="192"/>
      <c r="Y77" s="192"/>
      <c r="Z77" s="192"/>
      <c r="AA77" s="192"/>
      <c r="AB77" s="192"/>
      <c r="AC77" s="192"/>
      <c r="AD77" s="192"/>
    </row>
    <row r="78" spans="1:30" x14ac:dyDescent="0.2">
      <c r="A78" s="192"/>
      <c r="Q78" s="192"/>
      <c r="R78" s="192"/>
      <c r="S78" s="192"/>
      <c r="T78" s="192"/>
      <c r="U78" s="192"/>
      <c r="V78" s="192"/>
      <c r="W78" s="192"/>
      <c r="X78" s="192"/>
      <c r="Y78" s="192"/>
      <c r="Z78" s="192"/>
      <c r="AA78" s="192"/>
      <c r="AB78" s="192"/>
      <c r="AC78" s="192"/>
      <c r="AD78" s="192"/>
    </row>
    <row r="79" spans="1:30" x14ac:dyDescent="0.2">
      <c r="A79" s="192"/>
      <c r="Q79" s="192"/>
      <c r="R79" s="192"/>
      <c r="S79" s="192"/>
      <c r="T79" s="192"/>
      <c r="U79" s="192"/>
      <c r="V79" s="192"/>
      <c r="W79" s="192"/>
      <c r="X79" s="192"/>
      <c r="Y79" s="192"/>
      <c r="Z79" s="192"/>
      <c r="AA79" s="192"/>
      <c r="AB79" s="192"/>
      <c r="AC79" s="192"/>
      <c r="AD79" s="192"/>
    </row>
    <row r="80" spans="1:30" x14ac:dyDescent="0.2">
      <c r="A80" s="192"/>
      <c r="Q80" s="192"/>
      <c r="R80" s="192"/>
      <c r="S80" s="192"/>
      <c r="T80" s="192"/>
      <c r="U80" s="192"/>
      <c r="V80" s="192"/>
      <c r="W80" s="192"/>
      <c r="X80" s="192"/>
      <c r="Y80" s="192"/>
      <c r="Z80" s="192"/>
      <c r="AA80" s="192"/>
      <c r="AB80" s="192"/>
      <c r="AC80" s="192"/>
      <c r="AD80" s="192"/>
    </row>
    <row r="81" spans="1:30" x14ac:dyDescent="0.2">
      <c r="A81" s="192"/>
      <c r="Q81" s="192"/>
      <c r="R81" s="192"/>
      <c r="S81" s="192"/>
      <c r="T81" s="192"/>
      <c r="U81" s="192"/>
      <c r="V81" s="192"/>
      <c r="W81" s="192"/>
      <c r="X81" s="192"/>
      <c r="Y81" s="192"/>
      <c r="Z81" s="192"/>
      <c r="AA81" s="192"/>
      <c r="AB81" s="192"/>
      <c r="AC81" s="192"/>
      <c r="AD81" s="192"/>
    </row>
    <row r="82" spans="1:30" x14ac:dyDescent="0.2">
      <c r="A82" s="192"/>
      <c r="Q82" s="192"/>
      <c r="R82" s="192"/>
      <c r="S82" s="192"/>
      <c r="T82" s="192"/>
      <c r="U82" s="192"/>
      <c r="V82" s="192"/>
      <c r="W82" s="192"/>
      <c r="X82" s="192"/>
      <c r="Y82" s="192"/>
      <c r="Z82" s="192"/>
      <c r="AA82" s="192"/>
      <c r="AB82" s="192"/>
      <c r="AC82" s="192"/>
      <c r="AD82" s="192"/>
    </row>
    <row r="83" spans="1:30" x14ac:dyDescent="0.2">
      <c r="A83" s="192"/>
      <c r="Q83" s="192"/>
      <c r="R83" s="192"/>
      <c r="S83" s="192"/>
      <c r="T83" s="192"/>
      <c r="U83" s="192"/>
      <c r="V83" s="192"/>
      <c r="W83" s="192"/>
      <c r="X83" s="192"/>
      <c r="Y83" s="192"/>
      <c r="Z83" s="192"/>
      <c r="AA83" s="192"/>
      <c r="AB83" s="192"/>
      <c r="AC83" s="192"/>
      <c r="AD83" s="192"/>
    </row>
    <row r="84" spans="1:30" x14ac:dyDescent="0.2">
      <c r="A84" s="192"/>
      <c r="Q84" s="192"/>
      <c r="R84" s="192"/>
      <c r="S84" s="192"/>
      <c r="T84" s="192"/>
      <c r="U84" s="192"/>
      <c r="V84" s="192"/>
      <c r="W84" s="192"/>
      <c r="X84" s="192"/>
      <c r="Y84" s="192"/>
      <c r="Z84" s="192"/>
      <c r="AA84" s="192"/>
      <c r="AB84" s="192"/>
      <c r="AC84" s="192"/>
      <c r="AD84" s="192"/>
    </row>
    <row r="85" spans="1:30" x14ac:dyDescent="0.2">
      <c r="A85" s="192"/>
      <c r="Q85" s="192"/>
      <c r="R85" s="192"/>
      <c r="S85" s="192"/>
      <c r="T85" s="192"/>
      <c r="U85" s="192"/>
      <c r="V85" s="192"/>
      <c r="W85" s="192"/>
      <c r="X85" s="192"/>
      <c r="Y85" s="192"/>
      <c r="Z85" s="192"/>
      <c r="AA85" s="192"/>
      <c r="AB85" s="192"/>
      <c r="AC85" s="192"/>
      <c r="AD85" s="192"/>
    </row>
    <row r="86" spans="1:30" x14ac:dyDescent="0.2">
      <c r="A86" s="192"/>
      <c r="Q86" s="192"/>
      <c r="R86" s="192"/>
      <c r="S86" s="192"/>
      <c r="T86" s="192"/>
      <c r="U86" s="192"/>
      <c r="V86" s="192"/>
      <c r="W86" s="192"/>
      <c r="X86" s="192"/>
      <c r="Y86" s="192"/>
      <c r="Z86" s="192"/>
      <c r="AA86" s="192"/>
      <c r="AB86" s="192"/>
      <c r="AC86" s="192"/>
      <c r="AD86" s="192"/>
    </row>
    <row r="87" spans="1:30" x14ac:dyDescent="0.2">
      <c r="A87" s="192"/>
      <c r="Q87" s="192"/>
      <c r="R87" s="192"/>
      <c r="S87" s="192"/>
      <c r="T87" s="192"/>
      <c r="U87" s="192"/>
      <c r="V87" s="192"/>
      <c r="W87" s="192"/>
      <c r="X87" s="192"/>
      <c r="Y87" s="192"/>
      <c r="Z87" s="192"/>
      <c r="AA87" s="192"/>
      <c r="AB87" s="192"/>
      <c r="AC87" s="192"/>
      <c r="AD87" s="192"/>
    </row>
    <row r="88" spans="1:30" x14ac:dyDescent="0.2">
      <c r="A88" s="192"/>
      <c r="Q88" s="192"/>
      <c r="R88" s="192"/>
      <c r="S88" s="192"/>
      <c r="T88" s="192"/>
      <c r="U88" s="192"/>
      <c r="V88" s="192"/>
      <c r="W88" s="192"/>
      <c r="X88" s="192"/>
      <c r="Y88" s="192"/>
      <c r="Z88" s="192"/>
      <c r="AA88" s="192"/>
      <c r="AB88" s="192"/>
      <c r="AC88" s="192"/>
      <c r="AD88" s="192"/>
    </row>
    <row r="89" spans="1:30" x14ac:dyDescent="0.2">
      <c r="A89" s="192"/>
      <c r="Q89" s="192"/>
      <c r="R89" s="192"/>
      <c r="S89" s="192"/>
      <c r="T89" s="192"/>
      <c r="U89" s="192"/>
      <c r="V89" s="192"/>
      <c r="W89" s="192"/>
      <c r="X89" s="192"/>
      <c r="Y89" s="192"/>
      <c r="Z89" s="192"/>
      <c r="AA89" s="192"/>
      <c r="AB89" s="192"/>
      <c r="AC89" s="192"/>
      <c r="AD89" s="192"/>
    </row>
    <row r="90" spans="1:30" x14ac:dyDescent="0.2">
      <c r="A90" s="192"/>
      <c r="Q90" s="192"/>
      <c r="R90" s="192"/>
      <c r="S90" s="192"/>
      <c r="T90" s="192"/>
      <c r="U90" s="192"/>
      <c r="V90" s="192"/>
      <c r="W90" s="192"/>
      <c r="X90" s="192"/>
      <c r="Y90" s="192"/>
      <c r="Z90" s="192"/>
      <c r="AA90" s="192"/>
      <c r="AB90" s="192"/>
      <c r="AC90" s="192"/>
      <c r="AD90" s="192"/>
    </row>
    <row r="91" spans="1:30" x14ac:dyDescent="0.2">
      <c r="A91" s="192"/>
      <c r="Q91" s="192"/>
      <c r="R91" s="192"/>
      <c r="S91" s="192"/>
      <c r="T91" s="192"/>
      <c r="U91" s="192"/>
      <c r="V91" s="192"/>
      <c r="W91" s="192"/>
      <c r="X91" s="192"/>
      <c r="Y91" s="192"/>
      <c r="Z91" s="192"/>
      <c r="AA91" s="192"/>
      <c r="AB91" s="192"/>
      <c r="AC91" s="192"/>
      <c r="AD91" s="192"/>
    </row>
    <row r="92" spans="1:30" x14ac:dyDescent="0.2">
      <c r="A92" s="192"/>
      <c r="Q92" s="192"/>
      <c r="R92" s="192"/>
      <c r="S92" s="192"/>
      <c r="T92" s="192"/>
      <c r="U92" s="192"/>
      <c r="V92" s="192"/>
      <c r="W92" s="192"/>
      <c r="X92" s="192"/>
      <c r="Y92" s="192"/>
      <c r="Z92" s="192"/>
      <c r="AA92" s="192"/>
      <c r="AB92" s="192"/>
      <c r="AC92" s="192"/>
      <c r="AD92" s="192"/>
    </row>
    <row r="93" spans="1:30" x14ac:dyDescent="0.2">
      <c r="A93" s="192"/>
      <c r="Q93" s="192"/>
      <c r="R93" s="192"/>
      <c r="S93" s="192"/>
      <c r="T93" s="192"/>
      <c r="U93" s="192"/>
      <c r="V93" s="192"/>
      <c r="W93" s="192"/>
      <c r="X93" s="192"/>
      <c r="Y93" s="192"/>
      <c r="Z93" s="192"/>
      <c r="AA93" s="192"/>
      <c r="AB93" s="192"/>
      <c r="AC93" s="192"/>
      <c r="AD93" s="192"/>
    </row>
    <row r="94" spans="1:30" x14ac:dyDescent="0.2">
      <c r="A94" s="192"/>
      <c r="Q94" s="192"/>
      <c r="R94" s="192"/>
      <c r="S94" s="192"/>
      <c r="T94" s="192"/>
      <c r="U94" s="192"/>
      <c r="V94" s="192"/>
      <c r="W94" s="192"/>
      <c r="X94" s="192"/>
      <c r="Y94" s="192"/>
      <c r="Z94" s="192"/>
      <c r="AA94" s="192"/>
      <c r="AB94" s="192"/>
      <c r="AC94" s="192"/>
      <c r="AD94" s="192"/>
    </row>
    <row r="95" spans="1:30" x14ac:dyDescent="0.2">
      <c r="A95" s="192"/>
      <c r="Q95" s="192"/>
      <c r="R95" s="192"/>
      <c r="S95" s="192"/>
      <c r="T95" s="192"/>
      <c r="U95" s="192"/>
      <c r="V95" s="192"/>
      <c r="W95" s="192"/>
      <c r="X95" s="192"/>
      <c r="Y95" s="192"/>
      <c r="Z95" s="192"/>
      <c r="AA95" s="192"/>
      <c r="AB95" s="192"/>
      <c r="AC95" s="192"/>
      <c r="AD95" s="192"/>
    </row>
    <row r="96" spans="1:30" x14ac:dyDescent="0.2">
      <c r="A96" s="192"/>
      <c r="Q96" s="192"/>
      <c r="R96" s="192"/>
      <c r="S96" s="192"/>
      <c r="T96" s="192"/>
      <c r="U96" s="192"/>
      <c r="V96" s="192"/>
      <c r="W96" s="192"/>
      <c r="X96" s="192"/>
      <c r="Y96" s="192"/>
      <c r="Z96" s="192"/>
      <c r="AA96" s="192"/>
      <c r="AB96" s="192"/>
      <c r="AC96" s="192"/>
      <c r="AD96" s="192"/>
    </row>
    <row r="97" spans="1:30" x14ac:dyDescent="0.2">
      <c r="A97" s="192"/>
      <c r="Q97" s="192"/>
      <c r="R97" s="192"/>
      <c r="S97" s="192"/>
      <c r="T97" s="192"/>
      <c r="U97" s="192"/>
      <c r="V97" s="192"/>
      <c r="W97" s="192"/>
      <c r="X97" s="192"/>
      <c r="Y97" s="192"/>
      <c r="Z97" s="192"/>
      <c r="AA97" s="192"/>
      <c r="AB97" s="192"/>
      <c r="AC97" s="192"/>
      <c r="AD97" s="192"/>
    </row>
    <row r="98" spans="1:30" x14ac:dyDescent="0.2">
      <c r="A98" s="192"/>
      <c r="Q98" s="192"/>
      <c r="R98" s="192"/>
      <c r="S98" s="192"/>
      <c r="T98" s="192"/>
      <c r="U98" s="192"/>
      <c r="V98" s="192"/>
      <c r="W98" s="192"/>
      <c r="X98" s="192"/>
      <c r="Y98" s="192"/>
      <c r="Z98" s="192"/>
      <c r="AA98" s="192"/>
      <c r="AB98" s="192"/>
      <c r="AC98" s="192"/>
      <c r="AD98" s="192"/>
    </row>
  </sheetData>
  <mergeCells count="89">
    <mergeCell ref="AF22:AM25"/>
    <mergeCell ref="A40:A41"/>
    <mergeCell ref="B40:B41"/>
    <mergeCell ref="Q42:AD43"/>
    <mergeCell ref="A42:A43"/>
    <mergeCell ref="B42:B43"/>
    <mergeCell ref="A38:A39"/>
    <mergeCell ref="B38:B39"/>
    <mergeCell ref="Q38:AD39"/>
    <mergeCell ref="W33:Z33"/>
    <mergeCell ref="AA33:AD33"/>
    <mergeCell ref="A34:A35"/>
    <mergeCell ref="B34:B35"/>
    <mergeCell ref="Q34:S35"/>
    <mergeCell ref="T34:V35"/>
    <mergeCell ref="W34:Z35"/>
    <mergeCell ref="AA34:AD35"/>
    <mergeCell ref="A36:A37"/>
    <mergeCell ref="B36:B37"/>
    <mergeCell ref="C36:P36"/>
    <mergeCell ref="Q36:AD36"/>
    <mergeCell ref="Q37:AD37"/>
    <mergeCell ref="B30:C30"/>
    <mergeCell ref="Q30:AD30"/>
    <mergeCell ref="A31:AD31"/>
    <mergeCell ref="A32:A33"/>
    <mergeCell ref="B32:B33"/>
    <mergeCell ref="C32:C33"/>
    <mergeCell ref="D32:P32"/>
    <mergeCell ref="Q32:AD32"/>
    <mergeCell ref="Q33:S33"/>
    <mergeCell ref="T33:V33"/>
    <mergeCell ref="A28:A29"/>
    <mergeCell ref="B28:C29"/>
    <mergeCell ref="D28:O28"/>
    <mergeCell ref="P28:P29"/>
    <mergeCell ref="Q28:AD29"/>
    <mergeCell ref="Q20:AD20"/>
    <mergeCell ref="A22:B22"/>
    <mergeCell ref="A23:B23"/>
    <mergeCell ref="A25:B25"/>
    <mergeCell ref="A27:AD27"/>
    <mergeCell ref="A24:B24"/>
    <mergeCell ref="R17:V17"/>
    <mergeCell ref="W17:X17"/>
    <mergeCell ref="Y17:AB17"/>
    <mergeCell ref="AC17:AD17"/>
    <mergeCell ref="A15:B15"/>
    <mergeCell ref="C15:K15"/>
    <mergeCell ref="L15:Q15"/>
    <mergeCell ref="R15:X15"/>
    <mergeCell ref="Y15:Z15"/>
    <mergeCell ref="A19:AD19"/>
    <mergeCell ref="C20:P20"/>
    <mergeCell ref="A11:B13"/>
    <mergeCell ref="C11:AD13"/>
    <mergeCell ref="A7:B9"/>
    <mergeCell ref="C7:C9"/>
    <mergeCell ref="D7:H9"/>
    <mergeCell ref="O7:P7"/>
    <mergeCell ref="M8:N8"/>
    <mergeCell ref="O8:P8"/>
    <mergeCell ref="M9:N9"/>
    <mergeCell ref="O9:P9"/>
    <mergeCell ref="AA15:AD15"/>
    <mergeCell ref="C16:AB16"/>
    <mergeCell ref="A17:B17"/>
    <mergeCell ref="C17:Q17"/>
    <mergeCell ref="AB4:AD4"/>
    <mergeCell ref="I7:J9"/>
    <mergeCell ref="K7:L9"/>
    <mergeCell ref="M7:N7"/>
    <mergeCell ref="A1:A4"/>
    <mergeCell ref="B1:AA1"/>
    <mergeCell ref="AB1:AD1"/>
    <mergeCell ref="B2:AA2"/>
    <mergeCell ref="AB2:AD2"/>
    <mergeCell ref="B3:AA4"/>
    <mergeCell ref="AB3:AD3"/>
    <mergeCell ref="Q40:AD41"/>
    <mergeCell ref="A61:A62"/>
    <mergeCell ref="B61:B62"/>
    <mergeCell ref="A55:A56"/>
    <mergeCell ref="B55:B56"/>
    <mergeCell ref="C55:P55"/>
    <mergeCell ref="A57:A58"/>
    <mergeCell ref="B57:B58"/>
    <mergeCell ref="A59:A60"/>
    <mergeCell ref="B59:B60"/>
  </mergeCells>
  <dataValidations count="3">
    <dataValidation type="list" allowBlank="1" showInputMessage="1" showErrorMessage="1" sqref="C7:C9" xr:uid="{F809D929-6005-4A22-88B5-138C9C64631E}"/>
    <dataValidation type="textLength" operator="lessThanOrEqual" allowBlank="1" showInputMessage="1" showErrorMessage="1" errorTitle="Máximo 2.000 caracteres" error="Máximo 2.000 caracteres" promptTitle="2.000 caracteres" sqref="Q30:AD30" xr:uid="{00000000-0002-0000-0200-000001000000}">
      <formula1>2000</formula1>
    </dataValidation>
    <dataValidation type="textLength" operator="lessThanOrEqual" allowBlank="1" showInputMessage="1" showErrorMessage="1" errorTitle="Máximo 2.000 caracteres" error="Máximo 2.000 caracteres" sqref="AA34 Q34 W34 Q42:AD43 Q38:AD39" xr:uid="{00000000-0002-0000-0200-000002000000}">
      <formula1>2000</formula1>
    </dataValidation>
  </dataValidations>
  <pageMargins left="0.25" right="0.25" top="0.75" bottom="0.75" header="0.3" footer="0.3"/>
  <pageSetup scale="20" orientation="landscape"/>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1:AO69"/>
  <sheetViews>
    <sheetView showGridLines="0" topLeftCell="N32" zoomScale="139" zoomScaleNormal="139" workbookViewId="0">
      <selection activeCell="N39" sqref="N39"/>
    </sheetView>
  </sheetViews>
  <sheetFormatPr baseColWidth="10" defaultColWidth="10.83203125" defaultRowHeight="15" x14ac:dyDescent="0.2"/>
  <cols>
    <col min="1" max="1" width="38.5" style="50" customWidth="1"/>
    <col min="2" max="2" width="15.5" style="50" customWidth="1"/>
    <col min="3" max="14" width="20.6640625" style="50" customWidth="1"/>
    <col min="15" max="15" width="16.1640625" style="50" customWidth="1"/>
    <col min="16" max="16" width="18.1640625" style="50" customWidth="1"/>
    <col min="17" max="19" width="17" style="50" customWidth="1"/>
    <col min="20" max="22" width="34.33203125" style="50" customWidth="1"/>
    <col min="23" max="25" width="17.5" style="50" customWidth="1"/>
    <col min="26" max="26" width="15.1640625" style="50" customWidth="1"/>
    <col min="27" max="27" width="18.1640625" style="50" customWidth="1"/>
    <col min="28" max="28" width="22.6640625" style="50" customWidth="1"/>
    <col min="29" max="29" width="19" style="50" customWidth="1"/>
    <col min="30" max="30" width="19.5" style="50" customWidth="1"/>
    <col min="31" max="31" width="6.33203125" style="50" bestFit="1" customWidth="1"/>
    <col min="32" max="32" width="22.83203125" style="50" customWidth="1"/>
    <col min="33" max="33" width="18.5" style="50" bestFit="1" customWidth="1"/>
    <col min="34" max="34" width="8.5" style="50" customWidth="1"/>
    <col min="35" max="35" width="18.5" style="50" bestFit="1" customWidth="1"/>
    <col min="36" max="36" width="5.6640625" style="50" customWidth="1"/>
    <col min="37" max="37" width="18.5" style="50" bestFit="1" customWidth="1"/>
    <col min="38" max="38" width="4.6640625" style="50" customWidth="1"/>
    <col min="39" max="39" width="23" style="50" bestFit="1" customWidth="1"/>
    <col min="40" max="40" width="10.83203125" style="50"/>
    <col min="41" max="41" width="18.5" style="50" bestFit="1" customWidth="1"/>
    <col min="42" max="42" width="16.1640625" style="50" customWidth="1"/>
    <col min="43" max="16384" width="10.83203125" style="50"/>
  </cols>
  <sheetData>
    <row r="1" spans="1:30" ht="32.25" customHeight="1" thickBot="1" x14ac:dyDescent="0.25">
      <c r="A1" s="594"/>
      <c r="B1" s="574" t="s">
        <v>0</v>
      </c>
      <c r="C1" s="575"/>
      <c r="D1" s="575"/>
      <c r="E1" s="575"/>
      <c r="F1" s="575"/>
      <c r="G1" s="575"/>
      <c r="H1" s="575"/>
      <c r="I1" s="575"/>
      <c r="J1" s="575"/>
      <c r="K1" s="575"/>
      <c r="L1" s="575"/>
      <c r="M1" s="575"/>
      <c r="N1" s="575"/>
      <c r="O1" s="575"/>
      <c r="P1" s="575"/>
      <c r="Q1" s="575"/>
      <c r="R1" s="575"/>
      <c r="S1" s="575"/>
      <c r="T1" s="575"/>
      <c r="U1" s="575"/>
      <c r="V1" s="575"/>
      <c r="W1" s="575"/>
      <c r="X1" s="575"/>
      <c r="Y1" s="575"/>
      <c r="Z1" s="575"/>
      <c r="AA1" s="576"/>
      <c r="AB1" s="571" t="s">
        <v>1</v>
      </c>
      <c r="AC1" s="572"/>
      <c r="AD1" s="573"/>
    </row>
    <row r="2" spans="1:30" ht="30.75" customHeight="1" thickBot="1" x14ac:dyDescent="0.25">
      <c r="A2" s="595"/>
      <c r="B2" s="574" t="s">
        <v>2</v>
      </c>
      <c r="C2" s="575"/>
      <c r="D2" s="575"/>
      <c r="E2" s="575"/>
      <c r="F2" s="575"/>
      <c r="G2" s="575"/>
      <c r="H2" s="575"/>
      <c r="I2" s="575"/>
      <c r="J2" s="575"/>
      <c r="K2" s="575"/>
      <c r="L2" s="575"/>
      <c r="M2" s="575"/>
      <c r="N2" s="575"/>
      <c r="O2" s="575"/>
      <c r="P2" s="575"/>
      <c r="Q2" s="575"/>
      <c r="R2" s="575"/>
      <c r="S2" s="575"/>
      <c r="T2" s="575"/>
      <c r="U2" s="575"/>
      <c r="V2" s="575"/>
      <c r="W2" s="575"/>
      <c r="X2" s="575"/>
      <c r="Y2" s="575"/>
      <c r="Z2" s="575"/>
      <c r="AA2" s="576"/>
      <c r="AB2" s="577" t="s">
        <v>3</v>
      </c>
      <c r="AC2" s="578"/>
      <c r="AD2" s="579"/>
    </row>
    <row r="3" spans="1:30" ht="24" customHeight="1" x14ac:dyDescent="0.2">
      <c r="A3" s="595"/>
      <c r="B3" s="580" t="s">
        <v>4</v>
      </c>
      <c r="C3" s="581"/>
      <c r="D3" s="581"/>
      <c r="E3" s="581"/>
      <c r="F3" s="581"/>
      <c r="G3" s="581"/>
      <c r="H3" s="581"/>
      <c r="I3" s="581"/>
      <c r="J3" s="581"/>
      <c r="K3" s="581"/>
      <c r="L3" s="581"/>
      <c r="M3" s="581"/>
      <c r="N3" s="581"/>
      <c r="O3" s="581"/>
      <c r="P3" s="581"/>
      <c r="Q3" s="581"/>
      <c r="R3" s="581"/>
      <c r="S3" s="581"/>
      <c r="T3" s="581"/>
      <c r="U3" s="581"/>
      <c r="V3" s="581"/>
      <c r="W3" s="581"/>
      <c r="X3" s="581"/>
      <c r="Y3" s="581"/>
      <c r="Z3" s="581"/>
      <c r="AA3" s="582"/>
      <c r="AB3" s="577" t="s">
        <v>5</v>
      </c>
      <c r="AC3" s="578"/>
      <c r="AD3" s="579"/>
    </row>
    <row r="4" spans="1:30" ht="22" customHeight="1" thickBot="1" x14ac:dyDescent="0.25">
      <c r="A4" s="596"/>
      <c r="B4" s="505"/>
      <c r="C4" s="507"/>
      <c r="D4" s="507"/>
      <c r="E4" s="507"/>
      <c r="F4" s="507"/>
      <c r="G4" s="507"/>
      <c r="H4" s="507"/>
      <c r="I4" s="507"/>
      <c r="J4" s="507"/>
      <c r="K4" s="507"/>
      <c r="L4" s="507"/>
      <c r="M4" s="507"/>
      <c r="N4" s="507"/>
      <c r="O4" s="507"/>
      <c r="P4" s="507"/>
      <c r="Q4" s="507"/>
      <c r="R4" s="507"/>
      <c r="S4" s="507"/>
      <c r="T4" s="507"/>
      <c r="U4" s="507"/>
      <c r="V4" s="507"/>
      <c r="W4" s="507"/>
      <c r="X4" s="507"/>
      <c r="Y4" s="507"/>
      <c r="Z4" s="507"/>
      <c r="AA4" s="583"/>
      <c r="AB4" s="584" t="s">
        <v>6</v>
      </c>
      <c r="AC4" s="585"/>
      <c r="AD4" s="586"/>
    </row>
    <row r="5" spans="1:30" ht="9" customHeight="1" thickBot="1" x14ac:dyDescent="0.25">
      <c r="A5" s="51"/>
      <c r="B5" s="180"/>
      <c r="C5" s="181"/>
      <c r="D5" s="54"/>
      <c r="E5" s="54"/>
      <c r="F5" s="54"/>
      <c r="G5" s="54"/>
      <c r="H5" s="54"/>
      <c r="I5" s="54"/>
      <c r="J5" s="54"/>
      <c r="K5" s="54"/>
      <c r="L5" s="54"/>
      <c r="M5" s="54"/>
      <c r="N5" s="54"/>
      <c r="O5" s="54"/>
      <c r="P5" s="54"/>
      <c r="Q5" s="54"/>
      <c r="R5" s="54"/>
      <c r="S5" s="54"/>
      <c r="T5" s="54"/>
      <c r="U5" s="54"/>
      <c r="V5" s="54"/>
      <c r="W5" s="54"/>
      <c r="X5" s="54"/>
      <c r="Y5" s="54"/>
      <c r="Z5" s="55"/>
      <c r="AA5" s="54"/>
      <c r="AB5" s="56"/>
      <c r="AC5" s="57"/>
      <c r="AD5" s="58"/>
    </row>
    <row r="6" spans="1:30" ht="9" customHeight="1" x14ac:dyDescent="0.2">
      <c r="A6" s="59"/>
      <c r="B6" s="54"/>
      <c r="C6" s="54"/>
      <c r="D6" s="54"/>
      <c r="E6" s="54"/>
      <c r="F6" s="54"/>
      <c r="G6" s="54"/>
      <c r="H6" s="54"/>
      <c r="I6" s="54"/>
      <c r="J6" s="54"/>
      <c r="K6" s="54"/>
      <c r="L6" s="54"/>
      <c r="M6" s="54"/>
      <c r="N6" s="54"/>
      <c r="O6" s="54"/>
      <c r="P6" s="54"/>
      <c r="Q6" s="54"/>
      <c r="R6" s="54"/>
      <c r="S6" s="54"/>
      <c r="T6" s="54"/>
      <c r="U6" s="54"/>
      <c r="V6" s="54"/>
      <c r="W6" s="54"/>
      <c r="X6" s="54"/>
      <c r="Y6" s="54"/>
      <c r="Z6" s="55"/>
      <c r="AA6" s="54"/>
      <c r="AB6" s="54"/>
      <c r="AC6" s="60"/>
      <c r="AD6" s="61"/>
    </row>
    <row r="7" spans="1:30" ht="15" customHeight="1" x14ac:dyDescent="0.2">
      <c r="A7" s="601" t="s">
        <v>7</v>
      </c>
      <c r="B7" s="602"/>
      <c r="C7" s="607" t="s">
        <v>8</v>
      </c>
      <c r="D7" s="601" t="s">
        <v>9</v>
      </c>
      <c r="E7" s="619"/>
      <c r="F7" s="619"/>
      <c r="G7" s="619"/>
      <c r="H7" s="602"/>
      <c r="I7" s="622">
        <v>45233</v>
      </c>
      <c r="J7" s="623"/>
      <c r="K7" s="601" t="s">
        <v>10</v>
      </c>
      <c r="L7" s="602"/>
      <c r="M7" s="589" t="s">
        <v>11</v>
      </c>
      <c r="N7" s="590"/>
      <c r="O7" s="628"/>
      <c r="P7" s="629"/>
      <c r="Q7" s="54"/>
      <c r="R7" s="54"/>
      <c r="S7" s="54"/>
      <c r="T7" s="54"/>
      <c r="U7" s="54"/>
      <c r="V7" s="54"/>
      <c r="W7" s="54"/>
      <c r="X7" s="54"/>
      <c r="Y7" s="54"/>
      <c r="Z7" s="55"/>
      <c r="AA7" s="54"/>
      <c r="AB7" s="54"/>
      <c r="AC7" s="60"/>
      <c r="AD7" s="61"/>
    </row>
    <row r="8" spans="1:30" ht="15" customHeight="1" x14ac:dyDescent="0.2">
      <c r="A8" s="603"/>
      <c r="B8" s="604"/>
      <c r="C8" s="608"/>
      <c r="D8" s="603"/>
      <c r="E8" s="620"/>
      <c r="F8" s="620"/>
      <c r="G8" s="620"/>
      <c r="H8" s="604"/>
      <c r="I8" s="624"/>
      <c r="J8" s="625"/>
      <c r="K8" s="603"/>
      <c r="L8" s="604"/>
      <c r="M8" s="630" t="s">
        <v>12</v>
      </c>
      <c r="N8" s="631"/>
      <c r="O8" s="632"/>
      <c r="P8" s="633"/>
      <c r="Q8" s="54"/>
      <c r="R8" s="54"/>
      <c r="S8" s="54"/>
      <c r="T8" s="54"/>
      <c r="U8" s="54"/>
      <c r="V8" s="54"/>
      <c r="W8" s="54"/>
      <c r="X8" s="54"/>
      <c r="Y8" s="54"/>
      <c r="Z8" s="55"/>
      <c r="AA8" s="54"/>
      <c r="AB8" s="54"/>
      <c r="AC8" s="60"/>
      <c r="AD8" s="61"/>
    </row>
    <row r="9" spans="1:30" ht="15.75" customHeight="1" x14ac:dyDescent="0.2">
      <c r="A9" s="605"/>
      <c r="B9" s="606"/>
      <c r="C9" s="609"/>
      <c r="D9" s="605"/>
      <c r="E9" s="621"/>
      <c r="F9" s="621"/>
      <c r="G9" s="621"/>
      <c r="H9" s="606"/>
      <c r="I9" s="626"/>
      <c r="J9" s="627"/>
      <c r="K9" s="605"/>
      <c r="L9" s="606"/>
      <c r="M9" s="634" t="s">
        <v>13</v>
      </c>
      <c r="N9" s="635"/>
      <c r="O9" s="587" t="s">
        <v>14</v>
      </c>
      <c r="P9" s="588"/>
      <c r="Q9" s="54"/>
      <c r="R9" s="54"/>
      <c r="S9" s="54"/>
      <c r="T9" s="54"/>
      <c r="U9" s="54"/>
      <c r="V9" s="54"/>
      <c r="W9" s="54"/>
      <c r="X9" s="54"/>
      <c r="Y9" s="54"/>
      <c r="Z9" s="55"/>
      <c r="AA9" s="54"/>
      <c r="AB9" s="54"/>
      <c r="AC9" s="60"/>
      <c r="AD9" s="61"/>
    </row>
    <row r="10" spans="1:30" ht="15" customHeight="1" x14ac:dyDescent="0.2">
      <c r="A10" s="157"/>
      <c r="B10" s="158"/>
      <c r="C10" s="158"/>
      <c r="D10" s="65"/>
      <c r="E10" s="65"/>
      <c r="F10" s="65"/>
      <c r="G10" s="65"/>
      <c r="H10" s="65"/>
      <c r="I10" s="154"/>
      <c r="J10" s="154"/>
      <c r="K10" s="65"/>
      <c r="L10" s="65"/>
      <c r="M10" s="155"/>
      <c r="N10" s="155"/>
      <c r="O10" s="156"/>
      <c r="P10" s="156"/>
      <c r="Q10" s="158"/>
      <c r="R10" s="158"/>
      <c r="S10" s="158"/>
      <c r="T10" s="158"/>
      <c r="U10" s="158"/>
      <c r="V10" s="158"/>
      <c r="W10" s="158"/>
      <c r="X10" s="158"/>
      <c r="Y10" s="158"/>
      <c r="Z10" s="159"/>
      <c r="AA10" s="158"/>
      <c r="AB10" s="158"/>
      <c r="AC10" s="160"/>
      <c r="AD10" s="161"/>
    </row>
    <row r="11" spans="1:30" ht="15" customHeight="1" x14ac:dyDescent="0.2">
      <c r="A11" s="601" t="s">
        <v>15</v>
      </c>
      <c r="B11" s="602"/>
      <c r="C11" s="610" t="s">
        <v>16</v>
      </c>
      <c r="D11" s="611"/>
      <c r="E11" s="611"/>
      <c r="F11" s="611"/>
      <c r="G11" s="611"/>
      <c r="H11" s="611"/>
      <c r="I11" s="611"/>
      <c r="J11" s="611"/>
      <c r="K11" s="611"/>
      <c r="L11" s="611"/>
      <c r="M11" s="611"/>
      <c r="N11" s="611"/>
      <c r="O11" s="611"/>
      <c r="P11" s="611"/>
      <c r="Q11" s="611"/>
      <c r="R11" s="611"/>
      <c r="S11" s="611"/>
      <c r="T11" s="611"/>
      <c r="U11" s="611"/>
      <c r="V11" s="611"/>
      <c r="W11" s="611"/>
      <c r="X11" s="611"/>
      <c r="Y11" s="611"/>
      <c r="Z11" s="611"/>
      <c r="AA11" s="611"/>
      <c r="AB11" s="611"/>
      <c r="AC11" s="611"/>
      <c r="AD11" s="612"/>
    </row>
    <row r="12" spans="1:30" ht="15" customHeight="1" x14ac:dyDescent="0.2">
      <c r="A12" s="603"/>
      <c r="B12" s="604"/>
      <c r="C12" s="613"/>
      <c r="D12" s="614"/>
      <c r="E12" s="614"/>
      <c r="F12" s="614"/>
      <c r="G12" s="614"/>
      <c r="H12" s="614"/>
      <c r="I12" s="614"/>
      <c r="J12" s="614"/>
      <c r="K12" s="614"/>
      <c r="L12" s="614"/>
      <c r="M12" s="614"/>
      <c r="N12" s="614"/>
      <c r="O12" s="614"/>
      <c r="P12" s="614"/>
      <c r="Q12" s="614"/>
      <c r="R12" s="614"/>
      <c r="S12" s="614"/>
      <c r="T12" s="614"/>
      <c r="U12" s="614"/>
      <c r="V12" s="614"/>
      <c r="W12" s="614"/>
      <c r="X12" s="614"/>
      <c r="Y12" s="614"/>
      <c r="Z12" s="614"/>
      <c r="AA12" s="614"/>
      <c r="AB12" s="614"/>
      <c r="AC12" s="614"/>
      <c r="AD12" s="615"/>
    </row>
    <row r="13" spans="1:30" ht="15" customHeight="1" thickBot="1" x14ac:dyDescent="0.25">
      <c r="A13" s="605"/>
      <c r="B13" s="606"/>
      <c r="C13" s="616"/>
      <c r="D13" s="617"/>
      <c r="E13" s="617"/>
      <c r="F13" s="617"/>
      <c r="G13" s="617"/>
      <c r="H13" s="617"/>
      <c r="I13" s="617"/>
      <c r="J13" s="617"/>
      <c r="K13" s="617"/>
      <c r="L13" s="617"/>
      <c r="M13" s="617"/>
      <c r="N13" s="617"/>
      <c r="O13" s="617"/>
      <c r="P13" s="617"/>
      <c r="Q13" s="617"/>
      <c r="R13" s="617"/>
      <c r="S13" s="617"/>
      <c r="T13" s="617"/>
      <c r="U13" s="617"/>
      <c r="V13" s="617"/>
      <c r="W13" s="617"/>
      <c r="X13" s="617"/>
      <c r="Y13" s="617"/>
      <c r="Z13" s="617"/>
      <c r="AA13" s="617"/>
      <c r="AB13" s="617"/>
      <c r="AC13" s="617"/>
      <c r="AD13" s="618"/>
    </row>
    <row r="14" spans="1:30" ht="9" customHeight="1" thickBot="1" x14ac:dyDescent="0.25">
      <c r="A14" s="67"/>
      <c r="B14" s="68"/>
      <c r="C14" s="69"/>
      <c r="D14" s="69"/>
      <c r="E14" s="69"/>
      <c r="F14" s="69"/>
      <c r="G14" s="69"/>
      <c r="H14" s="69"/>
      <c r="I14" s="69"/>
      <c r="J14" s="69"/>
      <c r="K14" s="69"/>
      <c r="L14" s="69"/>
      <c r="M14" s="70"/>
      <c r="N14" s="70"/>
      <c r="O14" s="70"/>
      <c r="P14" s="70"/>
      <c r="Q14" s="70"/>
      <c r="R14" s="71"/>
      <c r="S14" s="71"/>
      <c r="T14" s="71"/>
      <c r="U14" s="71"/>
      <c r="V14" s="71"/>
      <c r="W14" s="71"/>
      <c r="X14" s="71"/>
      <c r="Y14" s="65"/>
      <c r="Z14" s="65"/>
      <c r="AA14" s="65"/>
      <c r="AB14" s="65"/>
      <c r="AC14" s="65"/>
      <c r="AD14" s="66"/>
    </row>
    <row r="15" spans="1:30" ht="39" customHeight="1" thickBot="1" x14ac:dyDescent="0.25">
      <c r="A15" s="552" t="s">
        <v>17</v>
      </c>
      <c r="B15" s="553"/>
      <c r="C15" s="591" t="s">
        <v>18</v>
      </c>
      <c r="D15" s="592"/>
      <c r="E15" s="592"/>
      <c r="F15" s="592"/>
      <c r="G15" s="592"/>
      <c r="H15" s="592"/>
      <c r="I15" s="592"/>
      <c r="J15" s="592"/>
      <c r="K15" s="593"/>
      <c r="L15" s="560" t="s">
        <v>19</v>
      </c>
      <c r="M15" s="564"/>
      <c r="N15" s="564"/>
      <c r="O15" s="564"/>
      <c r="P15" s="564"/>
      <c r="Q15" s="561"/>
      <c r="R15" s="557" t="s">
        <v>20</v>
      </c>
      <c r="S15" s="558"/>
      <c r="T15" s="558"/>
      <c r="U15" s="558"/>
      <c r="V15" s="558"/>
      <c r="W15" s="558"/>
      <c r="X15" s="559"/>
      <c r="Y15" s="560" t="s">
        <v>21</v>
      </c>
      <c r="Z15" s="561"/>
      <c r="AA15" s="548" t="s">
        <v>22</v>
      </c>
      <c r="AB15" s="549"/>
      <c r="AC15" s="549"/>
      <c r="AD15" s="550"/>
    </row>
    <row r="16" spans="1:30" ht="9" customHeight="1" thickBot="1" x14ac:dyDescent="0.25">
      <c r="A16" s="59"/>
      <c r="B16" s="54"/>
      <c r="C16" s="551"/>
      <c r="D16" s="551"/>
      <c r="E16" s="551"/>
      <c r="F16" s="551"/>
      <c r="G16" s="551"/>
      <c r="H16" s="551"/>
      <c r="I16" s="551"/>
      <c r="J16" s="551"/>
      <c r="K16" s="551"/>
      <c r="L16" s="551"/>
      <c r="M16" s="551"/>
      <c r="N16" s="551"/>
      <c r="O16" s="551"/>
      <c r="P16" s="551"/>
      <c r="Q16" s="551"/>
      <c r="R16" s="551"/>
      <c r="S16" s="551"/>
      <c r="T16" s="551"/>
      <c r="U16" s="551"/>
      <c r="V16" s="551"/>
      <c r="W16" s="551"/>
      <c r="X16" s="551"/>
      <c r="Y16" s="551"/>
      <c r="Z16" s="551"/>
      <c r="AA16" s="551"/>
      <c r="AB16" s="551"/>
      <c r="AC16" s="73"/>
      <c r="AD16" s="74"/>
    </row>
    <row r="17" spans="1:41" s="76" customFormat="1" ht="37.5" customHeight="1" thickBot="1" x14ac:dyDescent="0.25">
      <c r="A17" s="552" t="s">
        <v>23</v>
      </c>
      <c r="B17" s="553"/>
      <c r="C17" s="554" t="s">
        <v>124</v>
      </c>
      <c r="D17" s="555"/>
      <c r="E17" s="555"/>
      <c r="F17" s="555"/>
      <c r="G17" s="555"/>
      <c r="H17" s="555"/>
      <c r="I17" s="555"/>
      <c r="J17" s="555"/>
      <c r="K17" s="555"/>
      <c r="L17" s="555"/>
      <c r="M17" s="555"/>
      <c r="N17" s="555"/>
      <c r="O17" s="555"/>
      <c r="P17" s="555"/>
      <c r="Q17" s="556"/>
      <c r="R17" s="560" t="s">
        <v>25</v>
      </c>
      <c r="S17" s="564"/>
      <c r="T17" s="564"/>
      <c r="U17" s="564"/>
      <c r="V17" s="561"/>
      <c r="W17" s="680">
        <v>0.24</v>
      </c>
      <c r="X17" s="681"/>
      <c r="Y17" s="564" t="s">
        <v>26</v>
      </c>
      <c r="Z17" s="564"/>
      <c r="AA17" s="564"/>
      <c r="AB17" s="561"/>
      <c r="AC17" s="599">
        <v>0.15</v>
      </c>
      <c r="AD17" s="600"/>
    </row>
    <row r="18" spans="1:41" ht="16.5" customHeight="1" thickBot="1" x14ac:dyDescent="0.25">
      <c r="A18" s="77"/>
      <c r="B18" s="78"/>
      <c r="C18" s="78"/>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9"/>
    </row>
    <row r="19" spans="1:41" ht="32" customHeight="1" thickBot="1" x14ac:dyDescent="0.25">
      <c r="A19" s="560" t="s">
        <v>27</v>
      </c>
      <c r="B19" s="564"/>
      <c r="C19" s="564"/>
      <c r="D19" s="564"/>
      <c r="E19" s="564"/>
      <c r="F19" s="564"/>
      <c r="G19" s="564"/>
      <c r="H19" s="564"/>
      <c r="I19" s="564"/>
      <c r="J19" s="564"/>
      <c r="K19" s="564"/>
      <c r="L19" s="564"/>
      <c r="M19" s="564"/>
      <c r="N19" s="564"/>
      <c r="O19" s="564"/>
      <c r="P19" s="564"/>
      <c r="Q19" s="564"/>
      <c r="R19" s="564"/>
      <c r="S19" s="564"/>
      <c r="T19" s="564"/>
      <c r="U19" s="564"/>
      <c r="V19" s="564"/>
      <c r="W19" s="564"/>
      <c r="X19" s="564"/>
      <c r="Y19" s="564"/>
      <c r="Z19" s="564"/>
      <c r="AA19" s="564"/>
      <c r="AB19" s="564"/>
      <c r="AC19" s="564"/>
      <c r="AD19" s="561"/>
      <c r="AE19" s="83"/>
      <c r="AF19" s="83"/>
    </row>
    <row r="20" spans="1:41" ht="32" customHeight="1" thickBot="1" x14ac:dyDescent="0.25">
      <c r="A20" s="82"/>
      <c r="B20" s="60"/>
      <c r="C20" s="568" t="s">
        <v>28</v>
      </c>
      <c r="D20" s="569"/>
      <c r="E20" s="569"/>
      <c r="F20" s="569"/>
      <c r="G20" s="569"/>
      <c r="H20" s="569"/>
      <c r="I20" s="569"/>
      <c r="J20" s="569"/>
      <c r="K20" s="569"/>
      <c r="L20" s="569"/>
      <c r="M20" s="569"/>
      <c r="N20" s="569"/>
      <c r="O20" s="569"/>
      <c r="P20" s="570"/>
      <c r="Q20" s="565" t="s">
        <v>29</v>
      </c>
      <c r="R20" s="566"/>
      <c r="S20" s="566"/>
      <c r="T20" s="566"/>
      <c r="U20" s="566"/>
      <c r="V20" s="566"/>
      <c r="W20" s="566"/>
      <c r="X20" s="566"/>
      <c r="Y20" s="566"/>
      <c r="Z20" s="566"/>
      <c r="AA20" s="566"/>
      <c r="AB20" s="566"/>
      <c r="AC20" s="566"/>
      <c r="AD20" s="567"/>
      <c r="AE20" s="83"/>
      <c r="AF20" s="83"/>
    </row>
    <row r="21" spans="1:41" ht="32" customHeight="1" x14ac:dyDescent="0.2">
      <c r="A21" s="59"/>
      <c r="B21" s="54"/>
      <c r="C21" s="146" t="s">
        <v>30</v>
      </c>
      <c r="D21" s="147" t="s">
        <v>31</v>
      </c>
      <c r="E21" s="147" t="s">
        <v>32</v>
      </c>
      <c r="F21" s="147" t="s">
        <v>33</v>
      </c>
      <c r="G21" s="147" t="s">
        <v>34</v>
      </c>
      <c r="H21" s="147" t="s">
        <v>35</v>
      </c>
      <c r="I21" s="147" t="s">
        <v>36</v>
      </c>
      <c r="J21" s="147" t="s">
        <v>37</v>
      </c>
      <c r="K21" s="147" t="s">
        <v>38</v>
      </c>
      <c r="L21" s="147" t="s">
        <v>8</v>
      </c>
      <c r="M21" s="147" t="s">
        <v>39</v>
      </c>
      <c r="N21" s="147" t="s">
        <v>40</v>
      </c>
      <c r="O21" s="147" t="s">
        <v>41</v>
      </c>
      <c r="P21" s="148" t="s">
        <v>42</v>
      </c>
      <c r="Q21" s="146" t="s">
        <v>30</v>
      </c>
      <c r="R21" s="147" t="s">
        <v>31</v>
      </c>
      <c r="S21" s="147" t="s">
        <v>32</v>
      </c>
      <c r="T21" s="147" t="s">
        <v>33</v>
      </c>
      <c r="U21" s="147" t="s">
        <v>34</v>
      </c>
      <c r="V21" s="147" t="s">
        <v>35</v>
      </c>
      <c r="W21" s="147" t="s">
        <v>36</v>
      </c>
      <c r="X21" s="147" t="s">
        <v>37</v>
      </c>
      <c r="Y21" s="147" t="s">
        <v>38</v>
      </c>
      <c r="Z21" s="147" t="s">
        <v>8</v>
      </c>
      <c r="AA21" s="147" t="s">
        <v>39</v>
      </c>
      <c r="AB21" s="147" t="s">
        <v>40</v>
      </c>
      <c r="AC21" s="147" t="s">
        <v>41</v>
      </c>
      <c r="AD21" s="148" t="s">
        <v>42</v>
      </c>
      <c r="AE21" s="3"/>
      <c r="AF21" s="3"/>
    </row>
    <row r="22" spans="1:41" ht="32" customHeight="1" x14ac:dyDescent="0.2">
      <c r="A22" s="527" t="s">
        <v>43</v>
      </c>
      <c r="B22" s="598"/>
      <c r="C22" s="168"/>
      <c r="D22" s="166"/>
      <c r="E22" s="166"/>
      <c r="F22" s="166"/>
      <c r="G22" s="166"/>
      <c r="H22" s="166"/>
      <c r="I22" s="166"/>
      <c r="J22" s="166"/>
      <c r="K22" s="166"/>
      <c r="L22" s="166"/>
      <c r="M22" s="166"/>
      <c r="N22" s="166"/>
      <c r="O22" s="166">
        <f>SUM(C22:N22)</f>
        <v>0</v>
      </c>
      <c r="P22" s="169"/>
      <c r="Q22" s="168">
        <v>1788742712</v>
      </c>
      <c r="R22" s="310"/>
      <c r="S22" s="166">
        <f>19186926+10126937+6986000</f>
        <v>36299863</v>
      </c>
      <c r="T22" s="166">
        <f>35000000+21559511</f>
        <v>56559511</v>
      </c>
      <c r="U22" s="166"/>
      <c r="V22" s="166">
        <f>2139478+34249272-35249417</f>
        <v>1139333</v>
      </c>
      <c r="W22" s="166"/>
      <c r="X22" s="166"/>
      <c r="Y22" s="166"/>
      <c r="Z22" s="166">
        <v>-54680400</v>
      </c>
      <c r="AA22" s="166"/>
      <c r="AB22" s="166"/>
      <c r="AC22" s="166">
        <f>SUM(Q22:AB22)</f>
        <v>1828061019</v>
      </c>
      <c r="AD22" s="173"/>
      <c r="AE22" s="3"/>
      <c r="AF22" s="597" t="s">
        <v>125</v>
      </c>
      <c r="AG22" s="597"/>
      <c r="AH22" s="597"/>
      <c r="AI22" s="597"/>
      <c r="AJ22" s="597"/>
      <c r="AK22" s="597"/>
      <c r="AL22" s="597"/>
      <c r="AM22" s="597"/>
    </row>
    <row r="23" spans="1:41" ht="32" customHeight="1" x14ac:dyDescent="0.2">
      <c r="A23" s="528" t="s">
        <v>45</v>
      </c>
      <c r="B23" s="540"/>
      <c r="C23" s="163"/>
      <c r="D23" s="162"/>
      <c r="E23" s="162"/>
      <c r="F23" s="162"/>
      <c r="G23" s="162"/>
      <c r="H23" s="162"/>
      <c r="I23" s="162"/>
      <c r="J23" s="162"/>
      <c r="K23" s="162"/>
      <c r="L23" s="162"/>
      <c r="M23" s="162"/>
      <c r="N23" s="162"/>
      <c r="O23" s="162">
        <f>SUM(C23:N23)</f>
        <v>0</v>
      </c>
      <c r="P23" s="174" t="str">
        <f>IFERROR(O23/(SUMIF(C23:N23,"&gt;0",C22:N22))," ")</f>
        <v xml:space="preserve"> </v>
      </c>
      <c r="Q23" s="309">
        <v>84263629</v>
      </c>
      <c r="R23" s="305">
        <v>1319717051</v>
      </c>
      <c r="S23" s="305">
        <v>198188775</v>
      </c>
      <c r="T23" s="305">
        <v>-33051211</v>
      </c>
      <c r="U23" s="305">
        <v>30963345</v>
      </c>
      <c r="V23" s="305">
        <v>40445825</v>
      </c>
      <c r="W23" s="305">
        <v>66421867</v>
      </c>
      <c r="X23" s="305" t="s">
        <v>100</v>
      </c>
      <c r="Y23" s="305">
        <v>-2588734</v>
      </c>
      <c r="Z23" s="305">
        <v>49464000</v>
      </c>
      <c r="AA23" s="162"/>
      <c r="AB23" s="162"/>
      <c r="AC23" s="162">
        <f>SUM(Q23:AB23)</f>
        <v>1753824547</v>
      </c>
      <c r="AD23" s="171">
        <f>+AC23/AC22</f>
        <v>0.95939059406200267</v>
      </c>
      <c r="AE23" s="3"/>
      <c r="AF23" s="597"/>
      <c r="AG23" s="597"/>
      <c r="AH23" s="597"/>
      <c r="AI23" s="597"/>
      <c r="AJ23" s="597"/>
      <c r="AK23" s="597"/>
      <c r="AL23" s="597"/>
      <c r="AM23" s="597"/>
    </row>
    <row r="24" spans="1:41" ht="32" customHeight="1" x14ac:dyDescent="0.2">
      <c r="A24" s="528" t="s">
        <v>47</v>
      </c>
      <c r="B24" s="540"/>
      <c r="C24" s="302">
        <f>25110243+698600+1646344+1804187+19304533</f>
        <v>48563907</v>
      </c>
      <c r="D24" s="303">
        <f>1749516+3375000+698600+1646344+3750000+461423+840000+713790+713790+1545000+1545000+432600+475860+4505045</f>
        <v>22451968</v>
      </c>
      <c r="E24" s="162">
        <f>698600+1646344+4956875</f>
        <v>7301819</v>
      </c>
      <c r="F24" s="162">
        <f>698600+1646344+5038625</f>
        <v>7383569</v>
      </c>
      <c r="G24" s="162">
        <f>548900+1646344</f>
        <v>2195244</v>
      </c>
      <c r="H24" s="162">
        <f>1646344-840000</f>
        <v>806344</v>
      </c>
      <c r="I24" s="162">
        <v>1049770</v>
      </c>
      <c r="J24" s="162"/>
      <c r="K24" s="162">
        <v>-10128</v>
      </c>
      <c r="L24" s="162"/>
      <c r="M24" s="162"/>
      <c r="N24" s="162"/>
      <c r="O24" s="184">
        <f>SUM(C24:N24)</f>
        <v>89742493</v>
      </c>
      <c r="P24" s="167"/>
      <c r="Q24" s="163"/>
      <c r="R24" s="310">
        <v>76648064</v>
      </c>
      <c r="S24" s="162">
        <v>155644968</v>
      </c>
      <c r="T24" s="162">
        <f>155644968+1918693+1646342+776223</f>
        <v>159986226</v>
      </c>
      <c r="U24" s="162">
        <f>155644968+1918693+3888889+1646342+21559511+776223</f>
        <v>185434626</v>
      </c>
      <c r="V24" s="162">
        <f>155644968+1918693+3888889+1646342+776222-35249417</f>
        <v>128625697</v>
      </c>
      <c r="W24" s="162">
        <f>155644968+1918693+2139478+3888889+741130+11416424+776222</f>
        <v>176525804</v>
      </c>
      <c r="X24" s="162">
        <f>155644968+1918693+3888889+741130+776222</f>
        <v>162969902</v>
      </c>
      <c r="Y24" s="162">
        <f>155644968+1918693+3888889+741130+11416424+776222</f>
        <v>174386326</v>
      </c>
      <c r="Z24" s="162">
        <f>155644968+1918692+3888889+741130+776222-54680400</f>
        <v>108289501</v>
      </c>
      <c r="AA24" s="162">
        <f>155644968+1918692+3888889+741130+11416424+776222</f>
        <v>174386325</v>
      </c>
      <c r="AB24" s="162">
        <f>311289936+3837384+7777777+1482261+776222</f>
        <v>325163580</v>
      </c>
      <c r="AC24" s="162">
        <f>SUM(Q24:AB24)</f>
        <v>1828061019</v>
      </c>
      <c r="AD24" s="171"/>
      <c r="AE24" s="3"/>
      <c r="AF24" s="597"/>
      <c r="AG24" s="597"/>
      <c r="AH24" s="597"/>
      <c r="AI24" s="597"/>
      <c r="AJ24" s="597"/>
      <c r="AK24" s="597"/>
      <c r="AL24" s="597"/>
      <c r="AM24" s="597"/>
    </row>
    <row r="25" spans="1:41" ht="32" customHeight="1" x14ac:dyDescent="0.2">
      <c r="A25" s="484" t="s">
        <v>50</v>
      </c>
      <c r="B25" s="547"/>
      <c r="C25" s="313">
        <v>9139172</v>
      </c>
      <c r="D25" s="311">
        <v>34332596</v>
      </c>
      <c r="E25" s="311">
        <v>24384979</v>
      </c>
      <c r="F25" s="311">
        <v>10889552</v>
      </c>
      <c r="G25" s="311">
        <v>4540188</v>
      </c>
      <c r="H25" s="311">
        <v>384894</v>
      </c>
      <c r="I25" s="311">
        <v>1646352</v>
      </c>
      <c r="J25" s="300" t="s">
        <v>101</v>
      </c>
      <c r="K25" s="300" t="s">
        <v>101</v>
      </c>
      <c r="L25" s="165">
        <v>3375000</v>
      </c>
      <c r="M25" s="165"/>
      <c r="N25" s="165"/>
      <c r="O25" s="165">
        <f>SUM(C25:N25)</f>
        <v>88692733</v>
      </c>
      <c r="P25" s="170">
        <f>IFERROR(O25/(SUMIF(C25:N25,"&gt;0",C24:N24))," ")</f>
        <v>0.98819100781469105</v>
      </c>
      <c r="Q25" s="164"/>
      <c r="R25" s="301">
        <v>944067</v>
      </c>
      <c r="S25" s="301">
        <v>49626360</v>
      </c>
      <c r="T25" s="301">
        <v>137705564</v>
      </c>
      <c r="U25" s="301">
        <v>153450831</v>
      </c>
      <c r="V25" s="301">
        <v>162705131</v>
      </c>
      <c r="W25" s="301">
        <v>175827322</v>
      </c>
      <c r="X25" s="301">
        <v>161024908</v>
      </c>
      <c r="Y25" s="301">
        <v>155928513</v>
      </c>
      <c r="Z25" s="165">
        <v>167995796</v>
      </c>
      <c r="AA25" s="165"/>
      <c r="AB25" s="165"/>
      <c r="AC25" s="165">
        <f>SUM(Q25:AB25)</f>
        <v>1165208492</v>
      </c>
      <c r="AD25" s="172">
        <f>+AC25/AC24</f>
        <v>0.63740131204012074</v>
      </c>
      <c r="AE25" s="3"/>
      <c r="AF25" s="597"/>
      <c r="AG25" s="597"/>
      <c r="AH25" s="597"/>
      <c r="AI25" s="597"/>
      <c r="AJ25" s="597"/>
      <c r="AK25" s="597"/>
      <c r="AL25" s="597"/>
      <c r="AM25" s="597"/>
    </row>
    <row r="26" spans="1:41" ht="32" customHeight="1" x14ac:dyDescent="0.2">
      <c r="A26" s="59"/>
      <c r="B26" s="54"/>
      <c r="C26" s="80"/>
      <c r="D26" s="80"/>
      <c r="E26" s="80"/>
      <c r="F26" s="80"/>
      <c r="G26" s="80"/>
      <c r="H26" s="80"/>
      <c r="I26" s="80"/>
      <c r="J26" s="80"/>
      <c r="K26" s="80"/>
      <c r="L26" s="80"/>
      <c r="M26" s="80"/>
      <c r="N26" s="80"/>
      <c r="O26" s="80"/>
      <c r="P26" s="80"/>
      <c r="Q26" s="80"/>
      <c r="R26" s="80"/>
      <c r="S26" s="80"/>
      <c r="T26" s="80"/>
      <c r="U26" s="80"/>
      <c r="V26" s="80"/>
      <c r="W26" s="80"/>
      <c r="X26" s="80"/>
      <c r="Y26" s="80"/>
      <c r="Z26" s="80"/>
      <c r="AA26" s="80"/>
      <c r="AB26" s="80"/>
      <c r="AC26" s="60"/>
      <c r="AD26" s="161"/>
    </row>
    <row r="27" spans="1:41" ht="34" customHeight="1" x14ac:dyDescent="0.2">
      <c r="A27" s="543" t="s">
        <v>52</v>
      </c>
      <c r="B27" s="544"/>
      <c r="C27" s="545"/>
      <c r="D27" s="545"/>
      <c r="E27" s="545"/>
      <c r="F27" s="545"/>
      <c r="G27" s="545"/>
      <c r="H27" s="545"/>
      <c r="I27" s="545"/>
      <c r="J27" s="545"/>
      <c r="K27" s="545"/>
      <c r="L27" s="545"/>
      <c r="M27" s="545"/>
      <c r="N27" s="545"/>
      <c r="O27" s="545"/>
      <c r="P27" s="545"/>
      <c r="Q27" s="545"/>
      <c r="R27" s="545"/>
      <c r="S27" s="545"/>
      <c r="T27" s="545"/>
      <c r="U27" s="545"/>
      <c r="V27" s="545"/>
      <c r="W27" s="545"/>
      <c r="X27" s="545"/>
      <c r="Y27" s="545"/>
      <c r="Z27" s="545"/>
      <c r="AA27" s="545"/>
      <c r="AB27" s="545"/>
      <c r="AC27" s="545"/>
      <c r="AD27" s="546"/>
    </row>
    <row r="28" spans="1:41" ht="15" customHeight="1" x14ac:dyDescent="0.2">
      <c r="A28" s="536" t="s">
        <v>53</v>
      </c>
      <c r="B28" s="538" t="s">
        <v>54</v>
      </c>
      <c r="C28" s="539"/>
      <c r="D28" s="540" t="s">
        <v>55</v>
      </c>
      <c r="E28" s="541"/>
      <c r="F28" s="541"/>
      <c r="G28" s="541"/>
      <c r="H28" s="541"/>
      <c r="I28" s="541"/>
      <c r="J28" s="541"/>
      <c r="K28" s="541"/>
      <c r="L28" s="541"/>
      <c r="M28" s="541"/>
      <c r="N28" s="541"/>
      <c r="O28" s="535"/>
      <c r="P28" s="529" t="s">
        <v>41</v>
      </c>
      <c r="Q28" s="529" t="s">
        <v>56</v>
      </c>
      <c r="R28" s="529"/>
      <c r="S28" s="529"/>
      <c r="T28" s="529"/>
      <c r="U28" s="529"/>
      <c r="V28" s="529"/>
      <c r="W28" s="529"/>
      <c r="X28" s="529"/>
      <c r="Y28" s="529"/>
      <c r="Z28" s="529"/>
      <c r="AA28" s="529"/>
      <c r="AB28" s="529"/>
      <c r="AC28" s="529"/>
      <c r="AD28" s="542"/>
    </row>
    <row r="29" spans="1:41" ht="27" customHeight="1" x14ac:dyDescent="0.2">
      <c r="A29" s="537"/>
      <c r="B29" s="532"/>
      <c r="C29" s="487"/>
      <c r="D29" s="88" t="s">
        <v>30</v>
      </c>
      <c r="E29" s="88" t="s">
        <v>31</v>
      </c>
      <c r="F29" s="88" t="s">
        <v>32</v>
      </c>
      <c r="G29" s="88" t="s">
        <v>33</v>
      </c>
      <c r="H29" s="88" t="s">
        <v>34</v>
      </c>
      <c r="I29" s="88" t="s">
        <v>35</v>
      </c>
      <c r="J29" s="88" t="s">
        <v>36</v>
      </c>
      <c r="K29" s="88" t="s">
        <v>37</v>
      </c>
      <c r="L29" s="88" t="s">
        <v>38</v>
      </c>
      <c r="M29" s="88" t="s">
        <v>8</v>
      </c>
      <c r="N29" s="88" t="s">
        <v>39</v>
      </c>
      <c r="O29" s="88" t="s">
        <v>40</v>
      </c>
      <c r="P29" s="535"/>
      <c r="Q29" s="529"/>
      <c r="R29" s="529"/>
      <c r="S29" s="529"/>
      <c r="T29" s="529"/>
      <c r="U29" s="529"/>
      <c r="V29" s="529"/>
      <c r="W29" s="529"/>
      <c r="X29" s="529"/>
      <c r="Y29" s="529"/>
      <c r="Z29" s="529"/>
      <c r="AA29" s="529"/>
      <c r="AB29" s="529"/>
      <c r="AC29" s="529"/>
      <c r="AD29" s="542"/>
    </row>
    <row r="30" spans="1:41" ht="68.25" customHeight="1" thickBot="1" x14ac:dyDescent="0.25">
      <c r="A30" s="85" t="s">
        <v>126</v>
      </c>
      <c r="B30" s="520"/>
      <c r="C30" s="521"/>
      <c r="D30" s="89"/>
      <c r="E30" s="89"/>
      <c r="F30" s="89"/>
      <c r="G30" s="89"/>
      <c r="H30" s="89"/>
      <c r="I30" s="89"/>
      <c r="J30" s="89"/>
      <c r="K30" s="89"/>
      <c r="L30" s="89"/>
      <c r="M30" s="89"/>
      <c r="N30" s="89"/>
      <c r="O30" s="89"/>
      <c r="P30" s="86">
        <f>SUM(D30:O30)</f>
        <v>0</v>
      </c>
      <c r="Q30" s="522"/>
      <c r="R30" s="522"/>
      <c r="S30" s="522"/>
      <c r="T30" s="522"/>
      <c r="U30" s="522"/>
      <c r="V30" s="522"/>
      <c r="W30" s="522"/>
      <c r="X30" s="522"/>
      <c r="Y30" s="522"/>
      <c r="Z30" s="522"/>
      <c r="AA30" s="522"/>
      <c r="AB30" s="522"/>
      <c r="AC30" s="522"/>
      <c r="AD30" s="523"/>
    </row>
    <row r="31" spans="1:41" ht="45" customHeight="1" thickBot="1" x14ac:dyDescent="0.25">
      <c r="A31" s="524" t="s">
        <v>58</v>
      </c>
      <c r="B31" s="525"/>
      <c r="C31" s="525"/>
      <c r="D31" s="525"/>
      <c r="E31" s="525"/>
      <c r="F31" s="525"/>
      <c r="G31" s="525"/>
      <c r="H31" s="525"/>
      <c r="I31" s="525"/>
      <c r="J31" s="525"/>
      <c r="K31" s="525"/>
      <c r="L31" s="525"/>
      <c r="M31" s="525"/>
      <c r="N31" s="525"/>
      <c r="O31" s="525"/>
      <c r="P31" s="525"/>
      <c r="Q31" s="525"/>
      <c r="R31" s="525"/>
      <c r="S31" s="525"/>
      <c r="T31" s="525"/>
      <c r="U31" s="525"/>
      <c r="V31" s="525"/>
      <c r="W31" s="525"/>
      <c r="X31" s="525"/>
      <c r="Y31" s="525"/>
      <c r="Z31" s="525"/>
      <c r="AA31" s="525"/>
      <c r="AB31" s="525"/>
      <c r="AC31" s="525"/>
      <c r="AD31" s="526"/>
    </row>
    <row r="32" spans="1:41" ht="20.25" customHeight="1" x14ac:dyDescent="0.2">
      <c r="A32" s="527" t="s">
        <v>59</v>
      </c>
      <c r="B32" s="485" t="s">
        <v>60</v>
      </c>
      <c r="C32" s="485" t="s">
        <v>54</v>
      </c>
      <c r="D32" s="531" t="s">
        <v>61</v>
      </c>
      <c r="E32" s="485"/>
      <c r="F32" s="485"/>
      <c r="G32" s="485"/>
      <c r="H32" s="485"/>
      <c r="I32" s="485"/>
      <c r="J32" s="485"/>
      <c r="K32" s="485"/>
      <c r="L32" s="485"/>
      <c r="M32" s="485"/>
      <c r="N32" s="485"/>
      <c r="O32" s="485"/>
      <c r="P32" s="488"/>
      <c r="Q32" s="527" t="s">
        <v>62</v>
      </c>
      <c r="R32" s="485"/>
      <c r="S32" s="485"/>
      <c r="T32" s="485"/>
      <c r="U32" s="485"/>
      <c r="V32" s="485"/>
      <c r="W32" s="485"/>
      <c r="X32" s="485"/>
      <c r="Y32" s="485"/>
      <c r="Z32" s="485"/>
      <c r="AA32" s="485"/>
      <c r="AB32" s="485"/>
      <c r="AC32" s="485"/>
      <c r="AD32" s="488"/>
      <c r="AG32" s="87"/>
      <c r="AH32" s="87"/>
      <c r="AI32" s="87"/>
      <c r="AJ32" s="87"/>
      <c r="AK32" s="87"/>
      <c r="AL32" s="87"/>
      <c r="AM32" s="87"/>
      <c r="AN32" s="87"/>
      <c r="AO32" s="87"/>
    </row>
    <row r="33" spans="1:41" ht="27" customHeight="1" thickBot="1" x14ac:dyDescent="0.25">
      <c r="A33" s="638"/>
      <c r="B33" s="640"/>
      <c r="C33" s="705"/>
      <c r="D33" s="357" t="s">
        <v>30</v>
      </c>
      <c r="E33" s="364" t="s">
        <v>31</v>
      </c>
      <c r="F33" s="364" t="s">
        <v>32</v>
      </c>
      <c r="G33" s="364" t="s">
        <v>33</v>
      </c>
      <c r="H33" s="364" t="s">
        <v>34</v>
      </c>
      <c r="I33" s="364" t="s">
        <v>35</v>
      </c>
      <c r="J33" s="364" t="s">
        <v>36</v>
      </c>
      <c r="K33" s="364" t="s">
        <v>37</v>
      </c>
      <c r="L33" s="364" t="s">
        <v>38</v>
      </c>
      <c r="M33" s="364" t="s">
        <v>8</v>
      </c>
      <c r="N33" s="364" t="s">
        <v>39</v>
      </c>
      <c r="O33" s="364" t="s">
        <v>40</v>
      </c>
      <c r="P33" s="377" t="s">
        <v>41</v>
      </c>
      <c r="Q33" s="484" t="s">
        <v>63</v>
      </c>
      <c r="R33" s="486"/>
      <c r="S33" s="486"/>
      <c r="T33" s="486" t="s">
        <v>64</v>
      </c>
      <c r="U33" s="486"/>
      <c r="V33" s="486"/>
      <c r="W33" s="696" t="s">
        <v>65</v>
      </c>
      <c r="X33" s="569"/>
      <c r="Y33" s="569"/>
      <c r="Z33" s="697"/>
      <c r="AA33" s="696" t="s">
        <v>66</v>
      </c>
      <c r="AB33" s="569"/>
      <c r="AC33" s="569"/>
      <c r="AD33" s="570"/>
      <c r="AG33" s="87"/>
      <c r="AH33" s="87"/>
      <c r="AI33" s="87"/>
      <c r="AJ33" s="87"/>
      <c r="AK33" s="87"/>
      <c r="AL33" s="87"/>
      <c r="AM33" s="87"/>
      <c r="AN33" s="87"/>
      <c r="AO33" s="87"/>
    </row>
    <row r="34" spans="1:41" ht="137" customHeight="1" x14ac:dyDescent="0.2">
      <c r="A34" s="727" t="s">
        <v>126</v>
      </c>
      <c r="B34" s="728">
        <v>0.15</v>
      </c>
      <c r="C34" s="358" t="s">
        <v>67</v>
      </c>
      <c r="D34" s="378">
        <f>D69</f>
        <v>6.3999999999999986E-3</v>
      </c>
      <c r="E34" s="379">
        <f t="shared" ref="E34:O34" si="0">E69</f>
        <v>2.2400000000000003E-2</v>
      </c>
      <c r="F34" s="379">
        <f t="shared" si="0"/>
        <v>2.1864000000000005E-2</v>
      </c>
      <c r="G34" s="379">
        <f t="shared" si="0"/>
        <v>2.1864000000000005E-2</v>
      </c>
      <c r="H34" s="379">
        <f t="shared" si="0"/>
        <v>2.1864000000000005E-2</v>
      </c>
      <c r="I34" s="379">
        <f t="shared" si="0"/>
        <v>2.1864000000000005E-2</v>
      </c>
      <c r="J34" s="379">
        <f t="shared" si="0"/>
        <v>2.1864000000000005E-2</v>
      </c>
      <c r="K34" s="379">
        <f t="shared" si="0"/>
        <v>2.1864000000000005E-2</v>
      </c>
      <c r="L34" s="379">
        <f t="shared" si="0"/>
        <v>2.1864000000000005E-2</v>
      </c>
      <c r="M34" s="379">
        <f t="shared" si="0"/>
        <v>2.1864000000000005E-2</v>
      </c>
      <c r="N34" s="379">
        <f t="shared" si="0"/>
        <v>2.1063999999999999E-2</v>
      </c>
      <c r="O34" s="379">
        <f t="shared" si="0"/>
        <v>1.5224000000000005E-2</v>
      </c>
      <c r="P34" s="380">
        <f>SUM(D34:O34)</f>
        <v>0.24000000000000002</v>
      </c>
      <c r="Q34" s="729" t="s">
        <v>564</v>
      </c>
      <c r="R34" s="729"/>
      <c r="S34" s="730"/>
      <c r="T34" s="733" t="s">
        <v>572</v>
      </c>
      <c r="U34" s="734"/>
      <c r="V34" s="735"/>
      <c r="W34" s="706" t="s">
        <v>127</v>
      </c>
      <c r="X34" s="707"/>
      <c r="Y34" s="707"/>
      <c r="Z34" s="708"/>
      <c r="AA34" s="712" t="s">
        <v>128</v>
      </c>
      <c r="AB34" s="713"/>
      <c r="AC34" s="713"/>
      <c r="AD34" s="714"/>
      <c r="AG34" s="87"/>
      <c r="AH34" s="87"/>
      <c r="AI34" s="87"/>
      <c r="AJ34" s="87"/>
      <c r="AK34" s="87"/>
      <c r="AL34" s="87"/>
      <c r="AM34" s="87"/>
      <c r="AN34" s="87"/>
      <c r="AO34" s="87"/>
    </row>
    <row r="35" spans="1:41" ht="137" customHeight="1" thickBot="1" x14ac:dyDescent="0.25">
      <c r="A35" s="699"/>
      <c r="B35" s="507"/>
      <c r="C35" s="91" t="s">
        <v>72</v>
      </c>
      <c r="D35" s="228">
        <f>D66</f>
        <v>6.3999999999999986E-3</v>
      </c>
      <c r="E35" s="221">
        <f t="shared" ref="E35:M35" si="1">E66</f>
        <v>1.8400000000000007E-2</v>
      </c>
      <c r="F35" s="221">
        <f t="shared" si="1"/>
        <v>2.1864000000000005E-2</v>
      </c>
      <c r="G35" s="221">
        <f t="shared" si="1"/>
        <v>2.1864000000000005E-2</v>
      </c>
      <c r="H35" s="221">
        <f t="shared" si="1"/>
        <v>2.1864000000000005E-2</v>
      </c>
      <c r="I35" s="221">
        <f t="shared" si="1"/>
        <v>2.2664000000000007E-2</v>
      </c>
      <c r="J35" s="221">
        <f t="shared" si="1"/>
        <v>2.1864000000000005E-2</v>
      </c>
      <c r="K35" s="221">
        <f t="shared" si="1"/>
        <v>2.1864000000000005E-2</v>
      </c>
      <c r="L35" s="221">
        <f t="shared" si="1"/>
        <v>2.1464E-2</v>
      </c>
      <c r="M35" s="221">
        <f t="shared" si="1"/>
        <v>2.1864000000000005E-2</v>
      </c>
      <c r="N35" s="275">
        <v>0</v>
      </c>
      <c r="O35" s="376">
        <v>0</v>
      </c>
      <c r="P35" s="222">
        <f>SUM(D35:O35)</f>
        <v>0.20011200000000004</v>
      </c>
      <c r="Q35" s="731"/>
      <c r="R35" s="731"/>
      <c r="S35" s="732"/>
      <c r="T35" s="736"/>
      <c r="U35" s="737"/>
      <c r="V35" s="738"/>
      <c r="W35" s="709"/>
      <c r="X35" s="710"/>
      <c r="Y35" s="710"/>
      <c r="Z35" s="711"/>
      <c r="AA35" s="715"/>
      <c r="AB35" s="716"/>
      <c r="AC35" s="716"/>
      <c r="AD35" s="717"/>
      <c r="AE35" s="49"/>
      <c r="AG35" s="87"/>
      <c r="AH35" s="87"/>
      <c r="AI35" s="87"/>
      <c r="AJ35" s="87"/>
      <c r="AK35" s="87"/>
      <c r="AL35" s="87"/>
      <c r="AM35" s="87"/>
      <c r="AN35" s="87"/>
      <c r="AO35" s="87"/>
    </row>
    <row r="36" spans="1:41" ht="26" customHeight="1" x14ac:dyDescent="0.2">
      <c r="A36" s="483" t="s">
        <v>73</v>
      </c>
      <c r="B36" s="718" t="s">
        <v>74</v>
      </c>
      <c r="C36" s="487" t="s">
        <v>75</v>
      </c>
      <c r="D36" s="718"/>
      <c r="E36" s="718"/>
      <c r="F36" s="718"/>
      <c r="G36" s="718"/>
      <c r="H36" s="718"/>
      <c r="I36" s="718"/>
      <c r="J36" s="718"/>
      <c r="K36" s="718"/>
      <c r="L36" s="718"/>
      <c r="M36" s="718"/>
      <c r="N36" s="718"/>
      <c r="O36" s="718"/>
      <c r="P36" s="684"/>
      <c r="Q36" s="489" t="s">
        <v>76</v>
      </c>
      <c r="R36" s="490"/>
      <c r="S36" s="490"/>
      <c r="T36" s="490"/>
      <c r="U36" s="490"/>
      <c r="V36" s="490"/>
      <c r="W36" s="490"/>
      <c r="X36" s="490"/>
      <c r="Y36" s="490"/>
      <c r="Z36" s="490"/>
      <c r="AA36" s="490"/>
      <c r="AB36" s="490"/>
      <c r="AC36" s="490"/>
      <c r="AD36" s="491"/>
      <c r="AG36" s="87"/>
      <c r="AH36" s="87"/>
      <c r="AI36" s="87"/>
      <c r="AJ36" s="87"/>
      <c r="AK36" s="87"/>
      <c r="AL36" s="87"/>
      <c r="AM36" s="87"/>
      <c r="AN36" s="87"/>
      <c r="AO36" s="87"/>
    </row>
    <row r="37" spans="1:41" ht="26" customHeight="1" x14ac:dyDescent="0.2">
      <c r="A37" s="484"/>
      <c r="B37" s="486"/>
      <c r="C37" s="232" t="s">
        <v>77</v>
      </c>
      <c r="D37" s="226" t="s">
        <v>78</v>
      </c>
      <c r="E37" s="226" t="s">
        <v>79</v>
      </c>
      <c r="F37" s="226" t="s">
        <v>80</v>
      </c>
      <c r="G37" s="226" t="s">
        <v>81</v>
      </c>
      <c r="H37" s="226" t="s">
        <v>82</v>
      </c>
      <c r="I37" s="226" t="s">
        <v>83</v>
      </c>
      <c r="J37" s="226" t="s">
        <v>84</v>
      </c>
      <c r="K37" s="226" t="s">
        <v>85</v>
      </c>
      <c r="L37" s="226" t="s">
        <v>86</v>
      </c>
      <c r="M37" s="226" t="s">
        <v>87</v>
      </c>
      <c r="N37" s="226" t="s">
        <v>88</v>
      </c>
      <c r="O37" s="226" t="s">
        <v>89</v>
      </c>
      <c r="P37" s="227" t="s">
        <v>90</v>
      </c>
      <c r="Q37" s="687" t="s">
        <v>91</v>
      </c>
      <c r="R37" s="647"/>
      <c r="S37" s="647"/>
      <c r="T37" s="647"/>
      <c r="U37" s="647"/>
      <c r="V37" s="647"/>
      <c r="W37" s="647"/>
      <c r="X37" s="647"/>
      <c r="Y37" s="647"/>
      <c r="Z37" s="647"/>
      <c r="AA37" s="647"/>
      <c r="AB37" s="647"/>
      <c r="AC37" s="647"/>
      <c r="AD37" s="648"/>
      <c r="AG37" s="94"/>
      <c r="AH37" s="94"/>
      <c r="AI37" s="94"/>
      <c r="AJ37" s="94"/>
      <c r="AK37" s="94"/>
      <c r="AL37" s="94"/>
      <c r="AM37" s="94"/>
      <c r="AN37" s="94"/>
      <c r="AO37" s="94"/>
    </row>
    <row r="38" spans="1:41" ht="69.75" customHeight="1" x14ac:dyDescent="0.2">
      <c r="A38" s="726" t="s">
        <v>129</v>
      </c>
      <c r="B38" s="659">
        <v>0.05</v>
      </c>
      <c r="C38" s="188" t="s">
        <v>67</v>
      </c>
      <c r="D38" s="322">
        <v>0</v>
      </c>
      <c r="E38" s="323">
        <v>0.1</v>
      </c>
      <c r="F38" s="323">
        <v>9.5000000000000001E-2</v>
      </c>
      <c r="G38" s="323">
        <v>9.5000000000000001E-2</v>
      </c>
      <c r="H38" s="323">
        <v>9.5000000000000001E-2</v>
      </c>
      <c r="I38" s="323">
        <v>9.5000000000000001E-2</v>
      </c>
      <c r="J38" s="323">
        <v>9.5000000000000001E-2</v>
      </c>
      <c r="K38" s="323">
        <v>9.5000000000000001E-2</v>
      </c>
      <c r="L38" s="323">
        <v>9.5000000000000001E-2</v>
      </c>
      <c r="M38" s="323">
        <v>9.5000000000000001E-2</v>
      </c>
      <c r="N38" s="323">
        <v>0.09</v>
      </c>
      <c r="O38" s="323">
        <v>0.05</v>
      </c>
      <c r="P38" s="223">
        <f t="shared" ref="P38:P43" si="2">SUM(D38:O38)</f>
        <v>0.99999999999999989</v>
      </c>
      <c r="Q38" s="719" t="s">
        <v>565</v>
      </c>
      <c r="R38" s="719"/>
      <c r="S38" s="719"/>
      <c r="T38" s="719"/>
      <c r="U38" s="719"/>
      <c r="V38" s="719"/>
      <c r="W38" s="719"/>
      <c r="X38" s="719"/>
      <c r="Y38" s="719"/>
      <c r="Z38" s="719"/>
      <c r="AA38" s="719"/>
      <c r="AB38" s="719"/>
      <c r="AC38" s="719"/>
      <c r="AD38" s="720"/>
      <c r="AE38" s="392">
        <f>30+28+34+20+15+24+30+11+9+29+34+20+26+36+27+22+9+22+8+36+26</f>
        <v>496</v>
      </c>
      <c r="AF38" s="50">
        <f>36+26</f>
        <v>62</v>
      </c>
      <c r="AG38" s="98"/>
      <c r="AH38" s="98"/>
      <c r="AI38" s="98"/>
      <c r="AJ38" s="98"/>
      <c r="AK38" s="98"/>
      <c r="AL38" s="98"/>
      <c r="AM38" s="98"/>
      <c r="AN38" s="98"/>
      <c r="AO38" s="98"/>
    </row>
    <row r="39" spans="1:41" ht="69.75" customHeight="1" x14ac:dyDescent="0.2">
      <c r="A39" s="689"/>
      <c r="B39" s="497"/>
      <c r="C39" s="189" t="s">
        <v>72</v>
      </c>
      <c r="D39" s="324">
        <v>0</v>
      </c>
      <c r="E39" s="325">
        <v>0.05</v>
      </c>
      <c r="F39" s="325">
        <v>9.5000000000000001E-2</v>
      </c>
      <c r="G39" s="325">
        <v>9.5000000000000001E-2</v>
      </c>
      <c r="H39" s="325">
        <v>9.5000000000000001E-2</v>
      </c>
      <c r="I39" s="325">
        <v>0.1</v>
      </c>
      <c r="J39" s="325">
        <v>9.5000000000000001E-2</v>
      </c>
      <c r="K39" s="325">
        <v>9.5000000000000001E-2</v>
      </c>
      <c r="L39" s="325">
        <v>9.5000000000000001E-2</v>
      </c>
      <c r="M39" s="340">
        <f>+M38</f>
        <v>9.5000000000000001E-2</v>
      </c>
      <c r="N39" s="325"/>
      <c r="O39" s="325"/>
      <c r="P39" s="224">
        <f>SUM(D39:O39)</f>
        <v>0.81499999999999995</v>
      </c>
      <c r="Q39" s="719"/>
      <c r="R39" s="719"/>
      <c r="S39" s="719"/>
      <c r="T39" s="719"/>
      <c r="U39" s="719"/>
      <c r="V39" s="719"/>
      <c r="W39" s="719"/>
      <c r="X39" s="719"/>
      <c r="Y39" s="719"/>
      <c r="Z39" s="719"/>
      <c r="AA39" s="719"/>
      <c r="AB39" s="719"/>
      <c r="AC39" s="719"/>
      <c r="AD39" s="720"/>
      <c r="AE39" s="97"/>
    </row>
    <row r="40" spans="1:41" ht="35.25" customHeight="1" x14ac:dyDescent="0.2">
      <c r="A40" s="688" t="s">
        <v>130</v>
      </c>
      <c r="B40" s="475">
        <v>0.05</v>
      </c>
      <c r="C40" s="190" t="s">
        <v>67</v>
      </c>
      <c r="D40" s="329">
        <v>0</v>
      </c>
      <c r="E40" s="330">
        <v>0.1</v>
      </c>
      <c r="F40" s="331">
        <v>9.5000000000000001E-2</v>
      </c>
      <c r="G40" s="331">
        <v>9.5000000000000001E-2</v>
      </c>
      <c r="H40" s="330">
        <v>9.5000000000000001E-2</v>
      </c>
      <c r="I40" s="330">
        <v>9.5000000000000001E-2</v>
      </c>
      <c r="J40" s="330">
        <v>9.5000000000000001E-2</v>
      </c>
      <c r="K40" s="330">
        <v>9.5000000000000001E-2</v>
      </c>
      <c r="L40" s="330">
        <v>9.5000000000000001E-2</v>
      </c>
      <c r="M40" s="330">
        <v>9.5000000000000001E-2</v>
      </c>
      <c r="N40" s="330">
        <v>0.09</v>
      </c>
      <c r="O40" s="330">
        <v>0.05</v>
      </c>
      <c r="P40" s="224">
        <f t="shared" si="2"/>
        <v>0.99999999999999989</v>
      </c>
      <c r="Q40" s="719" t="s">
        <v>131</v>
      </c>
      <c r="R40" s="719"/>
      <c r="S40" s="719"/>
      <c r="T40" s="719"/>
      <c r="U40" s="719"/>
      <c r="V40" s="719"/>
      <c r="W40" s="719"/>
      <c r="X40" s="719"/>
      <c r="Y40" s="719"/>
      <c r="Z40" s="719"/>
      <c r="AA40" s="719"/>
      <c r="AB40" s="719"/>
      <c r="AC40" s="719"/>
      <c r="AD40" s="720"/>
      <c r="AE40" s="97"/>
    </row>
    <row r="41" spans="1:41" ht="35.25" customHeight="1" x14ac:dyDescent="0.2">
      <c r="A41" s="689"/>
      <c r="B41" s="497"/>
      <c r="C41" s="189" t="s">
        <v>72</v>
      </c>
      <c r="D41" s="324">
        <v>0</v>
      </c>
      <c r="E41" s="325">
        <v>0.1</v>
      </c>
      <c r="F41" s="325">
        <v>9.5000000000000001E-2</v>
      </c>
      <c r="G41" s="325">
        <v>9.5000000000000001E-2</v>
      </c>
      <c r="H41" s="325">
        <v>9.5000000000000001E-2</v>
      </c>
      <c r="I41" s="325">
        <v>0.1</v>
      </c>
      <c r="J41" s="325">
        <v>9.5000000000000001E-2</v>
      </c>
      <c r="K41" s="325">
        <v>9.5000000000000001E-2</v>
      </c>
      <c r="L41" s="325">
        <v>0.09</v>
      </c>
      <c r="M41" s="340">
        <f>+M40</f>
        <v>9.5000000000000001E-2</v>
      </c>
      <c r="N41" s="325" t="s">
        <v>48</v>
      </c>
      <c r="O41" s="325" t="s">
        <v>48</v>
      </c>
      <c r="P41" s="224">
        <f t="shared" si="2"/>
        <v>0.85999999999999988</v>
      </c>
      <c r="Q41" s="719"/>
      <c r="R41" s="719"/>
      <c r="S41" s="719"/>
      <c r="T41" s="719"/>
      <c r="U41" s="719"/>
      <c r="V41" s="719"/>
      <c r="W41" s="719"/>
      <c r="X41" s="719"/>
      <c r="Y41" s="719"/>
      <c r="Z41" s="719"/>
      <c r="AA41" s="719"/>
      <c r="AB41" s="719"/>
      <c r="AC41" s="719"/>
      <c r="AD41" s="720"/>
      <c r="AE41" s="97"/>
    </row>
    <row r="42" spans="1:41" ht="40.5" customHeight="1" x14ac:dyDescent="0.2">
      <c r="A42" s="693" t="s">
        <v>132</v>
      </c>
      <c r="B42" s="659">
        <v>0.05</v>
      </c>
      <c r="C42" s="190" t="s">
        <v>67</v>
      </c>
      <c r="D42" s="264">
        <v>0.08</v>
      </c>
      <c r="E42" s="247">
        <v>0.08</v>
      </c>
      <c r="F42" s="271">
        <v>8.3299999999999999E-2</v>
      </c>
      <c r="G42" s="271">
        <v>8.3299999999999999E-2</v>
      </c>
      <c r="H42" s="247">
        <v>8.3299999999999999E-2</v>
      </c>
      <c r="I42" s="247">
        <v>8.3299999999999999E-2</v>
      </c>
      <c r="J42" s="247">
        <v>8.3299999999999999E-2</v>
      </c>
      <c r="K42" s="247">
        <v>8.3299999999999999E-2</v>
      </c>
      <c r="L42" s="247">
        <v>8.3299999999999999E-2</v>
      </c>
      <c r="M42" s="247">
        <v>8.3299999999999999E-2</v>
      </c>
      <c r="N42" s="247">
        <v>8.3299999999999999E-2</v>
      </c>
      <c r="O42" s="247">
        <v>9.0300000000000005E-2</v>
      </c>
      <c r="P42" s="224">
        <f t="shared" si="2"/>
        <v>1.0000000000000002</v>
      </c>
      <c r="Q42" s="721" t="s">
        <v>133</v>
      </c>
      <c r="R42" s="722"/>
      <c r="S42" s="722"/>
      <c r="T42" s="722"/>
      <c r="U42" s="722"/>
      <c r="V42" s="722"/>
      <c r="W42" s="722"/>
      <c r="X42" s="722"/>
      <c r="Y42" s="722"/>
      <c r="Z42" s="722"/>
      <c r="AA42" s="722"/>
      <c r="AB42" s="722"/>
      <c r="AC42" s="722"/>
      <c r="AD42" s="723"/>
      <c r="AE42" s="97"/>
    </row>
    <row r="43" spans="1:41" ht="40.5" customHeight="1" x14ac:dyDescent="0.2">
      <c r="A43" s="694"/>
      <c r="B43" s="476"/>
      <c r="C43" s="238" t="s">
        <v>72</v>
      </c>
      <c r="D43" s="262">
        <v>0.08</v>
      </c>
      <c r="E43" s="249">
        <v>0.08</v>
      </c>
      <c r="F43" s="249">
        <v>8.3299999999999999E-2</v>
      </c>
      <c r="G43" s="249">
        <v>8.3299999999999999E-2</v>
      </c>
      <c r="H43" s="249">
        <v>8.3299999999999999E-2</v>
      </c>
      <c r="I43" s="249">
        <v>8.3299999999999999E-2</v>
      </c>
      <c r="J43" s="249">
        <v>8.3299999999999999E-2</v>
      </c>
      <c r="K43" s="249">
        <v>8.3299999999999999E-2</v>
      </c>
      <c r="L43" s="249">
        <v>8.3299999999999999E-2</v>
      </c>
      <c r="M43" s="339">
        <f>+M42</f>
        <v>8.3299999999999999E-2</v>
      </c>
      <c r="N43" s="249" t="s">
        <v>48</v>
      </c>
      <c r="O43" s="249" t="s">
        <v>48</v>
      </c>
      <c r="P43" s="225">
        <f t="shared" si="2"/>
        <v>0.82640000000000013</v>
      </c>
      <c r="Q43" s="724"/>
      <c r="R43" s="724"/>
      <c r="S43" s="724"/>
      <c r="T43" s="724"/>
      <c r="U43" s="724"/>
      <c r="V43" s="724"/>
      <c r="W43" s="724"/>
      <c r="X43" s="724"/>
      <c r="Y43" s="724"/>
      <c r="Z43" s="724"/>
      <c r="AA43" s="724"/>
      <c r="AB43" s="724"/>
      <c r="AC43" s="724"/>
      <c r="AD43" s="725"/>
      <c r="AE43" s="97"/>
    </row>
    <row r="44" spans="1:41" x14ac:dyDescent="0.2">
      <c r="A44" s="50" t="s">
        <v>96</v>
      </c>
    </row>
    <row r="55" spans="1:30" x14ac:dyDescent="0.2">
      <c r="A55" s="459" t="s">
        <v>97</v>
      </c>
      <c r="B55" s="461" t="s">
        <v>74</v>
      </c>
      <c r="C55" s="463" t="s">
        <v>75</v>
      </c>
      <c r="D55" s="464"/>
      <c r="E55" s="464"/>
      <c r="F55" s="464"/>
      <c r="G55" s="464"/>
      <c r="H55" s="464"/>
      <c r="I55" s="464"/>
      <c r="J55" s="464"/>
      <c r="K55" s="464"/>
      <c r="L55" s="464"/>
      <c r="M55" s="464"/>
      <c r="N55" s="464"/>
      <c r="O55" s="464"/>
      <c r="P55" s="465"/>
      <c r="Q55" s="191"/>
      <c r="R55" s="191"/>
      <c r="S55" s="192"/>
      <c r="T55" s="192"/>
      <c r="U55" s="192"/>
      <c r="V55" s="192"/>
      <c r="W55" s="192"/>
      <c r="X55" s="192"/>
      <c r="Y55" s="192"/>
      <c r="Z55" s="192"/>
      <c r="AA55" s="192"/>
      <c r="AB55" s="192"/>
      <c r="AC55" s="192"/>
      <c r="AD55" s="192"/>
    </row>
    <row r="56" spans="1:30" x14ac:dyDescent="0.2">
      <c r="A56" s="460"/>
      <c r="B56" s="462"/>
      <c r="C56" s="193" t="s">
        <v>77</v>
      </c>
      <c r="D56" s="193" t="s">
        <v>78</v>
      </c>
      <c r="E56" s="193" t="s">
        <v>79</v>
      </c>
      <c r="F56" s="193" t="s">
        <v>80</v>
      </c>
      <c r="G56" s="193" t="s">
        <v>81</v>
      </c>
      <c r="H56" s="193" t="s">
        <v>82</v>
      </c>
      <c r="I56" s="193" t="s">
        <v>83</v>
      </c>
      <c r="J56" s="193" t="s">
        <v>84</v>
      </c>
      <c r="K56" s="193" t="s">
        <v>85</v>
      </c>
      <c r="L56" s="193" t="s">
        <v>86</v>
      </c>
      <c r="M56" s="193" t="s">
        <v>87</v>
      </c>
      <c r="N56" s="193" t="s">
        <v>88</v>
      </c>
      <c r="O56" s="193" t="s">
        <v>89</v>
      </c>
      <c r="P56" s="193" t="s">
        <v>90</v>
      </c>
      <c r="Q56" s="191"/>
      <c r="R56" s="191"/>
      <c r="S56" s="192"/>
      <c r="T56" s="192"/>
      <c r="U56" s="192"/>
      <c r="V56" s="192"/>
      <c r="W56" s="192"/>
      <c r="X56" s="192"/>
      <c r="Y56" s="192"/>
      <c r="Z56" s="192"/>
      <c r="AA56" s="192"/>
      <c r="AB56" s="192"/>
      <c r="AC56" s="192"/>
      <c r="AD56" s="192"/>
    </row>
    <row r="57" spans="1:30" x14ac:dyDescent="0.2">
      <c r="A57" s="466" t="str">
        <f>A38</f>
        <v>9. Implementar el componente de formación para cuidadoras</v>
      </c>
      <c r="B57" s="468">
        <f>B38</f>
        <v>0.05</v>
      </c>
      <c r="C57" s="194" t="s">
        <v>67</v>
      </c>
      <c r="D57" s="195">
        <f>D38*$B$38/$P$38</f>
        <v>0</v>
      </c>
      <c r="E57" s="195">
        <f t="shared" ref="D57:O58" si="3">E38*$B$38/$P$38</f>
        <v>5.0000000000000018E-3</v>
      </c>
      <c r="F57" s="195">
        <f t="shared" si="3"/>
        <v>4.7500000000000016E-3</v>
      </c>
      <c r="G57" s="195">
        <f t="shared" si="3"/>
        <v>4.7500000000000016E-3</v>
      </c>
      <c r="H57" s="195">
        <f t="shared" si="3"/>
        <v>4.7500000000000016E-3</v>
      </c>
      <c r="I57" s="195">
        <f t="shared" si="3"/>
        <v>4.7500000000000016E-3</v>
      </c>
      <c r="J57" s="195">
        <f t="shared" si="3"/>
        <v>4.7500000000000016E-3</v>
      </c>
      <c r="K57" s="195">
        <f t="shared" si="3"/>
        <v>4.7500000000000016E-3</v>
      </c>
      <c r="L57" s="195">
        <f t="shared" si="3"/>
        <v>4.7500000000000016E-3</v>
      </c>
      <c r="M57" s="195">
        <f t="shared" si="3"/>
        <v>4.7500000000000016E-3</v>
      </c>
      <c r="N57" s="195">
        <f t="shared" si="3"/>
        <v>4.5000000000000005E-3</v>
      </c>
      <c r="O57" s="195">
        <f t="shared" si="3"/>
        <v>2.5000000000000009E-3</v>
      </c>
      <c r="P57" s="196">
        <f t="shared" ref="P57:P62" si="4">SUM(D57:O57)</f>
        <v>5.0000000000000017E-2</v>
      </c>
      <c r="Q57" s="197">
        <v>0.05</v>
      </c>
      <c r="R57" s="198">
        <f t="shared" ref="R57:R65" si="5">+P57-Q57</f>
        <v>0</v>
      </c>
      <c r="S57" s="192"/>
      <c r="T57" s="192"/>
      <c r="U57" s="192"/>
      <c r="V57" s="192"/>
      <c r="W57" s="192"/>
      <c r="X57" s="192"/>
      <c r="Y57" s="192"/>
      <c r="Z57" s="192"/>
      <c r="AA57" s="192"/>
      <c r="AB57" s="192"/>
      <c r="AC57" s="192"/>
      <c r="AD57" s="192"/>
    </row>
    <row r="58" spans="1:30" x14ac:dyDescent="0.2">
      <c r="A58" s="467"/>
      <c r="B58" s="469"/>
      <c r="C58" s="199" t="s">
        <v>72</v>
      </c>
      <c r="D58" s="200">
        <f t="shared" si="3"/>
        <v>0</v>
      </c>
      <c r="E58" s="200">
        <f t="shared" si="3"/>
        <v>2.5000000000000009E-3</v>
      </c>
      <c r="F58" s="200">
        <f t="shared" si="3"/>
        <v>4.7500000000000016E-3</v>
      </c>
      <c r="G58" s="200">
        <f t="shared" si="3"/>
        <v>4.7500000000000016E-3</v>
      </c>
      <c r="H58" s="200">
        <f t="shared" si="3"/>
        <v>4.7500000000000016E-3</v>
      </c>
      <c r="I58" s="200">
        <f t="shared" si="3"/>
        <v>5.0000000000000018E-3</v>
      </c>
      <c r="J58" s="200">
        <f t="shared" si="3"/>
        <v>4.7500000000000016E-3</v>
      </c>
      <c r="K58" s="200">
        <f t="shared" si="3"/>
        <v>4.7500000000000016E-3</v>
      </c>
      <c r="L58" s="200">
        <f t="shared" si="3"/>
        <v>4.7500000000000016E-3</v>
      </c>
      <c r="M58" s="200">
        <f t="shared" si="3"/>
        <v>4.7500000000000016E-3</v>
      </c>
      <c r="N58" s="200">
        <f t="shared" si="3"/>
        <v>0</v>
      </c>
      <c r="O58" s="200">
        <f t="shared" si="3"/>
        <v>0</v>
      </c>
      <c r="P58" s="201">
        <f t="shared" si="4"/>
        <v>4.0750000000000015E-2</v>
      </c>
      <c r="Q58" s="202">
        <f>+P58</f>
        <v>4.0750000000000015E-2</v>
      </c>
      <c r="R58" s="198">
        <f t="shared" si="5"/>
        <v>0</v>
      </c>
      <c r="S58" s="192"/>
      <c r="T58" s="192"/>
      <c r="U58" s="192"/>
      <c r="V58" s="192"/>
      <c r="W58" s="192"/>
      <c r="X58" s="192"/>
      <c r="Y58" s="192"/>
      <c r="Z58" s="192"/>
      <c r="AA58" s="192"/>
      <c r="AB58" s="192"/>
      <c r="AC58" s="192"/>
      <c r="AD58" s="192"/>
    </row>
    <row r="59" spans="1:30" x14ac:dyDescent="0.2">
      <c r="A59" s="466" t="str">
        <f>A40</f>
        <v xml:space="preserve">10. Implementar el componente de orientación psicojurídica para cuidadoras </v>
      </c>
      <c r="B59" s="471">
        <f>B40</f>
        <v>0.05</v>
      </c>
      <c r="C59" s="194" t="s">
        <v>67</v>
      </c>
      <c r="D59" s="195">
        <f t="shared" ref="D59:O60" si="6">D40*$B$40/$P$40</f>
        <v>0</v>
      </c>
      <c r="E59" s="195">
        <f t="shared" si="6"/>
        <v>5.0000000000000018E-3</v>
      </c>
      <c r="F59" s="195">
        <f t="shared" si="6"/>
        <v>4.7500000000000016E-3</v>
      </c>
      <c r="G59" s="195">
        <f t="shared" si="6"/>
        <v>4.7500000000000016E-3</v>
      </c>
      <c r="H59" s="195">
        <f t="shared" si="6"/>
        <v>4.7500000000000016E-3</v>
      </c>
      <c r="I59" s="195">
        <f t="shared" si="6"/>
        <v>4.7500000000000016E-3</v>
      </c>
      <c r="J59" s="195">
        <f t="shared" si="6"/>
        <v>4.7500000000000016E-3</v>
      </c>
      <c r="K59" s="195">
        <f t="shared" si="6"/>
        <v>4.7500000000000016E-3</v>
      </c>
      <c r="L59" s="195">
        <f t="shared" si="6"/>
        <v>4.7500000000000016E-3</v>
      </c>
      <c r="M59" s="195">
        <f t="shared" si="6"/>
        <v>4.7500000000000016E-3</v>
      </c>
      <c r="N59" s="195">
        <f t="shared" si="6"/>
        <v>4.5000000000000005E-3</v>
      </c>
      <c r="O59" s="195">
        <f t="shared" si="6"/>
        <v>2.5000000000000009E-3</v>
      </c>
      <c r="P59" s="196">
        <f t="shared" si="4"/>
        <v>5.0000000000000017E-2</v>
      </c>
      <c r="Q59" s="197">
        <v>2.5000000000000001E-2</v>
      </c>
      <c r="R59" s="198">
        <f t="shared" si="5"/>
        <v>2.5000000000000015E-2</v>
      </c>
      <c r="S59" s="192"/>
      <c r="T59" s="192"/>
      <c r="U59" s="192"/>
      <c r="V59" s="192"/>
      <c r="W59" s="192"/>
      <c r="X59" s="192"/>
      <c r="Y59" s="192"/>
      <c r="Z59" s="192"/>
      <c r="AA59" s="192"/>
      <c r="AB59" s="192"/>
      <c r="AC59" s="192"/>
      <c r="AD59" s="192"/>
    </row>
    <row r="60" spans="1:30" x14ac:dyDescent="0.2">
      <c r="A60" s="470"/>
      <c r="B60" s="472"/>
      <c r="C60" s="199" t="s">
        <v>72</v>
      </c>
      <c r="D60" s="200">
        <f t="shared" si="6"/>
        <v>0</v>
      </c>
      <c r="E60" s="200">
        <f t="shared" si="6"/>
        <v>5.0000000000000018E-3</v>
      </c>
      <c r="F60" s="200">
        <f t="shared" si="6"/>
        <v>4.7500000000000016E-3</v>
      </c>
      <c r="G60" s="200">
        <f t="shared" si="6"/>
        <v>4.7500000000000016E-3</v>
      </c>
      <c r="H60" s="200">
        <f t="shared" si="6"/>
        <v>4.7500000000000016E-3</v>
      </c>
      <c r="I60" s="200">
        <f t="shared" si="6"/>
        <v>5.0000000000000018E-3</v>
      </c>
      <c r="J60" s="200">
        <f t="shared" si="6"/>
        <v>4.7500000000000016E-3</v>
      </c>
      <c r="K60" s="200">
        <f t="shared" si="6"/>
        <v>4.7500000000000016E-3</v>
      </c>
      <c r="L60" s="200">
        <f t="shared" si="6"/>
        <v>4.5000000000000005E-3</v>
      </c>
      <c r="M60" s="200">
        <f t="shared" si="6"/>
        <v>4.7500000000000016E-3</v>
      </c>
      <c r="N60" s="200" t="e">
        <f t="shared" si="6"/>
        <v>#VALUE!</v>
      </c>
      <c r="O60" s="200" t="e">
        <f t="shared" si="6"/>
        <v>#VALUE!</v>
      </c>
      <c r="P60" s="201" t="e">
        <f t="shared" si="4"/>
        <v>#VALUE!</v>
      </c>
      <c r="Q60" s="202" t="e">
        <f>+P60</f>
        <v>#VALUE!</v>
      </c>
      <c r="R60" s="198" t="e">
        <f t="shared" si="5"/>
        <v>#VALUE!</v>
      </c>
      <c r="S60" s="192"/>
      <c r="T60" s="192"/>
      <c r="U60" s="192"/>
      <c r="V60" s="192"/>
      <c r="W60" s="192"/>
      <c r="X60" s="192"/>
      <c r="Y60" s="192"/>
      <c r="Z60" s="192"/>
      <c r="AA60" s="192"/>
      <c r="AB60" s="192"/>
      <c r="AC60" s="192"/>
      <c r="AD60" s="192"/>
    </row>
    <row r="61" spans="1:30" x14ac:dyDescent="0.2">
      <c r="A61" s="466" t="str">
        <f>A42</f>
        <v xml:space="preserve">11. Implementar, monitorear y hacer seguimiento al Plan Integral de Acciones Afirmativas </v>
      </c>
      <c r="B61" s="471">
        <f>B42</f>
        <v>0.05</v>
      </c>
      <c r="C61" s="194" t="s">
        <v>67</v>
      </c>
      <c r="D61" s="195">
        <f t="shared" ref="D61:O62" si="7">D42*$B$42/$P$42</f>
        <v>3.9999999999999992E-3</v>
      </c>
      <c r="E61" s="195">
        <f t="shared" si="7"/>
        <v>3.9999999999999992E-3</v>
      </c>
      <c r="F61" s="195">
        <f t="shared" si="7"/>
        <v>4.1649999999999994E-3</v>
      </c>
      <c r="G61" s="195">
        <f t="shared" si="7"/>
        <v>4.1649999999999994E-3</v>
      </c>
      <c r="H61" s="195">
        <f t="shared" si="7"/>
        <v>4.1649999999999994E-3</v>
      </c>
      <c r="I61" s="195">
        <f t="shared" si="7"/>
        <v>4.1649999999999994E-3</v>
      </c>
      <c r="J61" s="195">
        <f t="shared" si="7"/>
        <v>4.1649999999999994E-3</v>
      </c>
      <c r="K61" s="195">
        <f t="shared" si="7"/>
        <v>4.1649999999999994E-3</v>
      </c>
      <c r="L61" s="195">
        <f t="shared" si="7"/>
        <v>4.1649999999999994E-3</v>
      </c>
      <c r="M61" s="195">
        <f t="shared" si="7"/>
        <v>4.1649999999999994E-3</v>
      </c>
      <c r="N61" s="195">
        <f t="shared" si="7"/>
        <v>4.1649999999999994E-3</v>
      </c>
      <c r="O61" s="195">
        <f t="shared" si="7"/>
        <v>4.5149999999999999E-3</v>
      </c>
      <c r="P61" s="196">
        <f t="shared" si="4"/>
        <v>4.9999999999999996E-2</v>
      </c>
      <c r="Q61" s="197">
        <v>2.5000000000000001E-2</v>
      </c>
      <c r="R61" s="198">
        <f t="shared" si="5"/>
        <v>2.4999999999999994E-2</v>
      </c>
      <c r="S61" s="192"/>
      <c r="T61" s="192"/>
      <c r="U61" s="192"/>
      <c r="V61" s="192"/>
      <c r="W61" s="192"/>
      <c r="X61" s="192"/>
      <c r="Y61" s="192"/>
      <c r="Z61" s="192"/>
      <c r="AA61" s="192"/>
      <c r="AB61" s="192"/>
      <c r="AC61" s="192"/>
      <c r="AD61" s="192"/>
    </row>
    <row r="62" spans="1:30" x14ac:dyDescent="0.2">
      <c r="A62" s="470"/>
      <c r="B62" s="472"/>
      <c r="C62" s="199" t="s">
        <v>72</v>
      </c>
      <c r="D62" s="200">
        <f t="shared" si="7"/>
        <v>3.9999999999999992E-3</v>
      </c>
      <c r="E62" s="200">
        <f t="shared" si="7"/>
        <v>3.9999999999999992E-3</v>
      </c>
      <c r="F62" s="200">
        <f t="shared" si="7"/>
        <v>4.1649999999999994E-3</v>
      </c>
      <c r="G62" s="200">
        <f t="shared" si="7"/>
        <v>4.1649999999999994E-3</v>
      </c>
      <c r="H62" s="200">
        <f t="shared" si="7"/>
        <v>4.1649999999999994E-3</v>
      </c>
      <c r="I62" s="200">
        <f t="shared" si="7"/>
        <v>4.1649999999999994E-3</v>
      </c>
      <c r="J62" s="200">
        <f t="shared" si="7"/>
        <v>4.1649999999999994E-3</v>
      </c>
      <c r="K62" s="200">
        <f t="shared" si="7"/>
        <v>4.1649999999999994E-3</v>
      </c>
      <c r="L62" s="200">
        <f t="shared" si="7"/>
        <v>4.1649999999999994E-3</v>
      </c>
      <c r="M62" s="200">
        <f t="shared" si="7"/>
        <v>4.1649999999999994E-3</v>
      </c>
      <c r="N62" s="200" t="e">
        <f t="shared" si="7"/>
        <v>#VALUE!</v>
      </c>
      <c r="O62" s="200" t="e">
        <f t="shared" si="7"/>
        <v>#VALUE!</v>
      </c>
      <c r="P62" s="201" t="e">
        <f t="shared" si="4"/>
        <v>#VALUE!</v>
      </c>
      <c r="Q62" s="202" t="e">
        <f>+P62</f>
        <v>#VALUE!</v>
      </c>
      <c r="R62" s="198" t="e">
        <f t="shared" si="5"/>
        <v>#VALUE!</v>
      </c>
      <c r="S62" s="192"/>
      <c r="T62" s="192"/>
      <c r="U62" s="192"/>
      <c r="V62" s="192"/>
      <c r="W62" s="192"/>
      <c r="X62" s="192"/>
      <c r="Y62" s="192"/>
      <c r="Z62" s="192"/>
      <c r="AA62" s="192"/>
      <c r="AB62" s="192"/>
      <c r="AC62" s="192"/>
      <c r="AD62" s="192"/>
    </row>
    <row r="63" spans="1:30" x14ac:dyDescent="0.2">
      <c r="A63" s="204"/>
      <c r="B63" s="205"/>
      <c r="C63" s="206"/>
      <c r="D63" s="195"/>
      <c r="E63" s="195"/>
      <c r="F63" s="195"/>
      <c r="G63" s="195"/>
      <c r="H63" s="195"/>
      <c r="I63" s="195"/>
      <c r="J63" s="195"/>
      <c r="K63" s="195"/>
      <c r="L63" s="195"/>
      <c r="M63" s="195"/>
      <c r="N63" s="195"/>
      <c r="O63" s="195"/>
      <c r="P63" s="207"/>
      <c r="Q63" s="197"/>
      <c r="R63" s="198"/>
      <c r="S63" s="192"/>
      <c r="T63" s="192"/>
      <c r="U63" s="192"/>
      <c r="V63" s="192"/>
      <c r="W63" s="192"/>
      <c r="X63" s="192"/>
      <c r="Y63" s="192"/>
      <c r="Z63" s="192"/>
      <c r="AA63" s="192"/>
      <c r="AB63" s="192"/>
      <c r="AC63" s="192"/>
      <c r="AD63" s="192"/>
    </row>
    <row r="64" spans="1:30" x14ac:dyDescent="0.2">
      <c r="A64" s="208"/>
      <c r="B64" s="209"/>
      <c r="C64" s="206"/>
      <c r="D64" s="210"/>
      <c r="E64" s="210"/>
      <c r="F64" s="210"/>
      <c r="G64" s="210"/>
      <c r="H64" s="210"/>
      <c r="I64" s="210"/>
      <c r="J64" s="210"/>
      <c r="K64" s="210"/>
      <c r="L64" s="210"/>
      <c r="M64" s="210"/>
      <c r="N64" s="210"/>
      <c r="O64" s="210"/>
      <c r="P64" s="207"/>
      <c r="Q64" s="202"/>
      <c r="R64" s="198"/>
      <c r="S64" s="192"/>
      <c r="T64" s="192"/>
      <c r="U64" s="192"/>
      <c r="V64" s="192"/>
      <c r="W64" s="192"/>
      <c r="X64" s="192"/>
      <c r="Y64" s="192"/>
      <c r="Z64" s="192"/>
      <c r="AA64" s="192"/>
      <c r="AB64" s="192"/>
      <c r="AC64" s="192"/>
      <c r="AD64" s="192"/>
    </row>
    <row r="65" spans="1:30" x14ac:dyDescent="0.2">
      <c r="A65" s="191"/>
      <c r="B65" s="211"/>
      <c r="C65" s="212"/>
      <c r="D65" s="213">
        <f>D58+D60+D62</f>
        <v>3.9999999999999992E-3</v>
      </c>
      <c r="E65" s="213">
        <f t="shared" ref="E65:O65" si="8">E58+E60+E62</f>
        <v>1.1500000000000003E-2</v>
      </c>
      <c r="F65" s="213">
        <f t="shared" si="8"/>
        <v>1.3665000000000004E-2</v>
      </c>
      <c r="G65" s="213">
        <f t="shared" si="8"/>
        <v>1.3665000000000004E-2</v>
      </c>
      <c r="H65" s="213">
        <f t="shared" si="8"/>
        <v>1.3665000000000004E-2</v>
      </c>
      <c r="I65" s="213">
        <f t="shared" si="8"/>
        <v>1.4165000000000004E-2</v>
      </c>
      <c r="J65" s="213">
        <f t="shared" si="8"/>
        <v>1.3665000000000004E-2</v>
      </c>
      <c r="K65" s="213">
        <f t="shared" si="8"/>
        <v>1.3665000000000004E-2</v>
      </c>
      <c r="L65" s="213">
        <f t="shared" si="8"/>
        <v>1.3415E-2</v>
      </c>
      <c r="M65" s="213">
        <f t="shared" si="8"/>
        <v>1.3665000000000004E-2</v>
      </c>
      <c r="N65" s="213" t="e">
        <f t="shared" si="8"/>
        <v>#VALUE!</v>
      </c>
      <c r="O65" s="213" t="e">
        <f t="shared" si="8"/>
        <v>#VALUE!</v>
      </c>
      <c r="P65" s="213" t="e">
        <f>P58+P60+P62</f>
        <v>#VALUE!</v>
      </c>
      <c r="Q65" s="191"/>
      <c r="R65" s="198" t="e">
        <f t="shared" si="5"/>
        <v>#VALUE!</v>
      </c>
      <c r="S65" s="192"/>
      <c r="T65" s="192"/>
      <c r="U65" s="192"/>
      <c r="V65" s="192"/>
      <c r="W65" s="192"/>
      <c r="X65" s="192"/>
      <c r="Y65" s="192"/>
      <c r="Z65" s="192"/>
      <c r="AA65" s="192"/>
      <c r="AB65" s="192"/>
      <c r="AC65" s="192"/>
      <c r="AD65" s="192"/>
    </row>
    <row r="66" spans="1:30" x14ac:dyDescent="0.2">
      <c r="A66" s="191"/>
      <c r="B66" s="214"/>
      <c r="C66" s="215" t="s">
        <v>72</v>
      </c>
      <c r="D66" s="216">
        <f>D65*$W$17/$B$34</f>
        <v>6.3999999999999986E-3</v>
      </c>
      <c r="E66" s="216">
        <f t="shared" ref="E66:O66" si="9">E65*$W$17/$B$34</f>
        <v>1.8400000000000007E-2</v>
      </c>
      <c r="F66" s="216">
        <f t="shared" si="9"/>
        <v>2.1864000000000005E-2</v>
      </c>
      <c r="G66" s="216">
        <f t="shared" si="9"/>
        <v>2.1864000000000005E-2</v>
      </c>
      <c r="H66" s="216">
        <f t="shared" si="9"/>
        <v>2.1864000000000005E-2</v>
      </c>
      <c r="I66" s="216">
        <f t="shared" si="9"/>
        <v>2.2664000000000007E-2</v>
      </c>
      <c r="J66" s="216">
        <f t="shared" si="9"/>
        <v>2.1864000000000005E-2</v>
      </c>
      <c r="K66" s="216">
        <f t="shared" si="9"/>
        <v>2.1864000000000005E-2</v>
      </c>
      <c r="L66" s="216">
        <f t="shared" si="9"/>
        <v>2.1464E-2</v>
      </c>
      <c r="M66" s="216">
        <f t="shared" si="9"/>
        <v>2.1864000000000005E-2</v>
      </c>
      <c r="N66" s="216" t="e">
        <f t="shared" si="9"/>
        <v>#VALUE!</v>
      </c>
      <c r="O66" s="216" t="e">
        <f t="shared" si="9"/>
        <v>#VALUE!</v>
      </c>
      <c r="P66" s="217" t="e">
        <f>SUM(D66:O66)</f>
        <v>#VALUE!</v>
      </c>
      <c r="Q66" s="218"/>
      <c r="R66" s="191"/>
      <c r="S66" s="192"/>
      <c r="T66" s="192"/>
      <c r="U66" s="192"/>
      <c r="V66" s="192"/>
      <c r="W66" s="192"/>
      <c r="X66" s="192"/>
      <c r="Y66" s="192"/>
      <c r="Z66" s="192"/>
      <c r="AA66" s="192"/>
      <c r="AB66" s="192"/>
      <c r="AC66" s="192"/>
      <c r="AD66" s="192"/>
    </row>
    <row r="67" spans="1:30" x14ac:dyDescent="0.2">
      <c r="A67" s="218"/>
      <c r="B67" s="219"/>
      <c r="C67" s="219"/>
      <c r="D67" s="219"/>
      <c r="E67" s="219"/>
      <c r="F67" s="219"/>
      <c r="G67" s="219"/>
      <c r="H67" s="219"/>
      <c r="I67" s="219"/>
      <c r="J67" s="219"/>
      <c r="K67" s="219"/>
      <c r="L67" s="219"/>
      <c r="M67" s="219"/>
      <c r="N67" s="219"/>
      <c r="O67" s="219"/>
      <c r="P67" s="219"/>
      <c r="Q67" s="218"/>
      <c r="R67" s="218"/>
      <c r="S67" s="192"/>
      <c r="T67" s="192"/>
      <c r="U67" s="192"/>
      <c r="V67" s="192"/>
      <c r="W67" s="192"/>
      <c r="X67" s="192"/>
      <c r="Y67" s="192"/>
      <c r="Z67" s="192"/>
      <c r="AA67" s="192"/>
      <c r="AB67" s="192"/>
      <c r="AC67" s="192"/>
      <c r="AD67" s="192"/>
    </row>
    <row r="68" spans="1:30" x14ac:dyDescent="0.2">
      <c r="A68" s="197"/>
      <c r="B68" s="108"/>
      <c r="C68" s="108"/>
      <c r="D68" s="213">
        <f t="shared" ref="D68:P68" si="10">+D57+D59+D61</f>
        <v>3.9999999999999992E-3</v>
      </c>
      <c r="E68" s="213">
        <f t="shared" si="10"/>
        <v>1.4000000000000002E-2</v>
      </c>
      <c r="F68" s="213">
        <f t="shared" si="10"/>
        <v>1.3665000000000004E-2</v>
      </c>
      <c r="G68" s="213">
        <f t="shared" si="10"/>
        <v>1.3665000000000004E-2</v>
      </c>
      <c r="H68" s="213">
        <f t="shared" si="10"/>
        <v>1.3665000000000004E-2</v>
      </c>
      <c r="I68" s="213">
        <f t="shared" si="10"/>
        <v>1.3665000000000004E-2</v>
      </c>
      <c r="J68" s="213">
        <f t="shared" si="10"/>
        <v>1.3665000000000004E-2</v>
      </c>
      <c r="K68" s="213">
        <f t="shared" si="10"/>
        <v>1.3665000000000004E-2</v>
      </c>
      <c r="L68" s="213">
        <f t="shared" si="10"/>
        <v>1.3665000000000004E-2</v>
      </c>
      <c r="M68" s="213">
        <f t="shared" si="10"/>
        <v>1.3665000000000004E-2</v>
      </c>
      <c r="N68" s="213">
        <f t="shared" si="10"/>
        <v>1.3165E-2</v>
      </c>
      <c r="O68" s="213">
        <f t="shared" si="10"/>
        <v>9.5150000000000026E-3</v>
      </c>
      <c r="P68" s="213">
        <f t="shared" si="10"/>
        <v>0.15000000000000002</v>
      </c>
      <c r="Q68" s="197"/>
      <c r="R68" s="197"/>
      <c r="S68" s="192"/>
      <c r="T68" s="192"/>
      <c r="U68" s="192"/>
      <c r="V68" s="192"/>
      <c r="W68" s="192"/>
      <c r="X68" s="192"/>
      <c r="Y68" s="192"/>
      <c r="Z68" s="192"/>
      <c r="AA68" s="192"/>
      <c r="AB68" s="192"/>
      <c r="AC68" s="192"/>
      <c r="AD68" s="192"/>
    </row>
    <row r="69" spans="1:30" x14ac:dyDescent="0.2">
      <c r="A69" s="197"/>
      <c r="B69" s="108"/>
      <c r="C69" s="215" t="s">
        <v>67</v>
      </c>
      <c r="D69" s="216">
        <f t="shared" ref="D69:O69" si="11">D68*$W$17/$B$34</f>
        <v>6.3999999999999986E-3</v>
      </c>
      <c r="E69" s="216">
        <f t="shared" si="11"/>
        <v>2.2400000000000003E-2</v>
      </c>
      <c r="F69" s="216">
        <f t="shared" si="11"/>
        <v>2.1864000000000005E-2</v>
      </c>
      <c r="G69" s="216">
        <f t="shared" si="11"/>
        <v>2.1864000000000005E-2</v>
      </c>
      <c r="H69" s="216">
        <f t="shared" si="11"/>
        <v>2.1864000000000005E-2</v>
      </c>
      <c r="I69" s="216">
        <f t="shared" si="11"/>
        <v>2.1864000000000005E-2</v>
      </c>
      <c r="J69" s="216">
        <f t="shared" si="11"/>
        <v>2.1864000000000005E-2</v>
      </c>
      <c r="K69" s="216">
        <f t="shared" si="11"/>
        <v>2.1864000000000005E-2</v>
      </c>
      <c r="L69" s="216">
        <f t="shared" si="11"/>
        <v>2.1864000000000005E-2</v>
      </c>
      <c r="M69" s="216">
        <f t="shared" si="11"/>
        <v>2.1864000000000005E-2</v>
      </c>
      <c r="N69" s="216">
        <f t="shared" si="11"/>
        <v>2.1063999999999999E-2</v>
      </c>
      <c r="O69" s="216">
        <f t="shared" si="11"/>
        <v>1.5224000000000005E-2</v>
      </c>
      <c r="P69" s="217">
        <f>SUM(D69:O69)</f>
        <v>0.24000000000000002</v>
      </c>
      <c r="Q69" s="197"/>
      <c r="R69" s="197"/>
      <c r="S69" s="192"/>
      <c r="T69" s="192"/>
      <c r="U69" s="192"/>
      <c r="V69" s="192"/>
      <c r="W69" s="192"/>
      <c r="X69" s="192"/>
      <c r="Y69" s="192"/>
      <c r="Z69" s="192"/>
      <c r="AA69" s="192"/>
      <c r="AB69" s="192"/>
      <c r="AC69" s="192"/>
      <c r="AD69" s="192"/>
    </row>
  </sheetData>
  <mergeCells count="89">
    <mergeCell ref="AF22:AM25"/>
    <mergeCell ref="A40:A41"/>
    <mergeCell ref="B40:B41"/>
    <mergeCell ref="Q40:AD41"/>
    <mergeCell ref="A42:A43"/>
    <mergeCell ref="B42:B43"/>
    <mergeCell ref="Q42:AD43"/>
    <mergeCell ref="A38:A39"/>
    <mergeCell ref="B38:B39"/>
    <mergeCell ref="Q38:AD39"/>
    <mergeCell ref="W33:Z33"/>
    <mergeCell ref="AA33:AD33"/>
    <mergeCell ref="A34:A35"/>
    <mergeCell ref="B34:B35"/>
    <mergeCell ref="Q34:S35"/>
    <mergeCell ref="T34:V35"/>
    <mergeCell ref="W34:Z35"/>
    <mergeCell ref="AA34:AD35"/>
    <mergeCell ref="A36:A37"/>
    <mergeCell ref="B36:B37"/>
    <mergeCell ref="C36:P36"/>
    <mergeCell ref="Q36:AD36"/>
    <mergeCell ref="Q37:AD37"/>
    <mergeCell ref="B30:C30"/>
    <mergeCell ref="Q30:AD30"/>
    <mergeCell ref="A31:AD31"/>
    <mergeCell ref="A32:A33"/>
    <mergeCell ref="B32:B33"/>
    <mergeCell ref="C32:C33"/>
    <mergeCell ref="D32:P32"/>
    <mergeCell ref="Q32:AD32"/>
    <mergeCell ref="Q33:S33"/>
    <mergeCell ref="T33:V33"/>
    <mergeCell ref="A28:A29"/>
    <mergeCell ref="B28:C29"/>
    <mergeCell ref="D28:O28"/>
    <mergeCell ref="P28:P29"/>
    <mergeCell ref="Q28:AD29"/>
    <mergeCell ref="Q20:AD20"/>
    <mergeCell ref="A22:B22"/>
    <mergeCell ref="A23:B23"/>
    <mergeCell ref="A25:B25"/>
    <mergeCell ref="A27:AD27"/>
    <mergeCell ref="A24:B24"/>
    <mergeCell ref="R17:V17"/>
    <mergeCell ref="W17:X17"/>
    <mergeCell ref="Y17:AB17"/>
    <mergeCell ref="AC17:AD17"/>
    <mergeCell ref="A15:B15"/>
    <mergeCell ref="C15:K15"/>
    <mergeCell ref="L15:Q15"/>
    <mergeCell ref="R15:X15"/>
    <mergeCell ref="Y15:Z15"/>
    <mergeCell ref="A19:AD19"/>
    <mergeCell ref="C20:P20"/>
    <mergeCell ref="A11:B13"/>
    <mergeCell ref="C11:AD13"/>
    <mergeCell ref="A7:B9"/>
    <mergeCell ref="C7:C9"/>
    <mergeCell ref="D7:H9"/>
    <mergeCell ref="O7:P7"/>
    <mergeCell ref="M8:N8"/>
    <mergeCell ref="O8:P8"/>
    <mergeCell ref="M9:N9"/>
    <mergeCell ref="O9:P9"/>
    <mergeCell ref="AA15:AD15"/>
    <mergeCell ref="C16:AB16"/>
    <mergeCell ref="A17:B17"/>
    <mergeCell ref="C17:Q17"/>
    <mergeCell ref="AB4:AD4"/>
    <mergeCell ref="I7:J9"/>
    <mergeCell ref="K7:L9"/>
    <mergeCell ref="M7:N7"/>
    <mergeCell ref="A1:A4"/>
    <mergeCell ref="B1:AA1"/>
    <mergeCell ref="AB1:AD1"/>
    <mergeCell ref="B2:AA2"/>
    <mergeCell ref="AB2:AD2"/>
    <mergeCell ref="B3:AA4"/>
    <mergeCell ref="AB3:AD3"/>
    <mergeCell ref="A61:A62"/>
    <mergeCell ref="B61:B62"/>
    <mergeCell ref="C55:P55"/>
    <mergeCell ref="A55:A56"/>
    <mergeCell ref="B55:B56"/>
    <mergeCell ref="A57:A58"/>
    <mergeCell ref="B57:B58"/>
    <mergeCell ref="A59:A60"/>
    <mergeCell ref="B59:B60"/>
  </mergeCells>
  <dataValidations count="3">
    <dataValidation type="textLength" operator="lessThanOrEqual" allowBlank="1" showInputMessage="1" showErrorMessage="1" errorTitle="Máximo 2.000 caracteres" error="Máximo 2.000 caracteres" sqref="AA34 Q34 W34 Q38:AD43" xr:uid="{00000000-0002-0000-0300-000000000000}">
      <formula1>2000</formula1>
    </dataValidation>
    <dataValidation type="textLength" operator="lessThanOrEqual" allowBlank="1" showInputMessage="1" showErrorMessage="1" errorTitle="Máximo 2.000 caracteres" error="Máximo 2.000 caracteres" promptTitle="2.000 caracteres" sqref="Q30:AD30" xr:uid="{00000000-0002-0000-0300-000001000000}">
      <formula1>2000</formula1>
    </dataValidation>
    <dataValidation type="list" allowBlank="1" showInputMessage="1" showErrorMessage="1" sqref="C7:C9" xr:uid="{603D484B-D693-48B1-AEC3-3183FFF76927}"/>
  </dataValidations>
  <pageMargins left="0.25" right="0.25" top="0.75" bottom="0.75" header="0.3" footer="0.3"/>
  <pageSetup scale="19" orientation="landscape"/>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fitToPage="1"/>
  </sheetPr>
  <dimension ref="A1:AO72"/>
  <sheetViews>
    <sheetView showGridLines="0" view="pageBreakPreview" topLeftCell="E23" zoomScale="60" zoomScaleNormal="125" workbookViewId="0">
      <selection activeCell="N39" sqref="N39"/>
    </sheetView>
  </sheetViews>
  <sheetFormatPr baseColWidth="10" defaultColWidth="10.83203125" defaultRowHeight="15" x14ac:dyDescent="0.2"/>
  <cols>
    <col min="1" max="1" width="38.5" style="50" customWidth="1"/>
    <col min="2" max="2" width="15.5" style="50" customWidth="1"/>
    <col min="3" max="14" width="20.6640625" style="50" customWidth="1"/>
    <col min="15" max="15" width="16.1640625" style="50" customWidth="1"/>
    <col min="16" max="16" width="18.1640625" style="50" customWidth="1"/>
    <col min="17" max="19" width="19.33203125" style="50" customWidth="1"/>
    <col min="20" max="22" width="30.5" style="50" customWidth="1"/>
    <col min="23" max="27" width="18.1640625" style="50" customWidth="1"/>
    <col min="28" max="28" width="22.6640625" style="50" customWidth="1"/>
    <col min="29" max="29" width="19" style="50" customWidth="1"/>
    <col min="30" max="30" width="19.5" style="50" customWidth="1"/>
    <col min="31" max="31" width="6.33203125" style="50" bestFit="1" customWidth="1"/>
    <col min="32" max="32" width="22.83203125" style="50" customWidth="1"/>
    <col min="33" max="33" width="18.5" style="50" bestFit="1" customWidth="1"/>
    <col min="34" max="34" width="8.5" style="50" customWidth="1"/>
    <col min="35" max="35" width="18.5" style="50" bestFit="1" customWidth="1"/>
    <col min="36" max="36" width="5.6640625" style="50" customWidth="1"/>
    <col min="37" max="37" width="18.5" style="50" bestFit="1" customWidth="1"/>
    <col min="38" max="38" width="4.6640625" style="50" customWidth="1"/>
    <col min="39" max="39" width="23" style="50" bestFit="1" customWidth="1"/>
    <col min="40" max="40" width="10.83203125" style="50"/>
    <col min="41" max="41" width="18.5" style="50" bestFit="1" customWidth="1"/>
    <col min="42" max="42" width="16.1640625" style="50" customWidth="1"/>
    <col min="43" max="16384" width="10.83203125" style="50"/>
  </cols>
  <sheetData>
    <row r="1" spans="1:30" ht="32.25" customHeight="1" thickBot="1" x14ac:dyDescent="0.25">
      <c r="A1" s="594"/>
      <c r="B1" s="574" t="s">
        <v>0</v>
      </c>
      <c r="C1" s="575"/>
      <c r="D1" s="575"/>
      <c r="E1" s="575"/>
      <c r="F1" s="575"/>
      <c r="G1" s="575"/>
      <c r="H1" s="575"/>
      <c r="I1" s="575"/>
      <c r="J1" s="575"/>
      <c r="K1" s="575"/>
      <c r="L1" s="575"/>
      <c r="M1" s="575"/>
      <c r="N1" s="575"/>
      <c r="O1" s="575"/>
      <c r="P1" s="575"/>
      <c r="Q1" s="575"/>
      <c r="R1" s="575"/>
      <c r="S1" s="575"/>
      <c r="T1" s="575"/>
      <c r="U1" s="575"/>
      <c r="V1" s="575"/>
      <c r="W1" s="575"/>
      <c r="X1" s="575"/>
      <c r="Y1" s="575"/>
      <c r="Z1" s="575"/>
      <c r="AA1" s="576"/>
      <c r="AB1" s="571" t="s">
        <v>1</v>
      </c>
      <c r="AC1" s="572"/>
      <c r="AD1" s="573"/>
    </row>
    <row r="2" spans="1:30" ht="30.75" customHeight="1" thickBot="1" x14ac:dyDescent="0.25">
      <c r="A2" s="595"/>
      <c r="B2" s="574" t="s">
        <v>2</v>
      </c>
      <c r="C2" s="575"/>
      <c r="D2" s="575"/>
      <c r="E2" s="575"/>
      <c r="F2" s="575"/>
      <c r="G2" s="575"/>
      <c r="H2" s="575"/>
      <c r="I2" s="575"/>
      <c r="J2" s="575"/>
      <c r="K2" s="575"/>
      <c r="L2" s="575"/>
      <c r="M2" s="575"/>
      <c r="N2" s="575"/>
      <c r="O2" s="575"/>
      <c r="P2" s="575"/>
      <c r="Q2" s="575"/>
      <c r="R2" s="575"/>
      <c r="S2" s="575"/>
      <c r="T2" s="575"/>
      <c r="U2" s="575"/>
      <c r="V2" s="575"/>
      <c r="W2" s="575"/>
      <c r="X2" s="575"/>
      <c r="Y2" s="575"/>
      <c r="Z2" s="575"/>
      <c r="AA2" s="576"/>
      <c r="AB2" s="577" t="s">
        <v>3</v>
      </c>
      <c r="AC2" s="578"/>
      <c r="AD2" s="579"/>
    </row>
    <row r="3" spans="1:30" ht="24" customHeight="1" x14ac:dyDescent="0.2">
      <c r="A3" s="595"/>
      <c r="B3" s="580" t="s">
        <v>4</v>
      </c>
      <c r="C3" s="581"/>
      <c r="D3" s="581"/>
      <c r="E3" s="581"/>
      <c r="F3" s="581"/>
      <c r="G3" s="581"/>
      <c r="H3" s="581"/>
      <c r="I3" s="581"/>
      <c r="J3" s="581"/>
      <c r="K3" s="581"/>
      <c r="L3" s="581"/>
      <c r="M3" s="581"/>
      <c r="N3" s="581"/>
      <c r="O3" s="581"/>
      <c r="P3" s="581"/>
      <c r="Q3" s="581"/>
      <c r="R3" s="581"/>
      <c r="S3" s="581"/>
      <c r="T3" s="581"/>
      <c r="U3" s="581"/>
      <c r="V3" s="581"/>
      <c r="W3" s="581"/>
      <c r="X3" s="581"/>
      <c r="Y3" s="581"/>
      <c r="Z3" s="581"/>
      <c r="AA3" s="582"/>
      <c r="AB3" s="577" t="s">
        <v>5</v>
      </c>
      <c r="AC3" s="578"/>
      <c r="AD3" s="579"/>
    </row>
    <row r="4" spans="1:30" ht="22" customHeight="1" thickBot="1" x14ac:dyDescent="0.25">
      <c r="A4" s="596"/>
      <c r="B4" s="505"/>
      <c r="C4" s="507"/>
      <c r="D4" s="507"/>
      <c r="E4" s="507"/>
      <c r="F4" s="507"/>
      <c r="G4" s="507"/>
      <c r="H4" s="507"/>
      <c r="I4" s="507"/>
      <c r="J4" s="507"/>
      <c r="K4" s="507"/>
      <c r="L4" s="507"/>
      <c r="M4" s="507"/>
      <c r="N4" s="507"/>
      <c r="O4" s="507"/>
      <c r="P4" s="507"/>
      <c r="Q4" s="507"/>
      <c r="R4" s="507"/>
      <c r="S4" s="507"/>
      <c r="T4" s="507"/>
      <c r="U4" s="507"/>
      <c r="V4" s="507"/>
      <c r="W4" s="507"/>
      <c r="X4" s="507"/>
      <c r="Y4" s="507"/>
      <c r="Z4" s="507"/>
      <c r="AA4" s="583"/>
      <c r="AB4" s="584" t="s">
        <v>6</v>
      </c>
      <c r="AC4" s="585"/>
      <c r="AD4" s="586"/>
    </row>
    <row r="5" spans="1:30" ht="9" customHeight="1" thickBot="1" x14ac:dyDescent="0.25">
      <c r="A5" s="51"/>
      <c r="B5" s="180"/>
      <c r="C5" s="181"/>
      <c r="D5" s="54"/>
      <c r="E5" s="54"/>
      <c r="F5" s="54"/>
      <c r="G5" s="54"/>
      <c r="H5" s="54"/>
      <c r="I5" s="54"/>
      <c r="J5" s="54"/>
      <c r="K5" s="54"/>
      <c r="L5" s="54"/>
      <c r="M5" s="54"/>
      <c r="N5" s="54"/>
      <c r="O5" s="54"/>
      <c r="P5" s="54"/>
      <c r="Q5" s="54"/>
      <c r="R5" s="54"/>
      <c r="S5" s="54"/>
      <c r="T5" s="54"/>
      <c r="U5" s="54"/>
      <c r="V5" s="54"/>
      <c r="W5" s="54"/>
      <c r="X5" s="54"/>
      <c r="Y5" s="54"/>
      <c r="Z5" s="55"/>
      <c r="AA5" s="54"/>
      <c r="AB5" s="56"/>
      <c r="AC5" s="57"/>
      <c r="AD5" s="58"/>
    </row>
    <row r="6" spans="1:30" ht="9" customHeight="1" x14ac:dyDescent="0.2">
      <c r="A6" s="59"/>
      <c r="B6" s="54"/>
      <c r="C6" s="54"/>
      <c r="D6" s="54"/>
      <c r="E6" s="54"/>
      <c r="F6" s="54"/>
      <c r="G6" s="54"/>
      <c r="H6" s="54"/>
      <c r="I6" s="54"/>
      <c r="J6" s="54"/>
      <c r="K6" s="54"/>
      <c r="L6" s="54"/>
      <c r="M6" s="54"/>
      <c r="N6" s="54"/>
      <c r="O6" s="54"/>
      <c r="P6" s="54"/>
      <c r="Q6" s="54"/>
      <c r="R6" s="54"/>
      <c r="S6" s="54"/>
      <c r="T6" s="54"/>
      <c r="U6" s="54"/>
      <c r="V6" s="54"/>
      <c r="W6" s="54"/>
      <c r="X6" s="54"/>
      <c r="Y6" s="54"/>
      <c r="Z6" s="55"/>
      <c r="AA6" s="54"/>
      <c r="AB6" s="54"/>
      <c r="AC6" s="60"/>
      <c r="AD6" s="61"/>
    </row>
    <row r="7" spans="1:30" ht="15" customHeight="1" x14ac:dyDescent="0.2">
      <c r="A7" s="601" t="s">
        <v>7</v>
      </c>
      <c r="B7" s="602"/>
      <c r="C7" s="607" t="s">
        <v>8</v>
      </c>
      <c r="D7" s="601" t="s">
        <v>9</v>
      </c>
      <c r="E7" s="619"/>
      <c r="F7" s="619"/>
      <c r="G7" s="619"/>
      <c r="H7" s="602"/>
      <c r="I7" s="622">
        <v>45233</v>
      </c>
      <c r="J7" s="623"/>
      <c r="K7" s="601" t="s">
        <v>10</v>
      </c>
      <c r="L7" s="602"/>
      <c r="M7" s="589" t="s">
        <v>11</v>
      </c>
      <c r="N7" s="590"/>
      <c r="O7" s="628"/>
      <c r="P7" s="629"/>
      <c r="Q7" s="54"/>
      <c r="R7" s="54"/>
      <c r="S7" s="54"/>
      <c r="T7" s="54"/>
      <c r="U7" s="54"/>
      <c r="V7" s="54"/>
      <c r="W7" s="54"/>
      <c r="X7" s="54"/>
      <c r="Y7" s="54"/>
      <c r="Z7" s="55"/>
      <c r="AA7" s="54"/>
      <c r="AB7" s="54"/>
      <c r="AC7" s="60"/>
      <c r="AD7" s="61"/>
    </row>
    <row r="8" spans="1:30" ht="15" customHeight="1" x14ac:dyDescent="0.2">
      <c r="A8" s="603"/>
      <c r="B8" s="604"/>
      <c r="C8" s="608"/>
      <c r="D8" s="603"/>
      <c r="E8" s="620"/>
      <c r="F8" s="620"/>
      <c r="G8" s="620"/>
      <c r="H8" s="604"/>
      <c r="I8" s="624"/>
      <c r="J8" s="625"/>
      <c r="K8" s="603"/>
      <c r="L8" s="604"/>
      <c r="M8" s="630" t="s">
        <v>12</v>
      </c>
      <c r="N8" s="631"/>
      <c r="O8" s="632"/>
      <c r="P8" s="633"/>
      <c r="Q8" s="54"/>
      <c r="R8" s="54"/>
      <c r="S8" s="54"/>
      <c r="T8" s="54"/>
      <c r="U8" s="54"/>
      <c r="V8" s="54"/>
      <c r="W8" s="54"/>
      <c r="X8" s="54"/>
      <c r="Y8" s="54"/>
      <c r="Z8" s="55"/>
      <c r="AA8" s="54"/>
      <c r="AB8" s="54"/>
      <c r="AC8" s="60"/>
      <c r="AD8" s="61"/>
    </row>
    <row r="9" spans="1:30" ht="15.75" customHeight="1" x14ac:dyDescent="0.2">
      <c r="A9" s="605"/>
      <c r="B9" s="606"/>
      <c r="C9" s="609"/>
      <c r="D9" s="605"/>
      <c r="E9" s="621"/>
      <c r="F9" s="621"/>
      <c r="G9" s="621"/>
      <c r="H9" s="606"/>
      <c r="I9" s="626"/>
      <c r="J9" s="627"/>
      <c r="K9" s="605"/>
      <c r="L9" s="606"/>
      <c r="M9" s="634" t="s">
        <v>13</v>
      </c>
      <c r="N9" s="635"/>
      <c r="O9" s="587" t="s">
        <v>14</v>
      </c>
      <c r="P9" s="588"/>
      <c r="Q9" s="54"/>
      <c r="R9" s="54"/>
      <c r="S9" s="54"/>
      <c r="T9" s="54"/>
      <c r="U9" s="54"/>
      <c r="V9" s="54"/>
      <c r="W9" s="54"/>
      <c r="X9" s="54"/>
      <c r="Y9" s="54"/>
      <c r="Z9" s="55"/>
      <c r="AA9" s="54"/>
      <c r="AB9" s="54"/>
      <c r="AC9" s="60"/>
      <c r="AD9" s="61"/>
    </row>
    <row r="10" spans="1:30" ht="15" customHeight="1" x14ac:dyDescent="0.2">
      <c r="A10" s="157"/>
      <c r="B10" s="158"/>
      <c r="C10" s="158"/>
      <c r="D10" s="65"/>
      <c r="E10" s="65"/>
      <c r="F10" s="65"/>
      <c r="G10" s="65"/>
      <c r="H10" s="65"/>
      <c r="I10" s="154"/>
      <c r="J10" s="154"/>
      <c r="K10" s="65"/>
      <c r="L10" s="65"/>
      <c r="M10" s="155"/>
      <c r="N10" s="155"/>
      <c r="O10" s="156"/>
      <c r="P10" s="156"/>
      <c r="Q10" s="158"/>
      <c r="R10" s="158"/>
      <c r="S10" s="158"/>
      <c r="T10" s="158"/>
      <c r="U10" s="158"/>
      <c r="V10" s="158"/>
      <c r="W10" s="158"/>
      <c r="X10" s="158"/>
      <c r="Y10" s="158"/>
      <c r="Z10" s="159"/>
      <c r="AA10" s="158"/>
      <c r="AB10" s="158"/>
      <c r="AC10" s="160"/>
      <c r="AD10" s="161"/>
    </row>
    <row r="11" spans="1:30" ht="15" customHeight="1" x14ac:dyDescent="0.2">
      <c r="A11" s="601" t="s">
        <v>15</v>
      </c>
      <c r="B11" s="602"/>
      <c r="C11" s="610" t="s">
        <v>16</v>
      </c>
      <c r="D11" s="611"/>
      <c r="E11" s="611"/>
      <c r="F11" s="611"/>
      <c r="G11" s="611"/>
      <c r="H11" s="611"/>
      <c r="I11" s="611"/>
      <c r="J11" s="611"/>
      <c r="K11" s="611"/>
      <c r="L11" s="611"/>
      <c r="M11" s="611"/>
      <c r="N11" s="611"/>
      <c r="O11" s="611"/>
      <c r="P11" s="611"/>
      <c r="Q11" s="611"/>
      <c r="R11" s="611"/>
      <c r="S11" s="611"/>
      <c r="T11" s="611"/>
      <c r="U11" s="611"/>
      <c r="V11" s="611"/>
      <c r="W11" s="611"/>
      <c r="X11" s="611"/>
      <c r="Y11" s="611"/>
      <c r="Z11" s="611"/>
      <c r="AA11" s="611"/>
      <c r="AB11" s="611"/>
      <c r="AC11" s="611"/>
      <c r="AD11" s="612"/>
    </row>
    <row r="12" spans="1:30" ht="15" customHeight="1" x14ac:dyDescent="0.2">
      <c r="A12" s="603"/>
      <c r="B12" s="604"/>
      <c r="C12" s="613"/>
      <c r="D12" s="614"/>
      <c r="E12" s="614"/>
      <c r="F12" s="614"/>
      <c r="G12" s="614"/>
      <c r="H12" s="614"/>
      <c r="I12" s="614"/>
      <c r="J12" s="614"/>
      <c r="K12" s="614"/>
      <c r="L12" s="614"/>
      <c r="M12" s="614"/>
      <c r="N12" s="614"/>
      <c r="O12" s="614"/>
      <c r="P12" s="614"/>
      <c r="Q12" s="614"/>
      <c r="R12" s="614"/>
      <c r="S12" s="614"/>
      <c r="T12" s="614"/>
      <c r="U12" s="614"/>
      <c r="V12" s="614"/>
      <c r="W12" s="614"/>
      <c r="X12" s="614"/>
      <c r="Y12" s="614"/>
      <c r="Z12" s="614"/>
      <c r="AA12" s="614"/>
      <c r="AB12" s="614"/>
      <c r="AC12" s="614"/>
      <c r="AD12" s="615"/>
    </row>
    <row r="13" spans="1:30" ht="15" customHeight="1" thickBot="1" x14ac:dyDescent="0.25">
      <c r="A13" s="605"/>
      <c r="B13" s="606"/>
      <c r="C13" s="616"/>
      <c r="D13" s="617"/>
      <c r="E13" s="617"/>
      <c r="F13" s="617"/>
      <c r="G13" s="617"/>
      <c r="H13" s="617"/>
      <c r="I13" s="617"/>
      <c r="J13" s="617"/>
      <c r="K13" s="617"/>
      <c r="L13" s="617"/>
      <c r="M13" s="617"/>
      <c r="N13" s="617"/>
      <c r="O13" s="617"/>
      <c r="P13" s="617"/>
      <c r="Q13" s="617"/>
      <c r="R13" s="617"/>
      <c r="S13" s="617"/>
      <c r="T13" s="617"/>
      <c r="U13" s="617"/>
      <c r="V13" s="617"/>
      <c r="W13" s="617"/>
      <c r="X13" s="617"/>
      <c r="Y13" s="617"/>
      <c r="Z13" s="617"/>
      <c r="AA13" s="617"/>
      <c r="AB13" s="617"/>
      <c r="AC13" s="617"/>
      <c r="AD13" s="618"/>
    </row>
    <row r="14" spans="1:30" ht="9" customHeight="1" thickBot="1" x14ac:dyDescent="0.25">
      <c r="A14" s="67"/>
      <c r="B14" s="68"/>
      <c r="C14" s="69"/>
      <c r="D14" s="69"/>
      <c r="E14" s="69"/>
      <c r="F14" s="69"/>
      <c r="G14" s="69"/>
      <c r="H14" s="69"/>
      <c r="I14" s="69"/>
      <c r="J14" s="69"/>
      <c r="K14" s="69"/>
      <c r="L14" s="69"/>
      <c r="M14" s="70"/>
      <c r="N14" s="70"/>
      <c r="O14" s="70"/>
      <c r="P14" s="70"/>
      <c r="Q14" s="70"/>
      <c r="R14" s="71"/>
      <c r="S14" s="71"/>
      <c r="T14" s="71"/>
      <c r="U14" s="71"/>
      <c r="V14" s="71"/>
      <c r="W14" s="71"/>
      <c r="X14" s="71"/>
      <c r="Y14" s="65"/>
      <c r="Z14" s="65"/>
      <c r="AA14" s="65"/>
      <c r="AB14" s="65"/>
      <c r="AC14" s="65"/>
      <c r="AD14" s="66"/>
    </row>
    <row r="15" spans="1:30" ht="39" customHeight="1" thickBot="1" x14ac:dyDescent="0.25">
      <c r="A15" s="552" t="s">
        <v>17</v>
      </c>
      <c r="B15" s="553"/>
      <c r="C15" s="591" t="s">
        <v>18</v>
      </c>
      <c r="D15" s="592"/>
      <c r="E15" s="592"/>
      <c r="F15" s="592"/>
      <c r="G15" s="592"/>
      <c r="H15" s="592"/>
      <c r="I15" s="592"/>
      <c r="J15" s="592"/>
      <c r="K15" s="593"/>
      <c r="L15" s="560" t="s">
        <v>19</v>
      </c>
      <c r="M15" s="564"/>
      <c r="N15" s="564"/>
      <c r="O15" s="564"/>
      <c r="P15" s="564"/>
      <c r="Q15" s="561"/>
      <c r="R15" s="557" t="s">
        <v>20</v>
      </c>
      <c r="S15" s="558"/>
      <c r="T15" s="558"/>
      <c r="U15" s="558"/>
      <c r="V15" s="558"/>
      <c r="W15" s="558"/>
      <c r="X15" s="559"/>
      <c r="Y15" s="560" t="s">
        <v>21</v>
      </c>
      <c r="Z15" s="561"/>
      <c r="AA15" s="548" t="s">
        <v>22</v>
      </c>
      <c r="AB15" s="549"/>
      <c r="AC15" s="549"/>
      <c r="AD15" s="550"/>
    </row>
    <row r="16" spans="1:30" ht="9" customHeight="1" thickBot="1" x14ac:dyDescent="0.25">
      <c r="A16" s="59"/>
      <c r="B16" s="54"/>
      <c r="C16" s="551"/>
      <c r="D16" s="551"/>
      <c r="E16" s="551"/>
      <c r="F16" s="551"/>
      <c r="G16" s="551"/>
      <c r="H16" s="551"/>
      <c r="I16" s="551"/>
      <c r="J16" s="551"/>
      <c r="K16" s="551"/>
      <c r="L16" s="551"/>
      <c r="M16" s="551"/>
      <c r="N16" s="551"/>
      <c r="O16" s="551"/>
      <c r="P16" s="551"/>
      <c r="Q16" s="551"/>
      <c r="R16" s="551"/>
      <c r="S16" s="551"/>
      <c r="T16" s="551"/>
      <c r="U16" s="551"/>
      <c r="V16" s="551"/>
      <c r="W16" s="551"/>
      <c r="X16" s="551"/>
      <c r="Y16" s="551"/>
      <c r="Z16" s="551"/>
      <c r="AA16" s="551"/>
      <c r="AB16" s="551"/>
      <c r="AC16" s="73"/>
      <c r="AD16" s="74"/>
    </row>
    <row r="17" spans="1:41" s="76" customFormat="1" ht="37.5" customHeight="1" thickBot="1" x14ac:dyDescent="0.25">
      <c r="A17" s="552" t="s">
        <v>23</v>
      </c>
      <c r="B17" s="553"/>
      <c r="C17" s="554" t="s">
        <v>134</v>
      </c>
      <c r="D17" s="555"/>
      <c r="E17" s="555"/>
      <c r="F17" s="555"/>
      <c r="G17" s="555"/>
      <c r="H17" s="555"/>
      <c r="I17" s="555"/>
      <c r="J17" s="555"/>
      <c r="K17" s="555"/>
      <c r="L17" s="555"/>
      <c r="M17" s="555"/>
      <c r="N17" s="555"/>
      <c r="O17" s="555"/>
      <c r="P17" s="555"/>
      <c r="Q17" s="556"/>
      <c r="R17" s="560" t="s">
        <v>25</v>
      </c>
      <c r="S17" s="564"/>
      <c r="T17" s="564"/>
      <c r="U17" s="564"/>
      <c r="V17" s="561"/>
      <c r="W17" s="562">
        <v>1</v>
      </c>
      <c r="X17" s="563"/>
      <c r="Y17" s="564" t="s">
        <v>26</v>
      </c>
      <c r="Z17" s="564"/>
      <c r="AA17" s="564"/>
      <c r="AB17" s="561"/>
      <c r="AC17" s="599">
        <v>0.1</v>
      </c>
      <c r="AD17" s="600"/>
    </row>
    <row r="18" spans="1:41" ht="16.5" customHeight="1" thickBot="1" x14ac:dyDescent="0.25">
      <c r="A18" s="77"/>
      <c r="B18" s="78"/>
      <c r="C18" s="78"/>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9"/>
    </row>
    <row r="19" spans="1:41" ht="32" customHeight="1" thickBot="1" x14ac:dyDescent="0.25">
      <c r="A19" s="560" t="s">
        <v>27</v>
      </c>
      <c r="B19" s="564"/>
      <c r="C19" s="564"/>
      <c r="D19" s="564"/>
      <c r="E19" s="564"/>
      <c r="F19" s="564"/>
      <c r="G19" s="564"/>
      <c r="H19" s="564"/>
      <c r="I19" s="564"/>
      <c r="J19" s="564"/>
      <c r="K19" s="564"/>
      <c r="L19" s="564"/>
      <c r="M19" s="564"/>
      <c r="N19" s="564"/>
      <c r="O19" s="564"/>
      <c r="P19" s="564"/>
      <c r="Q19" s="564"/>
      <c r="R19" s="564"/>
      <c r="S19" s="564"/>
      <c r="T19" s="564"/>
      <c r="U19" s="564"/>
      <c r="V19" s="564"/>
      <c r="W19" s="564"/>
      <c r="X19" s="564"/>
      <c r="Y19" s="564"/>
      <c r="Z19" s="564"/>
      <c r="AA19" s="564"/>
      <c r="AB19" s="564"/>
      <c r="AC19" s="564"/>
      <c r="AD19" s="561"/>
      <c r="AE19" s="83"/>
      <c r="AF19" s="83"/>
    </row>
    <row r="20" spans="1:41" ht="32" customHeight="1" thickBot="1" x14ac:dyDescent="0.25">
      <c r="A20" s="82"/>
      <c r="B20" s="60"/>
      <c r="C20" s="568" t="s">
        <v>28</v>
      </c>
      <c r="D20" s="569"/>
      <c r="E20" s="569"/>
      <c r="F20" s="569"/>
      <c r="G20" s="569"/>
      <c r="H20" s="569"/>
      <c r="I20" s="569"/>
      <c r="J20" s="569"/>
      <c r="K20" s="569"/>
      <c r="L20" s="569"/>
      <c r="M20" s="569"/>
      <c r="N20" s="569"/>
      <c r="O20" s="569"/>
      <c r="P20" s="570"/>
      <c r="Q20" s="565" t="s">
        <v>29</v>
      </c>
      <c r="R20" s="566"/>
      <c r="S20" s="566"/>
      <c r="T20" s="566"/>
      <c r="U20" s="566"/>
      <c r="V20" s="566"/>
      <c r="W20" s="566"/>
      <c r="X20" s="566"/>
      <c r="Y20" s="566"/>
      <c r="Z20" s="566"/>
      <c r="AA20" s="566"/>
      <c r="AB20" s="566"/>
      <c r="AC20" s="566"/>
      <c r="AD20" s="567"/>
      <c r="AE20" s="83"/>
      <c r="AF20" s="83"/>
    </row>
    <row r="21" spans="1:41" ht="32" customHeight="1" x14ac:dyDescent="0.2">
      <c r="A21" s="59"/>
      <c r="B21" s="54"/>
      <c r="C21" s="146" t="s">
        <v>30</v>
      </c>
      <c r="D21" s="147" t="s">
        <v>31</v>
      </c>
      <c r="E21" s="147" t="s">
        <v>32</v>
      </c>
      <c r="F21" s="147" t="s">
        <v>33</v>
      </c>
      <c r="G21" s="147" t="s">
        <v>34</v>
      </c>
      <c r="H21" s="147" t="s">
        <v>35</v>
      </c>
      <c r="I21" s="147" t="s">
        <v>36</v>
      </c>
      <c r="J21" s="147" t="s">
        <v>37</v>
      </c>
      <c r="K21" s="147" t="s">
        <v>38</v>
      </c>
      <c r="L21" s="147" t="s">
        <v>8</v>
      </c>
      <c r="M21" s="147" t="s">
        <v>39</v>
      </c>
      <c r="N21" s="147" t="s">
        <v>40</v>
      </c>
      <c r="O21" s="147" t="s">
        <v>41</v>
      </c>
      <c r="P21" s="148" t="s">
        <v>42</v>
      </c>
      <c r="Q21" s="146" t="s">
        <v>30</v>
      </c>
      <c r="R21" s="147" t="s">
        <v>31</v>
      </c>
      <c r="S21" s="147" t="s">
        <v>32</v>
      </c>
      <c r="T21" s="147" t="s">
        <v>33</v>
      </c>
      <c r="U21" s="147" t="s">
        <v>34</v>
      </c>
      <c r="V21" s="147" t="s">
        <v>35</v>
      </c>
      <c r="W21" s="147" t="s">
        <v>36</v>
      </c>
      <c r="X21" s="147" t="s">
        <v>37</v>
      </c>
      <c r="Y21" s="147" t="s">
        <v>38</v>
      </c>
      <c r="Z21" s="147" t="s">
        <v>8</v>
      </c>
      <c r="AA21" s="147" t="s">
        <v>39</v>
      </c>
      <c r="AB21" s="147" t="s">
        <v>40</v>
      </c>
      <c r="AC21" s="147" t="s">
        <v>41</v>
      </c>
      <c r="AD21" s="148" t="s">
        <v>42</v>
      </c>
      <c r="AE21" s="3"/>
      <c r="AF21" s="3"/>
    </row>
    <row r="22" spans="1:41" ht="32" customHeight="1" x14ac:dyDescent="0.2">
      <c r="A22" s="527" t="s">
        <v>43</v>
      </c>
      <c r="B22" s="598"/>
      <c r="C22" s="168"/>
      <c r="D22" s="166"/>
      <c r="E22" s="166"/>
      <c r="F22" s="166"/>
      <c r="G22" s="166"/>
      <c r="H22" s="166"/>
      <c r="I22" s="166"/>
      <c r="J22" s="166"/>
      <c r="K22" s="166"/>
      <c r="L22" s="166"/>
      <c r="M22" s="166"/>
      <c r="N22" s="166"/>
      <c r="O22" s="166">
        <f>SUM(C22:N22)</f>
        <v>0</v>
      </c>
      <c r="P22" s="169"/>
      <c r="Q22" s="168">
        <v>367342350</v>
      </c>
      <c r="R22" s="166"/>
      <c r="S22" s="166"/>
      <c r="T22" s="166">
        <v>21559511</v>
      </c>
      <c r="U22" s="166"/>
      <c r="V22" s="166">
        <f>2139478+34249272-10290230</f>
        <v>26098520</v>
      </c>
      <c r="W22" s="166"/>
      <c r="X22" s="166"/>
      <c r="Y22" s="166"/>
      <c r="Z22" s="166">
        <v>-38389884</v>
      </c>
      <c r="AA22" s="166"/>
      <c r="AB22" s="166"/>
      <c r="AC22" s="166">
        <f>SUM(Q22:AB22)</f>
        <v>376610497</v>
      </c>
      <c r="AD22" s="173"/>
      <c r="AE22" s="3"/>
      <c r="AF22" s="597" t="s">
        <v>135</v>
      </c>
      <c r="AG22" s="597"/>
      <c r="AH22" s="597"/>
      <c r="AI22" s="597"/>
      <c r="AJ22" s="597"/>
      <c r="AK22" s="597"/>
      <c r="AL22" s="597"/>
      <c r="AM22" s="597"/>
    </row>
    <row r="23" spans="1:41" ht="32" customHeight="1" x14ac:dyDescent="0.2">
      <c r="A23" s="528" t="s">
        <v>45</v>
      </c>
      <c r="B23" s="540"/>
      <c r="C23" s="163"/>
      <c r="D23" s="162"/>
      <c r="E23" s="162"/>
      <c r="F23" s="162"/>
      <c r="G23" s="162"/>
      <c r="H23" s="162"/>
      <c r="I23" s="162"/>
      <c r="J23" s="162"/>
      <c r="K23" s="162"/>
      <c r="L23" s="162"/>
      <c r="M23" s="162"/>
      <c r="N23" s="162"/>
      <c r="O23" s="162">
        <f>SUM(C23:N23)</f>
        <v>0</v>
      </c>
      <c r="P23" s="174" t="str">
        <f>IFERROR(O23/(SUMIF(C23:N23,"&gt;0",C22:N22))," ")</f>
        <v xml:space="preserve"> </v>
      </c>
      <c r="Q23" s="168">
        <v>131719000</v>
      </c>
      <c r="R23" s="162">
        <v>160636483</v>
      </c>
      <c r="S23" s="162">
        <v>24103734</v>
      </c>
      <c r="T23" s="162">
        <v>-7934917</v>
      </c>
      <c r="U23" s="162">
        <v>50047197</v>
      </c>
      <c r="V23" s="162">
        <v>11200000</v>
      </c>
      <c r="W23" s="162" t="s">
        <v>100</v>
      </c>
      <c r="X23" s="162">
        <v>-1750000</v>
      </c>
      <c r="Y23" s="162"/>
      <c r="Z23" s="162">
        <v>1260000</v>
      </c>
      <c r="AA23" s="162"/>
      <c r="AB23" s="162"/>
      <c r="AC23" s="162">
        <f>SUM(Q23:AB23)</f>
        <v>369281497</v>
      </c>
      <c r="AD23" s="171">
        <f>+AC23/AC22</f>
        <v>0.98053957587910778</v>
      </c>
      <c r="AE23" s="3"/>
      <c r="AF23" s="597"/>
      <c r="AG23" s="597"/>
      <c r="AH23" s="597"/>
      <c r="AI23" s="597"/>
      <c r="AJ23" s="597"/>
      <c r="AK23" s="597"/>
      <c r="AL23" s="597"/>
      <c r="AM23" s="597"/>
    </row>
    <row r="24" spans="1:41" ht="32" customHeight="1" x14ac:dyDescent="0.2">
      <c r="A24" s="528" t="s">
        <v>47</v>
      </c>
      <c r="B24" s="540"/>
      <c r="C24" s="302">
        <v>19304536</v>
      </c>
      <c r="D24" s="303">
        <f>1166667+432600+475860+4505046</f>
        <v>6580173</v>
      </c>
      <c r="E24" s="303" t="s">
        <v>101</v>
      </c>
      <c r="F24" s="303" t="s">
        <v>101</v>
      </c>
      <c r="G24" s="303" t="s">
        <v>101</v>
      </c>
      <c r="H24" s="303" t="s">
        <v>101</v>
      </c>
      <c r="I24" s="303" t="s">
        <v>101</v>
      </c>
      <c r="J24" s="303" t="s">
        <v>101</v>
      </c>
      <c r="K24" s="303">
        <v>-10128</v>
      </c>
      <c r="L24" s="162"/>
      <c r="M24" s="162"/>
      <c r="N24" s="162"/>
      <c r="O24" s="184">
        <f>SUM(C24:N24)</f>
        <v>25874581</v>
      </c>
      <c r="P24" s="167"/>
      <c r="Q24" s="163"/>
      <c r="R24" s="303">
        <v>15581050</v>
      </c>
      <c r="S24" s="162">
        <v>31978300</v>
      </c>
      <c r="T24" s="162">
        <v>31978300</v>
      </c>
      <c r="U24" s="162">
        <f>31978300+21559511</f>
        <v>53537811</v>
      </c>
      <c r="V24" s="162">
        <f>31978300-10290230</f>
        <v>21688070</v>
      </c>
      <c r="W24" s="162">
        <f>31978300+2139478+11416424</f>
        <v>45534202</v>
      </c>
      <c r="X24" s="162">
        <v>31978300</v>
      </c>
      <c r="Y24" s="162">
        <f>31978300+11416424</f>
        <v>43394724</v>
      </c>
      <c r="Z24" s="162">
        <f>31978300-38389884</f>
        <v>-6411584</v>
      </c>
      <c r="AA24" s="162">
        <f>31978300+11416424</f>
        <v>43394724</v>
      </c>
      <c r="AB24" s="162">
        <v>63956600</v>
      </c>
      <c r="AC24" s="162">
        <f>SUM(Q24:AB24)</f>
        <v>376610497</v>
      </c>
      <c r="AD24" s="171"/>
      <c r="AE24" s="3"/>
      <c r="AF24" s="597"/>
      <c r="AG24" s="597"/>
      <c r="AH24" s="597"/>
      <c r="AI24" s="597"/>
      <c r="AJ24" s="597"/>
      <c r="AK24" s="597"/>
      <c r="AL24" s="597"/>
      <c r="AM24" s="597"/>
    </row>
    <row r="25" spans="1:41" ht="32" customHeight="1" x14ac:dyDescent="0.2">
      <c r="A25" s="484" t="s">
        <v>50</v>
      </c>
      <c r="B25" s="547"/>
      <c r="C25" s="312">
        <v>475860</v>
      </c>
      <c r="D25" s="301">
        <v>18698718</v>
      </c>
      <c r="E25" s="301" t="s">
        <v>51</v>
      </c>
      <c r="F25" s="301">
        <v>5151217</v>
      </c>
      <c r="G25" s="301" t="s">
        <v>101</v>
      </c>
      <c r="H25" s="301">
        <v>382120</v>
      </c>
      <c r="I25" s="301" t="s">
        <v>101</v>
      </c>
      <c r="J25" s="301" t="s">
        <v>101</v>
      </c>
      <c r="K25" s="301" t="s">
        <v>101</v>
      </c>
      <c r="L25" s="165">
        <v>0</v>
      </c>
      <c r="M25" s="165"/>
      <c r="N25" s="165"/>
      <c r="O25" s="165">
        <f>SUM(C25:N25)</f>
        <v>24707915</v>
      </c>
      <c r="P25" s="170">
        <f>IFERROR(O25/(SUMIF(C25:N25,"&gt;0",C24:N24))," ")</f>
        <v>0.95453709755825344</v>
      </c>
      <c r="Q25" s="164"/>
      <c r="R25" s="301">
        <v>1210733</v>
      </c>
      <c r="S25" s="301">
        <v>15704100</v>
      </c>
      <c r="T25" s="301">
        <v>25939467</v>
      </c>
      <c r="U25" s="301">
        <v>29819500</v>
      </c>
      <c r="V25" s="301">
        <v>29772367</v>
      </c>
      <c r="W25" s="301">
        <v>58576730</v>
      </c>
      <c r="X25" s="301">
        <v>33823900</v>
      </c>
      <c r="Y25" s="301">
        <v>30111700</v>
      </c>
      <c r="Z25" s="165">
        <v>29176499</v>
      </c>
      <c r="AA25" s="165"/>
      <c r="AB25" s="165"/>
      <c r="AC25" s="165">
        <f>SUM(Q25:AB25)</f>
        <v>254134996</v>
      </c>
      <c r="AD25" s="172">
        <f>+AC25/AC24</f>
        <v>0.67479530715257785</v>
      </c>
      <c r="AE25" s="3"/>
      <c r="AF25" s="597"/>
      <c r="AG25" s="597"/>
      <c r="AH25" s="597"/>
      <c r="AI25" s="597"/>
      <c r="AJ25" s="597"/>
      <c r="AK25" s="597"/>
      <c r="AL25" s="597"/>
      <c r="AM25" s="597"/>
    </row>
    <row r="26" spans="1:41" ht="32" customHeight="1" x14ac:dyDescent="0.2">
      <c r="A26" s="59"/>
      <c r="B26" s="54"/>
      <c r="C26" s="80"/>
      <c r="D26" s="80"/>
      <c r="E26" s="80"/>
      <c r="F26" s="80"/>
      <c r="G26" s="80"/>
      <c r="H26" s="80"/>
      <c r="I26" s="80"/>
      <c r="J26" s="80"/>
      <c r="K26" s="80"/>
      <c r="L26" s="80"/>
      <c r="M26" s="80"/>
      <c r="N26" s="80"/>
      <c r="O26" s="80"/>
      <c r="P26" s="80"/>
      <c r="Q26" s="80"/>
      <c r="R26" s="80"/>
      <c r="S26" s="80"/>
      <c r="T26" s="80"/>
      <c r="U26" s="80"/>
      <c r="V26" s="80"/>
      <c r="W26" s="80"/>
      <c r="X26" s="80"/>
      <c r="Y26" s="80"/>
      <c r="Z26" s="80"/>
      <c r="AA26" s="80"/>
      <c r="AB26" s="80"/>
      <c r="AC26" s="60"/>
      <c r="AD26" s="161"/>
    </row>
    <row r="27" spans="1:41" ht="34" customHeight="1" x14ac:dyDescent="0.2">
      <c r="A27" s="543" t="s">
        <v>52</v>
      </c>
      <c r="B27" s="544"/>
      <c r="C27" s="545"/>
      <c r="D27" s="545"/>
      <c r="E27" s="545"/>
      <c r="F27" s="545"/>
      <c r="G27" s="545"/>
      <c r="H27" s="545"/>
      <c r="I27" s="545"/>
      <c r="J27" s="545"/>
      <c r="K27" s="545"/>
      <c r="L27" s="545"/>
      <c r="M27" s="545"/>
      <c r="N27" s="545"/>
      <c r="O27" s="545"/>
      <c r="P27" s="545"/>
      <c r="Q27" s="545"/>
      <c r="R27" s="545"/>
      <c r="S27" s="545"/>
      <c r="T27" s="545"/>
      <c r="U27" s="545"/>
      <c r="V27" s="545"/>
      <c r="W27" s="545"/>
      <c r="X27" s="545"/>
      <c r="Y27" s="545"/>
      <c r="Z27" s="545"/>
      <c r="AA27" s="545"/>
      <c r="AB27" s="545"/>
      <c r="AC27" s="545"/>
      <c r="AD27" s="546"/>
    </row>
    <row r="28" spans="1:41" ht="15" customHeight="1" x14ac:dyDescent="0.2">
      <c r="A28" s="536" t="s">
        <v>53</v>
      </c>
      <c r="B28" s="538" t="s">
        <v>54</v>
      </c>
      <c r="C28" s="539"/>
      <c r="D28" s="540" t="s">
        <v>55</v>
      </c>
      <c r="E28" s="541"/>
      <c r="F28" s="541"/>
      <c r="G28" s="541"/>
      <c r="H28" s="541"/>
      <c r="I28" s="541"/>
      <c r="J28" s="541"/>
      <c r="K28" s="541"/>
      <c r="L28" s="541"/>
      <c r="M28" s="541"/>
      <c r="N28" s="541"/>
      <c r="O28" s="535"/>
      <c r="P28" s="529" t="s">
        <v>41</v>
      </c>
      <c r="Q28" s="529" t="s">
        <v>56</v>
      </c>
      <c r="R28" s="529"/>
      <c r="S28" s="529"/>
      <c r="T28" s="529"/>
      <c r="U28" s="529"/>
      <c r="V28" s="529"/>
      <c r="W28" s="529"/>
      <c r="X28" s="529"/>
      <c r="Y28" s="529"/>
      <c r="Z28" s="529"/>
      <c r="AA28" s="529"/>
      <c r="AB28" s="529"/>
      <c r="AC28" s="529"/>
      <c r="AD28" s="542"/>
    </row>
    <row r="29" spans="1:41" ht="27" customHeight="1" x14ac:dyDescent="0.2">
      <c r="A29" s="537"/>
      <c r="B29" s="532"/>
      <c r="C29" s="487"/>
      <c r="D29" s="88" t="s">
        <v>30</v>
      </c>
      <c r="E29" s="88" t="s">
        <v>31</v>
      </c>
      <c r="F29" s="88" t="s">
        <v>32</v>
      </c>
      <c r="G29" s="88" t="s">
        <v>33</v>
      </c>
      <c r="H29" s="88" t="s">
        <v>34</v>
      </c>
      <c r="I29" s="88" t="s">
        <v>35</v>
      </c>
      <c r="J29" s="88" t="s">
        <v>36</v>
      </c>
      <c r="K29" s="88" t="s">
        <v>37</v>
      </c>
      <c r="L29" s="88" t="s">
        <v>38</v>
      </c>
      <c r="M29" s="88" t="s">
        <v>8</v>
      </c>
      <c r="N29" s="88" t="s">
        <v>39</v>
      </c>
      <c r="O29" s="88" t="s">
        <v>40</v>
      </c>
      <c r="P29" s="535"/>
      <c r="Q29" s="529"/>
      <c r="R29" s="529"/>
      <c r="S29" s="529"/>
      <c r="T29" s="529"/>
      <c r="U29" s="529"/>
      <c r="V29" s="529"/>
      <c r="W29" s="529"/>
      <c r="X29" s="529"/>
      <c r="Y29" s="529"/>
      <c r="Z29" s="529"/>
      <c r="AA29" s="529"/>
      <c r="AB29" s="529"/>
      <c r="AC29" s="529"/>
      <c r="AD29" s="542"/>
    </row>
    <row r="30" spans="1:41" ht="86.25" customHeight="1" thickBot="1" x14ac:dyDescent="0.25">
      <c r="A30" s="85" t="s">
        <v>136</v>
      </c>
      <c r="B30" s="520"/>
      <c r="C30" s="521"/>
      <c r="D30" s="89"/>
      <c r="E30" s="89"/>
      <c r="F30" s="89"/>
      <c r="G30" s="89"/>
      <c r="H30" s="89"/>
      <c r="I30" s="89"/>
      <c r="J30" s="89"/>
      <c r="K30" s="89"/>
      <c r="L30" s="89"/>
      <c r="M30" s="89"/>
      <c r="N30" s="89"/>
      <c r="O30" s="89"/>
      <c r="P30" s="86">
        <f>SUM(D30:O30)</f>
        <v>0</v>
      </c>
      <c r="Q30" s="522"/>
      <c r="R30" s="522"/>
      <c r="S30" s="522"/>
      <c r="T30" s="522"/>
      <c r="U30" s="522"/>
      <c r="V30" s="522"/>
      <c r="W30" s="522"/>
      <c r="X30" s="522"/>
      <c r="Y30" s="522"/>
      <c r="Z30" s="522"/>
      <c r="AA30" s="522"/>
      <c r="AB30" s="522"/>
      <c r="AC30" s="522"/>
      <c r="AD30" s="523"/>
    </row>
    <row r="31" spans="1:41" ht="45" customHeight="1" thickBot="1" x14ac:dyDescent="0.25">
      <c r="A31" s="524" t="s">
        <v>58</v>
      </c>
      <c r="B31" s="525"/>
      <c r="C31" s="525"/>
      <c r="D31" s="525"/>
      <c r="E31" s="525"/>
      <c r="F31" s="525"/>
      <c r="G31" s="525"/>
      <c r="H31" s="525"/>
      <c r="I31" s="525"/>
      <c r="J31" s="525"/>
      <c r="K31" s="525"/>
      <c r="L31" s="525"/>
      <c r="M31" s="525"/>
      <c r="N31" s="525"/>
      <c r="O31" s="525"/>
      <c r="P31" s="525"/>
      <c r="Q31" s="581"/>
      <c r="R31" s="581"/>
      <c r="S31" s="581"/>
      <c r="T31" s="581"/>
      <c r="U31" s="581"/>
      <c r="V31" s="581"/>
      <c r="W31" s="581"/>
      <c r="X31" s="581"/>
      <c r="Y31" s="581"/>
      <c r="Z31" s="581"/>
      <c r="AA31" s="581"/>
      <c r="AB31" s="581"/>
      <c r="AC31" s="581"/>
      <c r="AD31" s="582"/>
    </row>
    <row r="32" spans="1:41" ht="20.25" customHeight="1" x14ac:dyDescent="0.2">
      <c r="A32" s="527" t="s">
        <v>59</v>
      </c>
      <c r="B32" s="485" t="s">
        <v>60</v>
      </c>
      <c r="C32" s="485" t="s">
        <v>54</v>
      </c>
      <c r="D32" s="531" t="s">
        <v>61</v>
      </c>
      <c r="E32" s="485"/>
      <c r="F32" s="485"/>
      <c r="G32" s="485"/>
      <c r="H32" s="485"/>
      <c r="I32" s="485"/>
      <c r="J32" s="485"/>
      <c r="K32" s="485"/>
      <c r="L32" s="485"/>
      <c r="M32" s="485"/>
      <c r="N32" s="485"/>
      <c r="O32" s="485"/>
      <c r="P32" s="488"/>
      <c r="Q32" s="527" t="s">
        <v>62</v>
      </c>
      <c r="R32" s="485"/>
      <c r="S32" s="485"/>
      <c r="T32" s="485"/>
      <c r="U32" s="485"/>
      <c r="V32" s="485"/>
      <c r="W32" s="485"/>
      <c r="X32" s="485"/>
      <c r="Y32" s="485"/>
      <c r="Z32" s="485"/>
      <c r="AA32" s="485"/>
      <c r="AB32" s="485"/>
      <c r="AC32" s="485"/>
      <c r="AD32" s="488"/>
      <c r="AG32" s="87"/>
      <c r="AH32" s="87"/>
      <c r="AI32" s="87"/>
      <c r="AJ32" s="87"/>
      <c r="AK32" s="87"/>
      <c r="AL32" s="87"/>
      <c r="AM32" s="87"/>
      <c r="AN32" s="87"/>
      <c r="AO32" s="87"/>
    </row>
    <row r="33" spans="1:41" ht="27" customHeight="1" thickBot="1" x14ac:dyDescent="0.25">
      <c r="A33" s="638"/>
      <c r="B33" s="640"/>
      <c r="C33" s="705"/>
      <c r="D33" s="357" t="s">
        <v>30</v>
      </c>
      <c r="E33" s="364" t="s">
        <v>31</v>
      </c>
      <c r="F33" s="364" t="s">
        <v>32</v>
      </c>
      <c r="G33" s="364" t="s">
        <v>33</v>
      </c>
      <c r="H33" s="364" t="s">
        <v>34</v>
      </c>
      <c r="I33" s="364" t="s">
        <v>35</v>
      </c>
      <c r="J33" s="364" t="s">
        <v>36</v>
      </c>
      <c r="K33" s="364" t="s">
        <v>37</v>
      </c>
      <c r="L33" s="364" t="s">
        <v>38</v>
      </c>
      <c r="M33" s="364" t="s">
        <v>8</v>
      </c>
      <c r="N33" s="364" t="s">
        <v>39</v>
      </c>
      <c r="O33" s="364" t="s">
        <v>40</v>
      </c>
      <c r="P33" s="377" t="s">
        <v>41</v>
      </c>
      <c r="Q33" s="484" t="s">
        <v>63</v>
      </c>
      <c r="R33" s="486"/>
      <c r="S33" s="486"/>
      <c r="T33" s="486" t="s">
        <v>64</v>
      </c>
      <c r="U33" s="486"/>
      <c r="V33" s="486"/>
      <c r="W33" s="696" t="s">
        <v>65</v>
      </c>
      <c r="X33" s="569"/>
      <c r="Y33" s="569"/>
      <c r="Z33" s="697"/>
      <c r="AA33" s="696" t="s">
        <v>66</v>
      </c>
      <c r="AB33" s="569"/>
      <c r="AC33" s="569"/>
      <c r="AD33" s="570"/>
      <c r="AG33" s="87"/>
      <c r="AH33" s="87"/>
      <c r="AI33" s="87"/>
      <c r="AJ33" s="87"/>
      <c r="AK33" s="87"/>
      <c r="AL33" s="87"/>
      <c r="AM33" s="87"/>
      <c r="AN33" s="87"/>
      <c r="AO33" s="87"/>
    </row>
    <row r="34" spans="1:41" ht="104.25" customHeight="1" x14ac:dyDescent="0.2">
      <c r="A34" s="727" t="s">
        <v>136</v>
      </c>
      <c r="B34" s="728">
        <v>0.1</v>
      </c>
      <c r="C34" s="358" t="s">
        <v>67</v>
      </c>
      <c r="D34" s="388">
        <v>1</v>
      </c>
      <c r="E34" s="389">
        <v>1</v>
      </c>
      <c r="F34" s="389">
        <v>1</v>
      </c>
      <c r="G34" s="389">
        <v>1</v>
      </c>
      <c r="H34" s="389">
        <v>1</v>
      </c>
      <c r="I34" s="389">
        <v>1</v>
      </c>
      <c r="J34" s="389">
        <v>1</v>
      </c>
      <c r="K34" s="389">
        <v>1</v>
      </c>
      <c r="L34" s="389">
        <v>1</v>
      </c>
      <c r="M34" s="389">
        <v>1</v>
      </c>
      <c r="N34" s="389">
        <v>1</v>
      </c>
      <c r="O34" s="389">
        <v>1</v>
      </c>
      <c r="P34" s="390">
        <v>1</v>
      </c>
      <c r="Q34" s="729" t="s">
        <v>137</v>
      </c>
      <c r="R34" s="729"/>
      <c r="S34" s="730"/>
      <c r="T34" s="744" t="s">
        <v>138</v>
      </c>
      <c r="U34" s="744"/>
      <c r="V34" s="745"/>
      <c r="W34" s="748" t="s">
        <v>139</v>
      </c>
      <c r="X34" s="729"/>
      <c r="Y34" s="729"/>
      <c r="Z34" s="730"/>
      <c r="AA34" s="748" t="s">
        <v>566</v>
      </c>
      <c r="AB34" s="729"/>
      <c r="AC34" s="729"/>
      <c r="AD34" s="730"/>
      <c r="AG34" s="87"/>
      <c r="AH34" s="87"/>
      <c r="AI34" s="87"/>
      <c r="AJ34" s="87"/>
      <c r="AK34" s="87"/>
      <c r="AL34" s="87"/>
      <c r="AM34" s="87"/>
      <c r="AN34" s="87"/>
      <c r="AO34" s="87"/>
    </row>
    <row r="35" spans="1:41" ht="104.25" customHeight="1" thickBot="1" x14ac:dyDescent="0.25">
      <c r="A35" s="699"/>
      <c r="B35" s="507"/>
      <c r="C35" s="91" t="s">
        <v>72</v>
      </c>
      <c r="D35" s="275">
        <v>1</v>
      </c>
      <c r="E35" s="275">
        <v>1</v>
      </c>
      <c r="F35" s="275">
        <v>1</v>
      </c>
      <c r="G35" s="275">
        <v>1</v>
      </c>
      <c r="H35" s="275">
        <v>1</v>
      </c>
      <c r="I35" s="275">
        <v>1</v>
      </c>
      <c r="J35" s="275">
        <v>1</v>
      </c>
      <c r="K35" s="275">
        <v>1</v>
      </c>
      <c r="L35" s="275">
        <v>1</v>
      </c>
      <c r="M35" s="391">
        <f>+M34</f>
        <v>1</v>
      </c>
      <c r="N35" s="275">
        <v>0</v>
      </c>
      <c r="O35" s="376">
        <v>0</v>
      </c>
      <c r="P35" s="381">
        <v>1</v>
      </c>
      <c r="Q35" s="731"/>
      <c r="R35" s="731"/>
      <c r="S35" s="732"/>
      <c r="T35" s="746"/>
      <c r="U35" s="746"/>
      <c r="V35" s="747"/>
      <c r="W35" s="749"/>
      <c r="X35" s="731"/>
      <c r="Y35" s="731"/>
      <c r="Z35" s="732"/>
      <c r="AA35" s="749"/>
      <c r="AB35" s="731"/>
      <c r="AC35" s="731"/>
      <c r="AD35" s="732"/>
      <c r="AE35" s="49"/>
      <c r="AG35" s="87"/>
      <c r="AH35" s="87"/>
      <c r="AI35" s="87"/>
      <c r="AJ35" s="87"/>
      <c r="AK35" s="87"/>
      <c r="AL35" s="87"/>
      <c r="AM35" s="87"/>
      <c r="AN35" s="87"/>
      <c r="AO35" s="87"/>
    </row>
    <row r="36" spans="1:41" ht="26" customHeight="1" x14ac:dyDescent="0.2">
      <c r="A36" s="527" t="s">
        <v>73</v>
      </c>
      <c r="B36" s="598" t="s">
        <v>74</v>
      </c>
      <c r="C36" s="527" t="s">
        <v>75</v>
      </c>
      <c r="D36" s="485"/>
      <c r="E36" s="485"/>
      <c r="F36" s="485"/>
      <c r="G36" s="485"/>
      <c r="H36" s="485"/>
      <c r="I36" s="485"/>
      <c r="J36" s="485"/>
      <c r="K36" s="485"/>
      <c r="L36" s="485"/>
      <c r="M36" s="485"/>
      <c r="N36" s="485"/>
      <c r="O36" s="485"/>
      <c r="P36" s="488"/>
      <c r="Q36" s="645" t="s">
        <v>76</v>
      </c>
      <c r="R36" s="645"/>
      <c r="S36" s="645"/>
      <c r="T36" s="645"/>
      <c r="U36" s="645"/>
      <c r="V36" s="645"/>
      <c r="W36" s="645"/>
      <c r="X36" s="645"/>
      <c r="Y36" s="645"/>
      <c r="Z36" s="645"/>
      <c r="AA36" s="645"/>
      <c r="AB36" s="645"/>
      <c r="AC36" s="645"/>
      <c r="AD36" s="646"/>
      <c r="AG36" s="87"/>
      <c r="AH36" s="87"/>
      <c r="AI36" s="87"/>
      <c r="AJ36" s="87"/>
      <c r="AK36" s="87"/>
      <c r="AL36" s="87"/>
      <c r="AM36" s="87"/>
      <c r="AN36" s="87"/>
      <c r="AO36" s="87"/>
    </row>
    <row r="37" spans="1:41" ht="26" customHeight="1" x14ac:dyDescent="0.2">
      <c r="A37" s="528"/>
      <c r="B37" s="540"/>
      <c r="C37" s="187" t="s">
        <v>77</v>
      </c>
      <c r="D37" s="226" t="s">
        <v>78</v>
      </c>
      <c r="E37" s="226" t="s">
        <v>79</v>
      </c>
      <c r="F37" s="226" t="s">
        <v>80</v>
      </c>
      <c r="G37" s="226" t="s">
        <v>81</v>
      </c>
      <c r="H37" s="226" t="s">
        <v>82</v>
      </c>
      <c r="I37" s="226" t="s">
        <v>83</v>
      </c>
      <c r="J37" s="226" t="s">
        <v>84</v>
      </c>
      <c r="K37" s="226" t="s">
        <v>85</v>
      </c>
      <c r="L37" s="226" t="s">
        <v>86</v>
      </c>
      <c r="M37" s="226" t="s">
        <v>87</v>
      </c>
      <c r="N37" s="226" t="s">
        <v>88</v>
      </c>
      <c r="O37" s="226" t="s">
        <v>89</v>
      </c>
      <c r="P37" s="227" t="s">
        <v>90</v>
      </c>
      <c r="Q37" s="647" t="s">
        <v>91</v>
      </c>
      <c r="R37" s="647"/>
      <c r="S37" s="647"/>
      <c r="T37" s="647"/>
      <c r="U37" s="647"/>
      <c r="V37" s="647"/>
      <c r="W37" s="647"/>
      <c r="X37" s="647"/>
      <c r="Y37" s="647"/>
      <c r="Z37" s="647"/>
      <c r="AA37" s="647"/>
      <c r="AB37" s="647"/>
      <c r="AC37" s="647"/>
      <c r="AD37" s="648"/>
      <c r="AG37" s="94"/>
      <c r="AH37" s="94"/>
      <c r="AI37" s="94"/>
      <c r="AJ37" s="94"/>
      <c r="AK37" s="94"/>
      <c r="AL37" s="94"/>
      <c r="AM37" s="94"/>
      <c r="AN37" s="94"/>
      <c r="AO37" s="94"/>
    </row>
    <row r="38" spans="1:41" ht="35.25" customHeight="1" x14ac:dyDescent="0.2">
      <c r="A38" s="688" t="s">
        <v>140</v>
      </c>
      <c r="B38" s="740">
        <v>0.1</v>
      </c>
      <c r="C38" s="102" t="s">
        <v>67</v>
      </c>
      <c r="D38" s="343">
        <v>0</v>
      </c>
      <c r="E38" s="344">
        <v>9.5000000000000001E-2</v>
      </c>
      <c r="F38" s="344">
        <v>9.5000000000000001E-2</v>
      </c>
      <c r="G38" s="344">
        <v>9.5000000000000001E-2</v>
      </c>
      <c r="H38" s="344">
        <v>9.5000000000000001E-2</v>
      </c>
      <c r="I38" s="344">
        <v>9.5000000000000001E-2</v>
      </c>
      <c r="J38" s="344">
        <v>9.5000000000000001E-2</v>
      </c>
      <c r="K38" s="344">
        <v>9.5000000000000001E-2</v>
      </c>
      <c r="L38" s="344">
        <v>9.5000000000000001E-2</v>
      </c>
      <c r="M38" s="344">
        <v>9.5000000000000001E-2</v>
      </c>
      <c r="N38" s="344">
        <v>9.5000000000000001E-2</v>
      </c>
      <c r="O38" s="344">
        <v>0.05</v>
      </c>
      <c r="P38" s="326">
        <f>SUM(D38:O38)</f>
        <v>0.99999999999999989</v>
      </c>
      <c r="Q38" s="719" t="s">
        <v>141</v>
      </c>
      <c r="R38" s="719"/>
      <c r="S38" s="719"/>
      <c r="T38" s="719"/>
      <c r="U38" s="719"/>
      <c r="V38" s="719"/>
      <c r="W38" s="719"/>
      <c r="X38" s="719"/>
      <c r="Y38" s="719"/>
      <c r="Z38" s="719"/>
      <c r="AA38" s="719"/>
      <c r="AB38" s="719"/>
      <c r="AC38" s="719"/>
      <c r="AD38" s="720"/>
      <c r="AE38" s="97"/>
      <c r="AG38" s="98"/>
      <c r="AH38" s="98"/>
      <c r="AI38" s="98"/>
      <c r="AJ38" s="98"/>
      <c r="AK38" s="98"/>
      <c r="AL38" s="98"/>
      <c r="AM38" s="98"/>
      <c r="AN38" s="98"/>
      <c r="AO38" s="98"/>
    </row>
    <row r="39" spans="1:41" ht="35.25" customHeight="1" x14ac:dyDescent="0.2">
      <c r="A39" s="739"/>
      <c r="B39" s="741"/>
      <c r="C39" s="91" t="s">
        <v>72</v>
      </c>
      <c r="D39" s="345" t="s">
        <v>48</v>
      </c>
      <c r="E39" s="346">
        <f>+E38</f>
        <v>9.5000000000000001E-2</v>
      </c>
      <c r="F39" s="346">
        <v>9.5000000000000001E-2</v>
      </c>
      <c r="G39" s="346">
        <v>9.5000000000000001E-2</v>
      </c>
      <c r="H39" s="346">
        <v>9.5000000000000001E-2</v>
      </c>
      <c r="I39" s="346">
        <v>9.5000000000000001E-2</v>
      </c>
      <c r="J39" s="346">
        <v>9.5000000000000001E-2</v>
      </c>
      <c r="K39" s="346">
        <v>9.5000000000000001E-2</v>
      </c>
      <c r="L39" s="346">
        <v>9.5000000000000001E-2</v>
      </c>
      <c r="M39" s="347">
        <v>9.5000000000000001E-2</v>
      </c>
      <c r="N39" s="346" t="s">
        <v>48</v>
      </c>
      <c r="O39" s="346" t="s">
        <v>48</v>
      </c>
      <c r="P39" s="334">
        <f>SUM(D39:O39)</f>
        <v>0.85499999999999987</v>
      </c>
      <c r="Q39" s="742"/>
      <c r="R39" s="742"/>
      <c r="S39" s="742"/>
      <c r="T39" s="742"/>
      <c r="U39" s="742"/>
      <c r="V39" s="742"/>
      <c r="W39" s="742"/>
      <c r="X39" s="742"/>
      <c r="Y39" s="742"/>
      <c r="Z39" s="742"/>
      <c r="AA39" s="742"/>
      <c r="AB39" s="742"/>
      <c r="AC39" s="742"/>
      <c r="AD39" s="743"/>
      <c r="AE39" s="97"/>
    </row>
    <row r="40" spans="1:41" x14ac:dyDescent="0.2">
      <c r="A40" s="50" t="s">
        <v>96</v>
      </c>
    </row>
    <row r="55" spans="1:30" x14ac:dyDescent="0.2">
      <c r="A55" s="459" t="s">
        <v>97</v>
      </c>
      <c r="B55" s="461" t="s">
        <v>74</v>
      </c>
      <c r="C55" s="463" t="s">
        <v>75</v>
      </c>
      <c r="D55" s="464"/>
      <c r="E55" s="464"/>
      <c r="F55" s="464"/>
      <c r="G55" s="464"/>
      <c r="H55" s="464"/>
      <c r="I55" s="464"/>
      <c r="J55" s="464"/>
      <c r="K55" s="464"/>
      <c r="L55" s="464"/>
      <c r="M55" s="464"/>
      <c r="N55" s="464"/>
      <c r="O55" s="464"/>
      <c r="P55" s="465"/>
      <c r="Q55" s="191"/>
      <c r="R55" s="191"/>
      <c r="S55" s="192"/>
      <c r="T55" s="192"/>
      <c r="U55" s="192"/>
      <c r="V55" s="192"/>
      <c r="W55" s="192"/>
      <c r="X55" s="192"/>
      <c r="Y55" s="192"/>
      <c r="Z55" s="192"/>
      <c r="AA55" s="192"/>
      <c r="AB55" s="192"/>
      <c r="AC55" s="192"/>
      <c r="AD55" s="192"/>
    </row>
    <row r="56" spans="1:30" x14ac:dyDescent="0.2">
      <c r="A56" s="460"/>
      <c r="B56" s="462"/>
      <c r="C56" s="193" t="s">
        <v>77</v>
      </c>
      <c r="D56" s="193" t="s">
        <v>78</v>
      </c>
      <c r="E56" s="193" t="s">
        <v>79</v>
      </c>
      <c r="F56" s="193" t="s">
        <v>80</v>
      </c>
      <c r="G56" s="193" t="s">
        <v>81</v>
      </c>
      <c r="H56" s="193" t="s">
        <v>82</v>
      </c>
      <c r="I56" s="193" t="s">
        <v>83</v>
      </c>
      <c r="J56" s="193" t="s">
        <v>84</v>
      </c>
      <c r="K56" s="193" t="s">
        <v>85</v>
      </c>
      <c r="L56" s="193" t="s">
        <v>86</v>
      </c>
      <c r="M56" s="193" t="s">
        <v>87</v>
      </c>
      <c r="N56" s="193" t="s">
        <v>88</v>
      </c>
      <c r="O56" s="193" t="s">
        <v>89</v>
      </c>
      <c r="P56" s="193" t="s">
        <v>90</v>
      </c>
      <c r="Q56" s="191"/>
      <c r="R56" s="191"/>
      <c r="S56" s="192"/>
      <c r="T56" s="192"/>
      <c r="U56" s="192"/>
      <c r="V56" s="192"/>
      <c r="W56" s="192"/>
      <c r="X56" s="192"/>
      <c r="Y56" s="192"/>
      <c r="Z56" s="192"/>
      <c r="AA56" s="192"/>
      <c r="AB56" s="192"/>
      <c r="AC56" s="192"/>
      <c r="AD56" s="192"/>
    </row>
    <row r="57" spans="1:30" x14ac:dyDescent="0.2">
      <c r="A57" s="466" t="str">
        <f>A38</f>
        <v xml:space="preserve">12. Diseñar, publicar y socializar una caja de herramientas de la Estrategia Pedagógica y de Cambio Cultural.  </v>
      </c>
      <c r="B57" s="468">
        <f>B38</f>
        <v>0.1</v>
      </c>
      <c r="C57" s="194" t="s">
        <v>67</v>
      </c>
      <c r="D57" s="195">
        <f>D38*$B$38/$P$38</f>
        <v>0</v>
      </c>
      <c r="E57" s="195">
        <f t="shared" ref="D57:O58" si="0">E38*$B$38/$P$38</f>
        <v>9.5000000000000032E-3</v>
      </c>
      <c r="F57" s="195">
        <f t="shared" si="0"/>
        <v>9.5000000000000032E-3</v>
      </c>
      <c r="G57" s="195">
        <f t="shared" si="0"/>
        <v>9.5000000000000032E-3</v>
      </c>
      <c r="H57" s="195">
        <f t="shared" si="0"/>
        <v>9.5000000000000032E-3</v>
      </c>
      <c r="I57" s="195">
        <f t="shared" si="0"/>
        <v>9.5000000000000032E-3</v>
      </c>
      <c r="J57" s="195">
        <f t="shared" si="0"/>
        <v>9.5000000000000032E-3</v>
      </c>
      <c r="K57" s="195">
        <f t="shared" si="0"/>
        <v>9.5000000000000032E-3</v>
      </c>
      <c r="L57" s="195">
        <f t="shared" si="0"/>
        <v>9.5000000000000032E-3</v>
      </c>
      <c r="M57" s="195">
        <f t="shared" si="0"/>
        <v>9.5000000000000032E-3</v>
      </c>
      <c r="N57" s="195">
        <f t="shared" si="0"/>
        <v>9.5000000000000032E-3</v>
      </c>
      <c r="O57" s="195">
        <f t="shared" si="0"/>
        <v>5.0000000000000018E-3</v>
      </c>
      <c r="P57" s="196">
        <f>SUM(D57:O57)</f>
        <v>0.10000000000000005</v>
      </c>
      <c r="Q57" s="197">
        <v>0.05</v>
      </c>
      <c r="R57" s="198">
        <f>+P57-Q57</f>
        <v>5.0000000000000044E-2</v>
      </c>
      <c r="S57" s="192"/>
      <c r="T57" s="192"/>
      <c r="U57" s="192"/>
      <c r="V57" s="192"/>
      <c r="W57" s="192"/>
      <c r="X57" s="192"/>
      <c r="Y57" s="192"/>
      <c r="Z57" s="192"/>
      <c r="AA57" s="192"/>
      <c r="AB57" s="192"/>
      <c r="AC57" s="192"/>
      <c r="AD57" s="192"/>
    </row>
    <row r="58" spans="1:30" x14ac:dyDescent="0.2">
      <c r="A58" s="467"/>
      <c r="B58" s="469"/>
      <c r="C58" s="203" t="s">
        <v>72</v>
      </c>
      <c r="D58" s="200" t="e">
        <f t="shared" si="0"/>
        <v>#VALUE!</v>
      </c>
      <c r="E58" s="200">
        <f t="shared" si="0"/>
        <v>9.5000000000000032E-3</v>
      </c>
      <c r="F58" s="200">
        <f t="shared" si="0"/>
        <v>9.5000000000000032E-3</v>
      </c>
      <c r="G58" s="200">
        <f t="shared" si="0"/>
        <v>9.5000000000000032E-3</v>
      </c>
      <c r="H58" s="200">
        <f t="shared" si="0"/>
        <v>9.5000000000000032E-3</v>
      </c>
      <c r="I58" s="200">
        <f t="shared" si="0"/>
        <v>9.5000000000000032E-3</v>
      </c>
      <c r="J58" s="200">
        <f t="shared" si="0"/>
        <v>9.5000000000000032E-3</v>
      </c>
      <c r="K58" s="200">
        <f t="shared" si="0"/>
        <v>9.5000000000000032E-3</v>
      </c>
      <c r="L58" s="200">
        <f t="shared" si="0"/>
        <v>9.5000000000000032E-3</v>
      </c>
      <c r="M58" s="200">
        <f t="shared" si="0"/>
        <v>9.5000000000000032E-3</v>
      </c>
      <c r="N58" s="200" t="e">
        <f t="shared" si="0"/>
        <v>#VALUE!</v>
      </c>
      <c r="O58" s="200" t="e">
        <f t="shared" si="0"/>
        <v>#VALUE!</v>
      </c>
      <c r="P58" s="201" t="e">
        <f>SUM(D58:O58)</f>
        <v>#VALUE!</v>
      </c>
      <c r="Q58" s="202" t="e">
        <f>+P58</f>
        <v>#VALUE!</v>
      </c>
      <c r="R58" s="198" t="e">
        <f>+P58-Q58</f>
        <v>#VALUE!</v>
      </c>
      <c r="S58" s="192"/>
      <c r="T58" s="192"/>
      <c r="U58" s="192"/>
      <c r="V58" s="192"/>
      <c r="W58" s="192"/>
      <c r="X58" s="192"/>
      <c r="Y58" s="192"/>
      <c r="Z58" s="192"/>
      <c r="AA58" s="192"/>
      <c r="AB58" s="192"/>
      <c r="AC58" s="192"/>
      <c r="AD58" s="192"/>
    </row>
    <row r="59" spans="1:30" x14ac:dyDescent="0.2">
      <c r="A59" s="455"/>
      <c r="B59" s="457"/>
      <c r="C59" s="206"/>
      <c r="D59" s="195"/>
      <c r="E59" s="195"/>
      <c r="F59" s="195"/>
      <c r="G59" s="195"/>
      <c r="H59" s="195"/>
      <c r="I59" s="195"/>
      <c r="J59" s="195"/>
      <c r="K59" s="195"/>
      <c r="L59" s="195"/>
      <c r="M59" s="195"/>
      <c r="N59" s="195"/>
      <c r="O59" s="195"/>
      <c r="P59" s="207"/>
      <c r="Q59" s="197"/>
      <c r="R59" s="198"/>
      <c r="S59" s="192"/>
      <c r="T59" s="192"/>
      <c r="U59" s="192"/>
      <c r="V59" s="192"/>
      <c r="W59" s="192"/>
      <c r="X59" s="192"/>
      <c r="Y59" s="192"/>
      <c r="Z59" s="192"/>
      <c r="AA59" s="192"/>
      <c r="AB59" s="192"/>
      <c r="AC59" s="192"/>
      <c r="AD59" s="192"/>
    </row>
    <row r="60" spans="1:30" x14ac:dyDescent="0.2">
      <c r="A60" s="456"/>
      <c r="B60" s="458"/>
      <c r="C60" s="206"/>
      <c r="D60" s="210"/>
      <c r="E60" s="210"/>
      <c r="F60" s="210"/>
      <c r="G60" s="210"/>
      <c r="H60" s="210"/>
      <c r="I60" s="210"/>
      <c r="J60" s="210"/>
      <c r="K60" s="210"/>
      <c r="L60" s="210"/>
      <c r="M60" s="210"/>
      <c r="N60" s="210"/>
      <c r="O60" s="210"/>
      <c r="P60" s="207"/>
      <c r="Q60" s="202"/>
      <c r="R60" s="198"/>
      <c r="S60" s="192"/>
      <c r="T60" s="192"/>
      <c r="U60" s="192"/>
      <c r="V60" s="192"/>
      <c r="W60" s="192"/>
      <c r="X60" s="192"/>
      <c r="Y60" s="192"/>
      <c r="Z60" s="192"/>
      <c r="AA60" s="192"/>
      <c r="AB60" s="192"/>
      <c r="AC60" s="192"/>
      <c r="AD60" s="192"/>
    </row>
    <row r="61" spans="1:30" x14ac:dyDescent="0.2">
      <c r="A61" s="455"/>
      <c r="B61" s="457"/>
      <c r="C61" s="206"/>
      <c r="D61" s="195"/>
      <c r="E61" s="195"/>
      <c r="F61" s="195"/>
      <c r="G61" s="195"/>
      <c r="H61" s="195"/>
      <c r="I61" s="195"/>
      <c r="J61" s="195"/>
      <c r="K61" s="195"/>
      <c r="L61" s="195"/>
      <c r="M61" s="195"/>
      <c r="N61" s="195"/>
      <c r="O61" s="195"/>
      <c r="P61" s="207"/>
      <c r="Q61" s="197"/>
      <c r="R61" s="198"/>
      <c r="S61" s="192"/>
      <c r="T61" s="192"/>
      <c r="U61" s="192"/>
      <c r="V61" s="192"/>
      <c r="W61" s="192"/>
      <c r="X61" s="192"/>
      <c r="Y61" s="192"/>
      <c r="Z61" s="192"/>
      <c r="AA61" s="192"/>
      <c r="AB61" s="192"/>
      <c r="AC61" s="192"/>
      <c r="AD61" s="192"/>
    </row>
    <row r="62" spans="1:30" x14ac:dyDescent="0.2">
      <c r="A62" s="456"/>
      <c r="B62" s="458"/>
      <c r="C62" s="206"/>
      <c r="D62" s="210"/>
      <c r="E62" s="210"/>
      <c r="F62" s="210"/>
      <c r="G62" s="210"/>
      <c r="H62" s="210"/>
      <c r="I62" s="210"/>
      <c r="J62" s="210"/>
      <c r="K62" s="210"/>
      <c r="L62" s="210"/>
      <c r="M62" s="210"/>
      <c r="N62" s="210"/>
      <c r="O62" s="210"/>
      <c r="P62" s="207"/>
      <c r="Q62" s="202"/>
      <c r="R62" s="198"/>
      <c r="S62" s="192"/>
      <c r="T62" s="192"/>
      <c r="U62" s="192"/>
      <c r="V62" s="192"/>
      <c r="W62" s="192"/>
      <c r="X62" s="192"/>
      <c r="Y62" s="192"/>
      <c r="Z62" s="192"/>
      <c r="AA62" s="192"/>
      <c r="AB62" s="192"/>
      <c r="AC62" s="192"/>
      <c r="AD62" s="192"/>
    </row>
    <row r="63" spans="1:30" x14ac:dyDescent="0.2">
      <c r="A63" s="204"/>
      <c r="B63" s="205"/>
      <c r="C63" s="206"/>
      <c r="D63" s="195"/>
      <c r="E63" s="195"/>
      <c r="F63" s="195"/>
      <c r="G63" s="195"/>
      <c r="H63" s="195"/>
      <c r="I63" s="195"/>
      <c r="J63" s="195"/>
      <c r="K63" s="195"/>
      <c r="L63" s="195"/>
      <c r="M63" s="195"/>
      <c r="N63" s="195"/>
      <c r="O63" s="195"/>
      <c r="P63" s="207"/>
      <c r="Q63" s="197"/>
      <c r="R63" s="198"/>
      <c r="S63" s="192"/>
      <c r="T63" s="192"/>
      <c r="U63" s="192"/>
      <c r="V63" s="192"/>
      <c r="W63" s="192"/>
      <c r="X63" s="192"/>
      <c r="Y63" s="192"/>
      <c r="Z63" s="192"/>
      <c r="AA63" s="192"/>
      <c r="AB63" s="192"/>
      <c r="AC63" s="192"/>
      <c r="AD63" s="192"/>
    </row>
    <row r="64" spans="1:30" x14ac:dyDescent="0.2">
      <c r="A64" s="208"/>
      <c r="B64" s="209"/>
      <c r="C64" s="206"/>
      <c r="D64" s="210"/>
      <c r="E64" s="210"/>
      <c r="F64" s="210"/>
      <c r="G64" s="210"/>
      <c r="H64" s="210"/>
      <c r="I64" s="210"/>
      <c r="J64" s="210"/>
      <c r="K64" s="210"/>
      <c r="L64" s="210"/>
      <c r="M64" s="210"/>
      <c r="N64" s="210"/>
      <c r="O64" s="210"/>
      <c r="P64" s="207"/>
      <c r="Q64" s="202"/>
      <c r="R64" s="198"/>
      <c r="S64" s="192"/>
      <c r="T64" s="192"/>
      <c r="U64" s="192"/>
      <c r="V64" s="192"/>
      <c r="W64" s="192"/>
      <c r="X64" s="192"/>
      <c r="Y64" s="192"/>
      <c r="Z64" s="192"/>
      <c r="AA64" s="192"/>
      <c r="AB64" s="192"/>
      <c r="AC64" s="192"/>
      <c r="AD64" s="192"/>
    </row>
    <row r="65" spans="1:30" x14ac:dyDescent="0.2">
      <c r="A65" s="191"/>
      <c r="B65" s="211"/>
      <c r="C65" s="212"/>
      <c r="D65" s="213" t="e">
        <f>D58</f>
        <v>#VALUE!</v>
      </c>
      <c r="E65" s="213">
        <f t="shared" ref="E65:O65" si="1">E58</f>
        <v>9.5000000000000032E-3</v>
      </c>
      <c r="F65" s="213">
        <f t="shared" si="1"/>
        <v>9.5000000000000032E-3</v>
      </c>
      <c r="G65" s="213">
        <f t="shared" si="1"/>
        <v>9.5000000000000032E-3</v>
      </c>
      <c r="H65" s="213">
        <f t="shared" si="1"/>
        <v>9.5000000000000032E-3</v>
      </c>
      <c r="I65" s="213">
        <f t="shared" si="1"/>
        <v>9.5000000000000032E-3</v>
      </c>
      <c r="J65" s="213">
        <f t="shared" si="1"/>
        <v>9.5000000000000032E-3</v>
      </c>
      <c r="K65" s="213">
        <f t="shared" si="1"/>
        <v>9.5000000000000032E-3</v>
      </c>
      <c r="L65" s="213">
        <f t="shared" si="1"/>
        <v>9.5000000000000032E-3</v>
      </c>
      <c r="M65" s="213">
        <f t="shared" si="1"/>
        <v>9.5000000000000032E-3</v>
      </c>
      <c r="N65" s="213" t="e">
        <f t="shared" si="1"/>
        <v>#VALUE!</v>
      </c>
      <c r="O65" s="213" t="e">
        <f t="shared" si="1"/>
        <v>#VALUE!</v>
      </c>
      <c r="P65" s="213" t="e">
        <f>P58+P60+P62</f>
        <v>#VALUE!</v>
      </c>
      <c r="Q65" s="191"/>
      <c r="R65" s="198" t="e">
        <f>+P65-Q65</f>
        <v>#VALUE!</v>
      </c>
      <c r="S65" s="192"/>
      <c r="T65" s="192"/>
      <c r="U65" s="192"/>
      <c r="V65" s="192"/>
      <c r="W65" s="192"/>
      <c r="X65" s="192"/>
      <c r="Y65" s="192"/>
      <c r="Z65" s="192"/>
      <c r="AA65" s="192"/>
      <c r="AB65" s="192"/>
      <c r="AC65" s="192"/>
      <c r="AD65" s="192"/>
    </row>
    <row r="66" spans="1:30" x14ac:dyDescent="0.2">
      <c r="A66" s="191"/>
      <c r="B66" s="214"/>
      <c r="C66" s="215" t="s">
        <v>72</v>
      </c>
      <c r="D66" s="216" t="e">
        <f>D65*$W$17/$B$34</f>
        <v>#VALUE!</v>
      </c>
      <c r="E66" s="216">
        <f t="shared" ref="E66:O66" si="2">E65*$W$17/$B$34</f>
        <v>9.5000000000000029E-2</v>
      </c>
      <c r="F66" s="216">
        <f t="shared" si="2"/>
        <v>9.5000000000000029E-2</v>
      </c>
      <c r="G66" s="216">
        <f t="shared" si="2"/>
        <v>9.5000000000000029E-2</v>
      </c>
      <c r="H66" s="216">
        <f t="shared" si="2"/>
        <v>9.5000000000000029E-2</v>
      </c>
      <c r="I66" s="216">
        <f t="shared" si="2"/>
        <v>9.5000000000000029E-2</v>
      </c>
      <c r="J66" s="216">
        <f t="shared" si="2"/>
        <v>9.5000000000000029E-2</v>
      </c>
      <c r="K66" s="216">
        <f t="shared" si="2"/>
        <v>9.5000000000000029E-2</v>
      </c>
      <c r="L66" s="216">
        <f t="shared" si="2"/>
        <v>9.5000000000000029E-2</v>
      </c>
      <c r="M66" s="216">
        <f t="shared" si="2"/>
        <v>9.5000000000000029E-2</v>
      </c>
      <c r="N66" s="216" t="e">
        <f t="shared" si="2"/>
        <v>#VALUE!</v>
      </c>
      <c r="O66" s="216" t="e">
        <f t="shared" si="2"/>
        <v>#VALUE!</v>
      </c>
      <c r="P66" s="217" t="e">
        <f>SUM(D66:O66)</f>
        <v>#VALUE!</v>
      </c>
      <c r="Q66" s="218"/>
      <c r="R66" s="191"/>
      <c r="S66" s="192"/>
      <c r="T66" s="192"/>
      <c r="U66" s="192"/>
      <c r="V66" s="192"/>
      <c r="W66" s="192"/>
      <c r="X66" s="192"/>
      <c r="Y66" s="192"/>
      <c r="Z66" s="192"/>
      <c r="AA66" s="192"/>
      <c r="AB66" s="192"/>
      <c r="AC66" s="192"/>
      <c r="AD66" s="192"/>
    </row>
    <row r="67" spans="1:30" x14ac:dyDescent="0.2">
      <c r="A67" s="218"/>
      <c r="B67" s="219"/>
      <c r="C67" s="219"/>
      <c r="D67" s="219"/>
      <c r="E67" s="219"/>
      <c r="F67" s="219"/>
      <c r="G67" s="219"/>
      <c r="H67" s="219"/>
      <c r="I67" s="219"/>
      <c r="J67" s="219"/>
      <c r="K67" s="219"/>
      <c r="L67" s="219"/>
      <c r="M67" s="219"/>
      <c r="N67" s="219"/>
      <c r="O67" s="219"/>
      <c r="P67" s="219"/>
      <c r="Q67" s="218"/>
      <c r="R67" s="218"/>
      <c r="S67" s="192"/>
      <c r="T67" s="192"/>
      <c r="U67" s="192"/>
      <c r="V67" s="192"/>
      <c r="W67" s="192"/>
      <c r="X67" s="192"/>
      <c r="Y67" s="192"/>
      <c r="Z67" s="192"/>
      <c r="AA67" s="192"/>
      <c r="AB67" s="192"/>
      <c r="AC67" s="192"/>
      <c r="AD67" s="192"/>
    </row>
    <row r="68" spans="1:30" x14ac:dyDescent="0.2">
      <c r="A68" s="197"/>
      <c r="B68" s="108"/>
      <c r="C68" s="108"/>
      <c r="D68" s="213">
        <f>+D57</f>
        <v>0</v>
      </c>
      <c r="E68" s="213">
        <f t="shared" ref="E68:O68" si="3">+E57</f>
        <v>9.5000000000000032E-3</v>
      </c>
      <c r="F68" s="213">
        <f t="shared" si="3"/>
        <v>9.5000000000000032E-3</v>
      </c>
      <c r="G68" s="213">
        <f t="shared" si="3"/>
        <v>9.5000000000000032E-3</v>
      </c>
      <c r="H68" s="213">
        <f t="shared" si="3"/>
        <v>9.5000000000000032E-3</v>
      </c>
      <c r="I68" s="213">
        <f t="shared" si="3"/>
        <v>9.5000000000000032E-3</v>
      </c>
      <c r="J68" s="213">
        <f t="shared" si="3"/>
        <v>9.5000000000000032E-3</v>
      </c>
      <c r="K68" s="213">
        <f t="shared" si="3"/>
        <v>9.5000000000000032E-3</v>
      </c>
      <c r="L68" s="213">
        <f t="shared" si="3"/>
        <v>9.5000000000000032E-3</v>
      </c>
      <c r="M68" s="213">
        <f t="shared" si="3"/>
        <v>9.5000000000000032E-3</v>
      </c>
      <c r="N68" s="213">
        <f t="shared" si="3"/>
        <v>9.5000000000000032E-3</v>
      </c>
      <c r="O68" s="213">
        <f t="shared" si="3"/>
        <v>5.0000000000000018E-3</v>
      </c>
      <c r="P68" s="213">
        <f>+P57+P59+P61</f>
        <v>0.10000000000000005</v>
      </c>
      <c r="Q68" s="197"/>
      <c r="R68" s="197"/>
      <c r="S68" s="192"/>
      <c r="T68" s="192"/>
      <c r="U68" s="192"/>
      <c r="V68" s="192"/>
      <c r="W68" s="192"/>
      <c r="X68" s="192"/>
      <c r="Y68" s="192"/>
      <c r="Z68" s="192"/>
      <c r="AA68" s="192"/>
      <c r="AB68" s="192"/>
      <c r="AC68" s="192"/>
      <c r="AD68" s="192"/>
    </row>
    <row r="69" spans="1:30" x14ac:dyDescent="0.2">
      <c r="A69" s="197"/>
      <c r="B69" s="108"/>
      <c r="C69" s="215" t="s">
        <v>67</v>
      </c>
      <c r="D69" s="216">
        <f t="shared" ref="D69:O69" si="4">D68*$W$17/$B$34</f>
        <v>0</v>
      </c>
      <c r="E69" s="216">
        <f t="shared" si="4"/>
        <v>9.5000000000000029E-2</v>
      </c>
      <c r="F69" s="216">
        <f t="shared" si="4"/>
        <v>9.5000000000000029E-2</v>
      </c>
      <c r="G69" s="216">
        <f t="shared" si="4"/>
        <v>9.5000000000000029E-2</v>
      </c>
      <c r="H69" s="216">
        <f t="shared" si="4"/>
        <v>9.5000000000000029E-2</v>
      </c>
      <c r="I69" s="216">
        <f t="shared" si="4"/>
        <v>9.5000000000000029E-2</v>
      </c>
      <c r="J69" s="216">
        <f t="shared" si="4"/>
        <v>9.5000000000000029E-2</v>
      </c>
      <c r="K69" s="216">
        <f t="shared" si="4"/>
        <v>9.5000000000000029E-2</v>
      </c>
      <c r="L69" s="216">
        <f t="shared" si="4"/>
        <v>9.5000000000000029E-2</v>
      </c>
      <c r="M69" s="216">
        <f t="shared" si="4"/>
        <v>9.5000000000000029E-2</v>
      </c>
      <c r="N69" s="216">
        <f t="shared" si="4"/>
        <v>9.5000000000000029E-2</v>
      </c>
      <c r="O69" s="216">
        <f t="shared" si="4"/>
        <v>5.0000000000000017E-2</v>
      </c>
      <c r="P69" s="217">
        <f>SUM(D69:O69)</f>
        <v>1.0000000000000002</v>
      </c>
      <c r="Q69" s="197"/>
      <c r="R69" s="197"/>
      <c r="S69" s="192"/>
      <c r="T69" s="192"/>
      <c r="U69" s="192"/>
      <c r="V69" s="192"/>
      <c r="W69" s="192"/>
      <c r="X69" s="192"/>
      <c r="Y69" s="192"/>
      <c r="Z69" s="192"/>
      <c r="AA69" s="192"/>
      <c r="AB69" s="192"/>
      <c r="AC69" s="192"/>
      <c r="AD69" s="192"/>
    </row>
    <row r="70" spans="1:30" x14ac:dyDescent="0.2">
      <c r="A70" s="192"/>
      <c r="Q70" s="192"/>
      <c r="R70" s="192"/>
      <c r="S70" s="192"/>
      <c r="T70" s="192"/>
      <c r="U70" s="192"/>
      <c r="V70" s="192"/>
      <c r="W70" s="192"/>
      <c r="X70" s="192"/>
      <c r="Y70" s="192"/>
      <c r="Z70" s="192"/>
      <c r="AA70" s="192"/>
      <c r="AB70" s="192"/>
      <c r="AC70" s="192"/>
      <c r="AD70" s="192"/>
    </row>
    <row r="71" spans="1:30" x14ac:dyDescent="0.2">
      <c r="A71" s="192"/>
      <c r="Q71" s="192"/>
      <c r="R71" s="192"/>
      <c r="S71" s="192"/>
      <c r="T71" s="192"/>
      <c r="U71" s="192"/>
      <c r="V71" s="192"/>
      <c r="W71" s="192"/>
      <c r="X71" s="192"/>
      <c r="Y71" s="192"/>
      <c r="Z71" s="192"/>
      <c r="AA71" s="192"/>
      <c r="AB71" s="192"/>
      <c r="AC71" s="192"/>
      <c r="AD71" s="192"/>
    </row>
    <row r="72" spans="1:30" x14ac:dyDescent="0.2">
      <c r="A72" s="192"/>
      <c r="Q72" s="192"/>
      <c r="R72" s="192"/>
      <c r="S72" s="192"/>
      <c r="T72" s="192"/>
      <c r="U72" s="192"/>
      <c r="V72" s="192"/>
      <c r="W72" s="192"/>
      <c r="X72" s="192"/>
      <c r="Y72" s="192"/>
      <c r="Z72" s="192"/>
      <c r="AA72" s="192"/>
      <c r="AB72" s="192"/>
      <c r="AC72" s="192"/>
      <c r="AD72" s="192"/>
    </row>
  </sheetData>
  <mergeCells count="83">
    <mergeCell ref="AF22:AM25"/>
    <mergeCell ref="A38:A39"/>
    <mergeCell ref="B38:B39"/>
    <mergeCell ref="Q38:AD39"/>
    <mergeCell ref="W33:Z33"/>
    <mergeCell ref="AA33:AD33"/>
    <mergeCell ref="A34:A35"/>
    <mergeCell ref="B34:B35"/>
    <mergeCell ref="Q34:S35"/>
    <mergeCell ref="T34:V35"/>
    <mergeCell ref="W34:Z35"/>
    <mergeCell ref="AA34:AD35"/>
    <mergeCell ref="A36:A37"/>
    <mergeCell ref="B36:B37"/>
    <mergeCell ref="C36:P36"/>
    <mergeCell ref="Q36:AD36"/>
    <mergeCell ref="Q37:AD37"/>
    <mergeCell ref="B30:C30"/>
    <mergeCell ref="Q30:AD30"/>
    <mergeCell ref="A31:AD31"/>
    <mergeCell ref="A32:A33"/>
    <mergeCell ref="B32:B33"/>
    <mergeCell ref="C32:C33"/>
    <mergeCell ref="D32:P32"/>
    <mergeCell ref="Q32:AD32"/>
    <mergeCell ref="Q33:S33"/>
    <mergeCell ref="T33:V33"/>
    <mergeCell ref="A28:A29"/>
    <mergeCell ref="B28:C29"/>
    <mergeCell ref="D28:O28"/>
    <mergeCell ref="P28:P29"/>
    <mergeCell ref="Q28:AD29"/>
    <mergeCell ref="Q20:AD20"/>
    <mergeCell ref="A22:B22"/>
    <mergeCell ref="A23:B23"/>
    <mergeCell ref="A25:B25"/>
    <mergeCell ref="A27:AD27"/>
    <mergeCell ref="A24:B24"/>
    <mergeCell ref="R17:V17"/>
    <mergeCell ref="W17:X17"/>
    <mergeCell ref="Y17:AB17"/>
    <mergeCell ref="AC17:AD17"/>
    <mergeCell ref="A15:B15"/>
    <mergeCell ref="C15:K15"/>
    <mergeCell ref="L15:Q15"/>
    <mergeCell ref="R15:X15"/>
    <mergeCell ref="Y15:Z15"/>
    <mergeCell ref="A19:AD19"/>
    <mergeCell ref="C20:P20"/>
    <mergeCell ref="A11:B13"/>
    <mergeCell ref="C11:AD13"/>
    <mergeCell ref="A7:B9"/>
    <mergeCell ref="C7:C9"/>
    <mergeCell ref="D7:H9"/>
    <mergeCell ref="O7:P7"/>
    <mergeCell ref="M8:N8"/>
    <mergeCell ref="O8:P8"/>
    <mergeCell ref="M9:N9"/>
    <mergeCell ref="O9:P9"/>
    <mergeCell ref="AA15:AD15"/>
    <mergeCell ref="C16:AB16"/>
    <mergeCell ref="A17:B17"/>
    <mergeCell ref="C17:Q17"/>
    <mergeCell ref="AB4:AD4"/>
    <mergeCell ref="I7:J9"/>
    <mergeCell ref="K7:L9"/>
    <mergeCell ref="M7:N7"/>
    <mergeCell ref="A1:A4"/>
    <mergeCell ref="B1:AA1"/>
    <mergeCell ref="AB1:AD1"/>
    <mergeCell ref="B2:AA2"/>
    <mergeCell ref="AB2:AD2"/>
    <mergeCell ref="B3:AA4"/>
    <mergeCell ref="AB3:AD3"/>
    <mergeCell ref="A61:A62"/>
    <mergeCell ref="B61:B62"/>
    <mergeCell ref="A55:A56"/>
    <mergeCell ref="B55:B56"/>
    <mergeCell ref="C55:P55"/>
    <mergeCell ref="A57:A58"/>
    <mergeCell ref="B57:B58"/>
    <mergeCell ref="A59:A60"/>
    <mergeCell ref="B59:B60"/>
  </mergeCells>
  <dataValidations count="3">
    <dataValidation type="textLength" operator="lessThanOrEqual" allowBlank="1" showInputMessage="1" showErrorMessage="1" errorTitle="Máximo 2.000 caracteres" error="Máximo 2.000 caracteres" sqref="AA34 Q34 W34 Q38:AD39" xr:uid="{00000000-0002-0000-0400-000000000000}">
      <formula1>2000</formula1>
    </dataValidation>
    <dataValidation type="textLength" operator="lessThanOrEqual" allowBlank="1" showInputMessage="1" showErrorMessage="1" errorTitle="Máximo 2.000 caracteres" error="Máximo 2.000 caracteres" promptTitle="2.000 caracteres" sqref="Q30:AD30" xr:uid="{00000000-0002-0000-0400-000001000000}">
      <formula1>2000</formula1>
    </dataValidation>
    <dataValidation type="list" allowBlank="1" showInputMessage="1" showErrorMessage="1" sqref="C7:C9" xr:uid="{243BF490-D2BB-4331-8070-E04014861872}"/>
  </dataValidations>
  <pageMargins left="0.25" right="0.25" top="0.75" bottom="0.75" header="0.3" footer="0.3"/>
  <pageSetup scale="19" orientation="landscape"/>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39997558519241921"/>
    <pageSetUpPr fitToPage="1"/>
  </sheetPr>
  <dimension ref="A1:AM40"/>
  <sheetViews>
    <sheetView topLeftCell="H9" zoomScaleNormal="106" workbookViewId="0">
      <selection activeCell="S13" sqref="S13:T13"/>
    </sheetView>
  </sheetViews>
  <sheetFormatPr baseColWidth="10" defaultColWidth="10.83203125" defaultRowHeight="15" x14ac:dyDescent="0.2"/>
  <cols>
    <col min="1" max="1" width="38.5" style="50" customWidth="1"/>
    <col min="2" max="2" width="15.5" style="50" customWidth="1"/>
    <col min="3" max="3" width="16.33203125" style="50" customWidth="1"/>
    <col min="4" max="6" width="7" style="50" customWidth="1"/>
    <col min="7" max="15" width="7.6640625" style="50" customWidth="1"/>
    <col min="16" max="16" width="13.33203125" style="50" customWidth="1"/>
    <col min="17" max="17" width="10.83203125" style="50"/>
    <col min="18" max="18" width="7.5" style="50" customWidth="1"/>
    <col min="19" max="20" width="10.83203125" style="50"/>
    <col min="21" max="21" width="13" style="50" customWidth="1"/>
    <col min="22" max="22" width="7.83203125" style="50" customWidth="1"/>
    <col min="23" max="28" width="12.1640625" style="50" customWidth="1"/>
    <col min="29" max="29" width="6.33203125" style="50" bestFit="1" customWidth="1"/>
    <col min="30" max="30" width="22.83203125" style="50" customWidth="1"/>
    <col min="31" max="31" width="18.5" style="50" bestFit="1" customWidth="1"/>
    <col min="32" max="32" width="8.5" style="50" customWidth="1"/>
    <col min="33" max="33" width="18.5" style="50" bestFit="1" customWidth="1"/>
    <col min="34" max="34" width="5.6640625" style="50" customWidth="1"/>
    <col min="35" max="35" width="18.5" style="50" bestFit="1" customWidth="1"/>
    <col min="36" max="36" width="4.6640625" style="50" customWidth="1"/>
    <col min="37" max="37" width="23" style="50" bestFit="1" customWidth="1"/>
    <col min="38" max="38" width="10.83203125" style="50"/>
    <col min="39" max="39" width="18.5" style="50" bestFit="1" customWidth="1"/>
    <col min="40" max="40" width="16.1640625" style="50" customWidth="1"/>
    <col min="41" max="16384" width="10.83203125" style="50"/>
  </cols>
  <sheetData>
    <row r="1" spans="1:28" ht="32.25" customHeight="1" x14ac:dyDescent="0.2">
      <c r="A1" s="812"/>
      <c r="B1" s="769" t="s">
        <v>0</v>
      </c>
      <c r="C1" s="770"/>
      <c r="D1" s="770"/>
      <c r="E1" s="770"/>
      <c r="F1" s="770"/>
      <c r="G1" s="770"/>
      <c r="H1" s="770"/>
      <c r="I1" s="770"/>
      <c r="J1" s="770"/>
      <c r="K1" s="770"/>
      <c r="L1" s="770"/>
      <c r="M1" s="770"/>
      <c r="N1" s="770"/>
      <c r="O1" s="770"/>
      <c r="P1" s="770"/>
      <c r="Q1" s="770"/>
      <c r="R1" s="770"/>
      <c r="S1" s="770"/>
      <c r="T1" s="770"/>
      <c r="U1" s="770"/>
      <c r="V1" s="770"/>
      <c r="W1" s="770"/>
      <c r="X1" s="770"/>
      <c r="Y1" s="771"/>
      <c r="Z1" s="822" t="s">
        <v>142</v>
      </c>
      <c r="AA1" s="823"/>
      <c r="AB1" s="824"/>
    </row>
    <row r="2" spans="1:28" ht="30.75" customHeight="1" x14ac:dyDescent="0.2">
      <c r="A2" s="813"/>
      <c r="B2" s="778" t="s">
        <v>2</v>
      </c>
      <c r="C2" s="779"/>
      <c r="D2" s="779"/>
      <c r="E2" s="779"/>
      <c r="F2" s="779"/>
      <c r="G2" s="779"/>
      <c r="H2" s="779"/>
      <c r="I2" s="779"/>
      <c r="J2" s="779"/>
      <c r="K2" s="779"/>
      <c r="L2" s="779"/>
      <c r="M2" s="779"/>
      <c r="N2" s="779"/>
      <c r="O2" s="779"/>
      <c r="P2" s="779"/>
      <c r="Q2" s="779"/>
      <c r="R2" s="779"/>
      <c r="S2" s="779"/>
      <c r="T2" s="779"/>
      <c r="U2" s="779"/>
      <c r="V2" s="779"/>
      <c r="W2" s="779"/>
      <c r="X2" s="779"/>
      <c r="Y2" s="780"/>
      <c r="Z2" s="815" t="s">
        <v>143</v>
      </c>
      <c r="AA2" s="816"/>
      <c r="AB2" s="817"/>
    </row>
    <row r="3" spans="1:28" ht="24" customHeight="1" x14ac:dyDescent="0.2">
      <c r="A3" s="813"/>
      <c r="B3" s="613" t="s">
        <v>4</v>
      </c>
      <c r="C3" s="614"/>
      <c r="D3" s="614"/>
      <c r="E3" s="614"/>
      <c r="F3" s="614"/>
      <c r="G3" s="614"/>
      <c r="H3" s="614"/>
      <c r="I3" s="614"/>
      <c r="J3" s="614"/>
      <c r="K3" s="614"/>
      <c r="L3" s="614"/>
      <c r="M3" s="614"/>
      <c r="N3" s="614"/>
      <c r="O3" s="614"/>
      <c r="P3" s="614"/>
      <c r="Q3" s="614"/>
      <c r="R3" s="614"/>
      <c r="S3" s="614"/>
      <c r="T3" s="614"/>
      <c r="U3" s="614"/>
      <c r="V3" s="614"/>
      <c r="W3" s="614"/>
      <c r="X3" s="614"/>
      <c r="Y3" s="615"/>
      <c r="Z3" s="815" t="s">
        <v>144</v>
      </c>
      <c r="AA3" s="816"/>
      <c r="AB3" s="817"/>
    </row>
    <row r="4" spans="1:28" ht="15.75" customHeight="1" thickBot="1" x14ac:dyDescent="0.25">
      <c r="A4" s="814"/>
      <c r="B4" s="616"/>
      <c r="C4" s="617"/>
      <c r="D4" s="617"/>
      <c r="E4" s="617"/>
      <c r="F4" s="617"/>
      <c r="G4" s="617"/>
      <c r="H4" s="617"/>
      <c r="I4" s="617"/>
      <c r="J4" s="617"/>
      <c r="K4" s="617"/>
      <c r="L4" s="617"/>
      <c r="M4" s="617"/>
      <c r="N4" s="617"/>
      <c r="O4" s="617"/>
      <c r="P4" s="617"/>
      <c r="Q4" s="617"/>
      <c r="R4" s="617"/>
      <c r="S4" s="617"/>
      <c r="T4" s="617"/>
      <c r="U4" s="617"/>
      <c r="V4" s="617"/>
      <c r="W4" s="617"/>
      <c r="X4" s="617"/>
      <c r="Y4" s="618"/>
      <c r="Z4" s="818" t="s">
        <v>6</v>
      </c>
      <c r="AA4" s="819"/>
      <c r="AB4" s="820"/>
    </row>
    <row r="5" spans="1:28" ht="9" customHeight="1" thickBot="1" x14ac:dyDescent="0.25">
      <c r="A5" s="51"/>
      <c r="B5" s="52"/>
      <c r="C5" s="53"/>
      <c r="D5" s="54"/>
      <c r="E5" s="54"/>
      <c r="F5" s="54"/>
      <c r="G5" s="54"/>
      <c r="H5" s="54"/>
      <c r="I5" s="54"/>
      <c r="J5" s="54"/>
      <c r="K5" s="54"/>
      <c r="L5" s="54"/>
      <c r="M5" s="54"/>
      <c r="N5" s="54"/>
      <c r="O5" s="54"/>
      <c r="P5" s="54"/>
      <c r="Q5" s="54"/>
      <c r="R5" s="54"/>
      <c r="S5" s="54"/>
      <c r="T5" s="54"/>
      <c r="U5" s="54"/>
      <c r="V5" s="54"/>
      <c r="W5" s="54"/>
      <c r="X5" s="55"/>
      <c r="Y5" s="54"/>
      <c r="Z5" s="56"/>
      <c r="AA5" s="57"/>
      <c r="AB5" s="58"/>
    </row>
    <row r="6" spans="1:28" ht="9" customHeight="1" thickBot="1" x14ac:dyDescent="0.25">
      <c r="A6" s="59"/>
      <c r="B6" s="54"/>
      <c r="C6" s="54"/>
      <c r="D6" s="54"/>
      <c r="E6" s="54"/>
      <c r="F6" s="54"/>
      <c r="G6" s="54"/>
      <c r="H6" s="54"/>
      <c r="I6" s="54"/>
      <c r="J6" s="54"/>
      <c r="K6" s="54"/>
      <c r="L6" s="54"/>
      <c r="M6" s="54"/>
      <c r="N6" s="54"/>
      <c r="O6" s="54"/>
      <c r="P6" s="54"/>
      <c r="Q6" s="54"/>
      <c r="R6" s="54"/>
      <c r="S6" s="54"/>
      <c r="T6" s="54"/>
      <c r="U6" s="54"/>
      <c r="V6" s="54"/>
      <c r="W6" s="54"/>
      <c r="X6" s="55"/>
      <c r="Y6" s="54"/>
      <c r="Z6" s="54"/>
      <c r="AA6" s="60"/>
      <c r="AB6" s="61"/>
    </row>
    <row r="7" spans="1:28" ht="15" customHeight="1" x14ac:dyDescent="0.2">
      <c r="A7" s="601" t="s">
        <v>15</v>
      </c>
      <c r="B7" s="602"/>
      <c r="C7" s="610"/>
      <c r="D7" s="611"/>
      <c r="E7" s="611"/>
      <c r="F7" s="611"/>
      <c r="G7" s="611"/>
      <c r="H7" s="611"/>
      <c r="I7" s="611"/>
      <c r="J7" s="611"/>
      <c r="K7" s="612"/>
      <c r="L7" s="62"/>
      <c r="M7" s="63"/>
      <c r="N7" s="63"/>
      <c r="O7" s="63"/>
      <c r="P7" s="63"/>
      <c r="Q7" s="64"/>
      <c r="R7" s="755" t="s">
        <v>9</v>
      </c>
      <c r="S7" s="821"/>
      <c r="T7" s="756"/>
      <c r="U7" s="754" t="s">
        <v>145</v>
      </c>
      <c r="V7" s="623"/>
      <c r="W7" s="755" t="s">
        <v>10</v>
      </c>
      <c r="X7" s="756"/>
      <c r="Y7" s="589" t="s">
        <v>11</v>
      </c>
      <c r="Z7" s="590"/>
      <c r="AA7" s="628"/>
      <c r="AB7" s="629"/>
    </row>
    <row r="8" spans="1:28" ht="15" customHeight="1" x14ac:dyDescent="0.2">
      <c r="A8" s="603"/>
      <c r="B8" s="604"/>
      <c r="C8" s="613"/>
      <c r="D8" s="614"/>
      <c r="E8" s="614"/>
      <c r="F8" s="614"/>
      <c r="G8" s="614"/>
      <c r="H8" s="614"/>
      <c r="I8" s="614"/>
      <c r="J8" s="614"/>
      <c r="K8" s="615"/>
      <c r="L8" s="62"/>
      <c r="M8" s="63"/>
      <c r="N8" s="63"/>
      <c r="O8" s="63"/>
      <c r="P8" s="63"/>
      <c r="Q8" s="64"/>
      <c r="R8" s="565"/>
      <c r="S8" s="566"/>
      <c r="T8" s="567"/>
      <c r="U8" s="624"/>
      <c r="V8" s="625"/>
      <c r="W8" s="565"/>
      <c r="X8" s="567"/>
      <c r="Y8" s="630" t="s">
        <v>12</v>
      </c>
      <c r="Z8" s="631"/>
      <c r="AA8" s="632"/>
      <c r="AB8" s="633"/>
    </row>
    <row r="9" spans="1:28" ht="15" customHeight="1" thickBot="1" x14ac:dyDescent="0.25">
      <c r="A9" s="605"/>
      <c r="B9" s="606"/>
      <c r="C9" s="616"/>
      <c r="D9" s="617"/>
      <c r="E9" s="617"/>
      <c r="F9" s="617"/>
      <c r="G9" s="617"/>
      <c r="H9" s="617"/>
      <c r="I9" s="617"/>
      <c r="J9" s="617"/>
      <c r="K9" s="618"/>
      <c r="L9" s="62"/>
      <c r="M9" s="63"/>
      <c r="N9" s="63"/>
      <c r="O9" s="63"/>
      <c r="P9" s="63"/>
      <c r="Q9" s="64"/>
      <c r="R9" s="568"/>
      <c r="S9" s="569"/>
      <c r="T9" s="570"/>
      <c r="U9" s="626"/>
      <c r="V9" s="627"/>
      <c r="W9" s="568"/>
      <c r="X9" s="570"/>
      <c r="Y9" s="634" t="s">
        <v>13</v>
      </c>
      <c r="Z9" s="635"/>
      <c r="AA9" s="587"/>
      <c r="AB9" s="588"/>
    </row>
    <row r="10" spans="1:28" ht="9" customHeight="1" thickBot="1" x14ac:dyDescent="0.25">
      <c r="A10" s="67"/>
      <c r="B10" s="68"/>
      <c r="C10" s="69"/>
      <c r="D10" s="69"/>
      <c r="E10" s="69"/>
      <c r="F10" s="69"/>
      <c r="G10" s="69"/>
      <c r="H10" s="69"/>
      <c r="I10" s="69"/>
      <c r="J10" s="69"/>
      <c r="K10" s="69"/>
      <c r="L10" s="69"/>
      <c r="M10" s="70"/>
      <c r="N10" s="70"/>
      <c r="O10" s="70"/>
      <c r="P10" s="70"/>
      <c r="Q10" s="70"/>
      <c r="R10" s="71"/>
      <c r="S10" s="71"/>
      <c r="T10" s="71"/>
      <c r="U10" s="71"/>
      <c r="V10" s="71"/>
      <c r="W10" s="65"/>
      <c r="X10" s="65"/>
      <c r="Y10" s="65"/>
      <c r="Z10" s="65"/>
      <c r="AA10" s="65"/>
      <c r="AB10" s="66"/>
    </row>
    <row r="11" spans="1:28" ht="39" customHeight="1" thickBot="1" x14ac:dyDescent="0.25">
      <c r="A11" s="552" t="s">
        <v>17</v>
      </c>
      <c r="B11" s="553"/>
      <c r="C11" s="591"/>
      <c r="D11" s="592"/>
      <c r="E11" s="592"/>
      <c r="F11" s="592"/>
      <c r="G11" s="592"/>
      <c r="H11" s="592"/>
      <c r="I11" s="592"/>
      <c r="J11" s="592"/>
      <c r="K11" s="593"/>
      <c r="L11" s="72"/>
      <c r="M11" s="560" t="s">
        <v>19</v>
      </c>
      <c r="N11" s="564"/>
      <c r="O11" s="564"/>
      <c r="P11" s="564"/>
      <c r="Q11" s="561"/>
      <c r="R11" s="557"/>
      <c r="S11" s="558"/>
      <c r="T11" s="558"/>
      <c r="U11" s="558"/>
      <c r="V11" s="559"/>
      <c r="W11" s="560" t="s">
        <v>21</v>
      </c>
      <c r="X11" s="561"/>
      <c r="Y11" s="548"/>
      <c r="Z11" s="549"/>
      <c r="AA11" s="549"/>
      <c r="AB11" s="550"/>
    </row>
    <row r="12" spans="1:28" ht="9" customHeight="1" thickBot="1" x14ac:dyDescent="0.25">
      <c r="A12" s="59"/>
      <c r="B12" s="54"/>
      <c r="C12" s="551"/>
      <c r="D12" s="551"/>
      <c r="E12" s="551"/>
      <c r="F12" s="551"/>
      <c r="G12" s="551"/>
      <c r="H12" s="551"/>
      <c r="I12" s="551"/>
      <c r="J12" s="551"/>
      <c r="K12" s="551"/>
      <c r="L12" s="551"/>
      <c r="M12" s="551"/>
      <c r="N12" s="551"/>
      <c r="O12" s="551"/>
      <c r="P12" s="551"/>
      <c r="Q12" s="551"/>
      <c r="R12" s="551"/>
      <c r="S12" s="551"/>
      <c r="T12" s="551"/>
      <c r="U12" s="551"/>
      <c r="V12" s="551"/>
      <c r="W12" s="551"/>
      <c r="X12" s="551"/>
      <c r="Y12" s="551"/>
      <c r="Z12" s="551"/>
      <c r="AA12" s="73"/>
      <c r="AB12" s="74"/>
    </row>
    <row r="13" spans="1:28" s="76" customFormat="1" ht="37.5" customHeight="1" thickBot="1" x14ac:dyDescent="0.25">
      <c r="A13" s="552" t="s">
        <v>23</v>
      </c>
      <c r="B13" s="553"/>
      <c r="C13" s="554"/>
      <c r="D13" s="555"/>
      <c r="E13" s="555"/>
      <c r="F13" s="555"/>
      <c r="G13" s="555"/>
      <c r="H13" s="555"/>
      <c r="I13" s="555"/>
      <c r="J13" s="555"/>
      <c r="K13" s="555"/>
      <c r="L13" s="555"/>
      <c r="M13" s="555"/>
      <c r="N13" s="555"/>
      <c r="O13" s="555"/>
      <c r="P13" s="555"/>
      <c r="Q13" s="556"/>
      <c r="R13" s="54"/>
      <c r="S13" s="781" t="s">
        <v>146</v>
      </c>
      <c r="T13" s="781"/>
      <c r="U13" s="75"/>
      <c r="V13" s="794" t="s">
        <v>26</v>
      </c>
      <c r="W13" s="781"/>
      <c r="X13" s="781"/>
      <c r="Y13" s="781"/>
      <c r="Z13" s="54"/>
      <c r="AA13" s="599"/>
      <c r="AB13" s="600"/>
    </row>
    <row r="14" spans="1:28" ht="16.5" customHeight="1" thickBot="1" x14ac:dyDescent="0.25">
      <c r="A14" s="77"/>
      <c r="B14" s="78"/>
      <c r="C14" s="78"/>
      <c r="D14" s="78"/>
      <c r="E14" s="78"/>
      <c r="F14" s="78"/>
      <c r="G14" s="78"/>
      <c r="H14" s="78"/>
      <c r="I14" s="78"/>
      <c r="J14" s="78"/>
      <c r="K14" s="78"/>
      <c r="L14" s="78"/>
      <c r="M14" s="78"/>
      <c r="N14" s="78"/>
      <c r="O14" s="78"/>
      <c r="P14" s="78"/>
      <c r="Q14" s="78"/>
      <c r="R14" s="78"/>
      <c r="S14" s="78"/>
      <c r="T14" s="78"/>
      <c r="U14" s="78"/>
      <c r="V14" s="78"/>
      <c r="W14" s="78"/>
      <c r="X14" s="78"/>
      <c r="Y14" s="78"/>
      <c r="Z14" s="78"/>
      <c r="AA14" s="78"/>
      <c r="AB14" s="79"/>
    </row>
    <row r="15" spans="1:28" ht="24" customHeight="1" thickBot="1" x14ac:dyDescent="0.25">
      <c r="A15" s="601" t="s">
        <v>7</v>
      </c>
      <c r="B15" s="602"/>
      <c r="C15" s="805" t="s">
        <v>147</v>
      </c>
      <c r="D15" s="80"/>
      <c r="E15" s="80"/>
      <c r="F15" s="80"/>
      <c r="G15" s="80"/>
      <c r="H15" s="80"/>
      <c r="I15" s="80"/>
      <c r="J15" s="70"/>
      <c r="K15" s="81"/>
      <c r="L15" s="70"/>
      <c r="M15" s="60"/>
      <c r="N15" s="60"/>
      <c r="O15" s="60"/>
      <c r="P15" s="60"/>
      <c r="Q15" s="795" t="s">
        <v>27</v>
      </c>
      <c r="R15" s="796"/>
      <c r="S15" s="796"/>
      <c r="T15" s="796"/>
      <c r="U15" s="796"/>
      <c r="V15" s="796"/>
      <c r="W15" s="796"/>
      <c r="X15" s="796"/>
      <c r="Y15" s="796"/>
      <c r="Z15" s="796"/>
      <c r="AA15" s="796"/>
      <c r="AB15" s="797"/>
    </row>
    <row r="16" spans="1:28" ht="35.25" customHeight="1" thickBot="1" x14ac:dyDescent="0.25">
      <c r="A16" s="605"/>
      <c r="B16" s="606"/>
      <c r="C16" s="806"/>
      <c r="D16" s="80"/>
      <c r="E16" s="80"/>
      <c r="F16" s="80"/>
      <c r="G16" s="80"/>
      <c r="H16" s="80"/>
      <c r="I16" s="80"/>
      <c r="J16" s="70"/>
      <c r="K16" s="70"/>
      <c r="L16" s="70"/>
      <c r="M16" s="60"/>
      <c r="N16" s="60"/>
      <c r="O16" s="60"/>
      <c r="P16" s="60"/>
      <c r="Q16" s="790" t="s">
        <v>148</v>
      </c>
      <c r="R16" s="752"/>
      <c r="S16" s="752"/>
      <c r="T16" s="752"/>
      <c r="U16" s="752"/>
      <c r="V16" s="791"/>
      <c r="W16" s="751" t="s">
        <v>149</v>
      </c>
      <c r="X16" s="752"/>
      <c r="Y16" s="752"/>
      <c r="Z16" s="752"/>
      <c r="AA16" s="752"/>
      <c r="AB16" s="753"/>
    </row>
    <row r="17" spans="1:39" ht="27" customHeight="1" x14ac:dyDescent="0.2">
      <c r="A17" s="82"/>
      <c r="B17" s="60"/>
      <c r="C17" s="60"/>
      <c r="D17" s="80"/>
      <c r="E17" s="80"/>
      <c r="F17" s="80"/>
      <c r="G17" s="80"/>
      <c r="H17" s="80"/>
      <c r="I17" s="80"/>
      <c r="J17" s="80"/>
      <c r="K17" s="80"/>
      <c r="L17" s="80"/>
      <c r="M17" s="60"/>
      <c r="N17" s="60"/>
      <c r="O17" s="60"/>
      <c r="P17" s="60"/>
      <c r="Q17" s="760" t="s">
        <v>150</v>
      </c>
      <c r="R17" s="761"/>
      <c r="S17" s="762"/>
      <c r="T17" s="766" t="s">
        <v>151</v>
      </c>
      <c r="U17" s="767"/>
      <c r="V17" s="768"/>
      <c r="W17" s="825" t="s">
        <v>150</v>
      </c>
      <c r="X17" s="762"/>
      <c r="Y17" s="825" t="s">
        <v>152</v>
      </c>
      <c r="Z17" s="762"/>
      <c r="AA17" s="766" t="s">
        <v>153</v>
      </c>
      <c r="AB17" s="826"/>
      <c r="AC17" s="83"/>
      <c r="AD17" s="83"/>
    </row>
    <row r="18" spans="1:39" ht="27" customHeight="1" x14ac:dyDescent="0.2">
      <c r="A18" s="82"/>
      <c r="B18" s="60"/>
      <c r="C18" s="60"/>
      <c r="D18" s="80"/>
      <c r="E18" s="80"/>
      <c r="F18" s="80"/>
      <c r="G18" s="80"/>
      <c r="H18" s="80"/>
      <c r="I18" s="80"/>
      <c r="J18" s="80"/>
      <c r="K18" s="80"/>
      <c r="L18" s="80"/>
      <c r="M18" s="60"/>
      <c r="N18" s="60"/>
      <c r="O18" s="60"/>
      <c r="P18" s="60"/>
      <c r="Q18" s="151"/>
      <c r="R18" s="152"/>
      <c r="S18" s="153"/>
      <c r="T18" s="766"/>
      <c r="U18" s="767"/>
      <c r="V18" s="768"/>
      <c r="W18" s="142"/>
      <c r="X18" s="143"/>
      <c r="Y18" s="142"/>
      <c r="Z18" s="143"/>
      <c r="AA18" s="144"/>
      <c r="AB18" s="145"/>
      <c r="AC18" s="83"/>
      <c r="AD18" s="83"/>
    </row>
    <row r="19" spans="1:39" ht="18" customHeight="1" thickBot="1" x14ac:dyDescent="0.25">
      <c r="A19" s="59"/>
      <c r="B19" s="54"/>
      <c r="C19" s="80"/>
      <c r="D19" s="80"/>
      <c r="E19" s="80"/>
      <c r="F19" s="80"/>
      <c r="G19" s="84"/>
      <c r="H19" s="84"/>
      <c r="I19" s="84"/>
      <c r="J19" s="84"/>
      <c r="K19" s="84"/>
      <c r="L19" s="84"/>
      <c r="M19" s="80"/>
      <c r="N19" s="80"/>
      <c r="O19" s="80"/>
      <c r="P19" s="80"/>
      <c r="Q19" s="757"/>
      <c r="R19" s="758"/>
      <c r="S19" s="759"/>
      <c r="T19" s="765"/>
      <c r="U19" s="758"/>
      <c r="V19" s="759"/>
      <c r="W19" s="798"/>
      <c r="X19" s="799"/>
      <c r="Y19" s="828"/>
      <c r="Z19" s="829"/>
      <c r="AA19" s="763"/>
      <c r="AB19" s="764"/>
      <c r="AC19" s="3"/>
      <c r="AD19" s="3"/>
    </row>
    <row r="20" spans="1:39" ht="7.5" customHeight="1" thickBot="1" x14ac:dyDescent="0.25">
      <c r="A20" s="59"/>
      <c r="B20" s="54"/>
      <c r="C20" s="80"/>
      <c r="D20" s="80"/>
      <c r="E20" s="80"/>
      <c r="F20" s="80"/>
      <c r="G20" s="80"/>
      <c r="H20" s="80"/>
      <c r="I20" s="80"/>
      <c r="J20" s="80"/>
      <c r="K20" s="80"/>
      <c r="L20" s="80"/>
      <c r="M20" s="80"/>
      <c r="N20" s="80"/>
      <c r="O20" s="80"/>
      <c r="P20" s="80"/>
      <c r="Q20" s="80"/>
      <c r="R20" s="80"/>
      <c r="S20" s="80"/>
      <c r="T20" s="80"/>
      <c r="U20" s="80"/>
      <c r="V20" s="80"/>
      <c r="W20" s="80"/>
      <c r="X20" s="80"/>
      <c r="Y20" s="80"/>
      <c r="Z20" s="80"/>
      <c r="AA20" s="60"/>
      <c r="AB20" s="61"/>
    </row>
    <row r="21" spans="1:39" ht="17.25" customHeight="1" x14ac:dyDescent="0.2">
      <c r="A21" s="543" t="s">
        <v>52</v>
      </c>
      <c r="B21" s="544"/>
      <c r="C21" s="545"/>
      <c r="D21" s="545"/>
      <c r="E21" s="545"/>
      <c r="F21" s="545"/>
      <c r="G21" s="545"/>
      <c r="H21" s="545"/>
      <c r="I21" s="545"/>
      <c r="J21" s="545"/>
      <c r="K21" s="545"/>
      <c r="L21" s="545"/>
      <c r="M21" s="545"/>
      <c r="N21" s="545"/>
      <c r="O21" s="545"/>
      <c r="P21" s="545"/>
      <c r="Q21" s="545"/>
      <c r="R21" s="545"/>
      <c r="S21" s="545"/>
      <c r="T21" s="545"/>
      <c r="U21" s="545"/>
      <c r="V21" s="545"/>
      <c r="W21" s="545"/>
      <c r="X21" s="545"/>
      <c r="Y21" s="545"/>
      <c r="Z21" s="545"/>
      <c r="AA21" s="545"/>
      <c r="AB21" s="546"/>
    </row>
    <row r="22" spans="1:39" ht="15" customHeight="1" x14ac:dyDescent="0.2">
      <c r="A22" s="536" t="s">
        <v>53</v>
      </c>
      <c r="B22" s="538" t="s">
        <v>54</v>
      </c>
      <c r="C22" s="539"/>
      <c r="D22" s="540" t="s">
        <v>154</v>
      </c>
      <c r="E22" s="541"/>
      <c r="F22" s="541"/>
      <c r="G22" s="541"/>
      <c r="H22" s="541"/>
      <c r="I22" s="541"/>
      <c r="J22" s="541"/>
      <c r="K22" s="541"/>
      <c r="L22" s="541"/>
      <c r="M22" s="541"/>
      <c r="N22" s="541"/>
      <c r="O22" s="535"/>
      <c r="P22" s="529" t="s">
        <v>41</v>
      </c>
      <c r="Q22" s="529" t="s">
        <v>56</v>
      </c>
      <c r="R22" s="529"/>
      <c r="S22" s="529"/>
      <c r="T22" s="529"/>
      <c r="U22" s="529"/>
      <c r="V22" s="529"/>
      <c r="W22" s="529"/>
      <c r="X22" s="529"/>
      <c r="Y22" s="529"/>
      <c r="Z22" s="529"/>
      <c r="AA22" s="529"/>
      <c r="AB22" s="542"/>
    </row>
    <row r="23" spans="1:39" ht="27" customHeight="1" x14ac:dyDescent="0.2">
      <c r="A23" s="537"/>
      <c r="B23" s="532"/>
      <c r="C23" s="487"/>
      <c r="D23" s="88" t="s">
        <v>30</v>
      </c>
      <c r="E23" s="88" t="s">
        <v>31</v>
      </c>
      <c r="F23" s="88" t="s">
        <v>32</v>
      </c>
      <c r="G23" s="88" t="s">
        <v>33</v>
      </c>
      <c r="H23" s="88" t="s">
        <v>34</v>
      </c>
      <c r="I23" s="88" t="s">
        <v>35</v>
      </c>
      <c r="J23" s="88" t="s">
        <v>36</v>
      </c>
      <c r="K23" s="88" t="s">
        <v>37</v>
      </c>
      <c r="L23" s="88" t="s">
        <v>38</v>
      </c>
      <c r="M23" s="88" t="s">
        <v>8</v>
      </c>
      <c r="N23" s="88" t="s">
        <v>39</v>
      </c>
      <c r="O23" s="88" t="s">
        <v>40</v>
      </c>
      <c r="P23" s="535"/>
      <c r="Q23" s="529"/>
      <c r="R23" s="529"/>
      <c r="S23" s="529"/>
      <c r="T23" s="529"/>
      <c r="U23" s="529"/>
      <c r="V23" s="529"/>
      <c r="W23" s="529"/>
      <c r="X23" s="529"/>
      <c r="Y23" s="529"/>
      <c r="Z23" s="529"/>
      <c r="AA23" s="529"/>
      <c r="AB23" s="542"/>
    </row>
    <row r="24" spans="1:39" ht="42" customHeight="1" thickBot="1" x14ac:dyDescent="0.25">
      <c r="A24" s="85"/>
      <c r="B24" s="520"/>
      <c r="C24" s="521"/>
      <c r="D24" s="89"/>
      <c r="E24" s="89"/>
      <c r="F24" s="89"/>
      <c r="G24" s="89"/>
      <c r="H24" s="89"/>
      <c r="I24" s="89"/>
      <c r="J24" s="89"/>
      <c r="K24" s="89"/>
      <c r="L24" s="89"/>
      <c r="M24" s="89"/>
      <c r="N24" s="89"/>
      <c r="O24" s="89"/>
      <c r="P24" s="86">
        <f>SUM(D24:O24)</f>
        <v>0</v>
      </c>
      <c r="Q24" s="522" t="s">
        <v>155</v>
      </c>
      <c r="R24" s="522"/>
      <c r="S24" s="522"/>
      <c r="T24" s="522"/>
      <c r="U24" s="522"/>
      <c r="V24" s="522"/>
      <c r="W24" s="522"/>
      <c r="X24" s="522"/>
      <c r="Y24" s="522"/>
      <c r="Z24" s="522"/>
      <c r="AA24" s="522"/>
      <c r="AB24" s="523"/>
    </row>
    <row r="25" spans="1:39" ht="22" customHeight="1" x14ac:dyDescent="0.2">
      <c r="A25" s="580" t="s">
        <v>58</v>
      </c>
      <c r="B25" s="581"/>
      <c r="C25" s="581"/>
      <c r="D25" s="581"/>
      <c r="E25" s="581"/>
      <c r="F25" s="581"/>
      <c r="G25" s="581"/>
      <c r="H25" s="581"/>
      <c r="I25" s="581"/>
      <c r="J25" s="581"/>
      <c r="K25" s="581"/>
      <c r="L25" s="581"/>
      <c r="M25" s="581"/>
      <c r="N25" s="581"/>
      <c r="O25" s="581"/>
      <c r="P25" s="581"/>
      <c r="Q25" s="581"/>
      <c r="R25" s="581"/>
      <c r="S25" s="581"/>
      <c r="T25" s="581"/>
      <c r="U25" s="581"/>
      <c r="V25" s="581"/>
      <c r="W25" s="581"/>
      <c r="X25" s="581"/>
      <c r="Y25" s="581"/>
      <c r="Z25" s="581"/>
      <c r="AA25" s="581"/>
      <c r="AB25" s="582"/>
    </row>
    <row r="26" spans="1:39" ht="23" customHeight="1" x14ac:dyDescent="0.2">
      <c r="A26" s="528" t="s">
        <v>59</v>
      </c>
      <c r="B26" s="529" t="s">
        <v>60</v>
      </c>
      <c r="C26" s="529" t="s">
        <v>54</v>
      </c>
      <c r="D26" s="529" t="s">
        <v>61</v>
      </c>
      <c r="E26" s="529"/>
      <c r="F26" s="529"/>
      <c r="G26" s="529"/>
      <c r="H26" s="529"/>
      <c r="I26" s="529"/>
      <c r="J26" s="529"/>
      <c r="K26" s="529"/>
      <c r="L26" s="529"/>
      <c r="M26" s="529"/>
      <c r="N26" s="529"/>
      <c r="O26" s="529"/>
      <c r="P26" s="529"/>
      <c r="Q26" s="529" t="s">
        <v>62</v>
      </c>
      <c r="R26" s="529"/>
      <c r="S26" s="529"/>
      <c r="T26" s="529"/>
      <c r="U26" s="529"/>
      <c r="V26" s="529"/>
      <c r="W26" s="529"/>
      <c r="X26" s="529"/>
      <c r="Y26" s="529"/>
      <c r="Z26" s="529"/>
      <c r="AA26" s="529"/>
      <c r="AB26" s="542"/>
      <c r="AE26" s="87"/>
      <c r="AF26" s="87"/>
      <c r="AG26" s="87"/>
      <c r="AH26" s="87"/>
      <c r="AI26" s="87"/>
      <c r="AJ26" s="87"/>
      <c r="AK26" s="87"/>
      <c r="AL26" s="87"/>
      <c r="AM26" s="87"/>
    </row>
    <row r="27" spans="1:39" ht="23" customHeight="1" x14ac:dyDescent="0.2">
      <c r="A27" s="528"/>
      <c r="B27" s="529"/>
      <c r="C27" s="827"/>
      <c r="D27" s="88" t="s">
        <v>30</v>
      </c>
      <c r="E27" s="88" t="s">
        <v>31</v>
      </c>
      <c r="F27" s="88" t="s">
        <v>32</v>
      </c>
      <c r="G27" s="88" t="s">
        <v>33</v>
      </c>
      <c r="H27" s="88" t="s">
        <v>34</v>
      </c>
      <c r="I27" s="88" t="s">
        <v>35</v>
      </c>
      <c r="J27" s="88" t="s">
        <v>36</v>
      </c>
      <c r="K27" s="88" t="s">
        <v>37</v>
      </c>
      <c r="L27" s="88" t="s">
        <v>38</v>
      </c>
      <c r="M27" s="88" t="s">
        <v>8</v>
      </c>
      <c r="N27" s="88" t="s">
        <v>39</v>
      </c>
      <c r="O27" s="88" t="s">
        <v>40</v>
      </c>
      <c r="P27" s="88" t="s">
        <v>41</v>
      </c>
      <c r="Q27" s="532" t="s">
        <v>156</v>
      </c>
      <c r="R27" s="533"/>
      <c r="S27" s="533"/>
      <c r="T27" s="487"/>
      <c r="U27" s="532" t="s">
        <v>65</v>
      </c>
      <c r="V27" s="533"/>
      <c r="W27" s="533"/>
      <c r="X27" s="487"/>
      <c r="Y27" s="532" t="s">
        <v>66</v>
      </c>
      <c r="Z27" s="533"/>
      <c r="AA27" s="533"/>
      <c r="AB27" s="534"/>
      <c r="AE27" s="87"/>
      <c r="AF27" s="87"/>
      <c r="AG27" s="87"/>
      <c r="AH27" s="87"/>
      <c r="AI27" s="87"/>
      <c r="AJ27" s="87"/>
      <c r="AK27" s="87"/>
      <c r="AL27" s="87"/>
      <c r="AM27" s="87"/>
    </row>
    <row r="28" spans="1:39" ht="33" customHeight="1" x14ac:dyDescent="0.2">
      <c r="A28" s="830"/>
      <c r="B28" s="750"/>
      <c r="C28" s="90" t="s">
        <v>67</v>
      </c>
      <c r="D28" s="89"/>
      <c r="E28" s="89"/>
      <c r="F28" s="89"/>
      <c r="G28" s="89"/>
      <c r="H28" s="89"/>
      <c r="I28" s="89"/>
      <c r="J28" s="89"/>
      <c r="K28" s="89"/>
      <c r="L28" s="89"/>
      <c r="M28" s="89"/>
      <c r="N28" s="89"/>
      <c r="O28" s="89"/>
      <c r="P28" s="149">
        <f>SUM(D28:O28)</f>
        <v>0</v>
      </c>
      <c r="Q28" s="782" t="s">
        <v>157</v>
      </c>
      <c r="R28" s="783"/>
      <c r="S28" s="783"/>
      <c r="T28" s="784"/>
      <c r="U28" s="782" t="s">
        <v>158</v>
      </c>
      <c r="V28" s="783"/>
      <c r="W28" s="783"/>
      <c r="X28" s="784"/>
      <c r="Y28" s="782" t="s">
        <v>159</v>
      </c>
      <c r="Z28" s="783"/>
      <c r="AA28" s="783"/>
      <c r="AB28" s="788"/>
      <c r="AE28" s="87"/>
      <c r="AF28" s="87"/>
      <c r="AG28" s="87"/>
      <c r="AH28" s="87"/>
      <c r="AI28" s="87"/>
      <c r="AJ28" s="87"/>
      <c r="AK28" s="87"/>
      <c r="AL28" s="87"/>
      <c r="AM28" s="87"/>
    </row>
    <row r="29" spans="1:39" ht="34" customHeight="1" thickBot="1" x14ac:dyDescent="0.25">
      <c r="A29" s="669"/>
      <c r="B29" s="671"/>
      <c r="C29" s="91" t="s">
        <v>72</v>
      </c>
      <c r="D29" s="92"/>
      <c r="E29" s="92"/>
      <c r="F29" s="92"/>
      <c r="G29" s="93"/>
      <c r="H29" s="93"/>
      <c r="I29" s="93"/>
      <c r="J29" s="93"/>
      <c r="K29" s="93"/>
      <c r="L29" s="93"/>
      <c r="M29" s="93"/>
      <c r="N29" s="93"/>
      <c r="O29" s="93"/>
      <c r="P29" s="150">
        <f>SUM(D29:O29)</f>
        <v>0</v>
      </c>
      <c r="Q29" s="785"/>
      <c r="R29" s="786"/>
      <c r="S29" s="786"/>
      <c r="T29" s="787"/>
      <c r="U29" s="785"/>
      <c r="V29" s="786"/>
      <c r="W29" s="786"/>
      <c r="X29" s="787"/>
      <c r="Y29" s="785"/>
      <c r="Z29" s="786"/>
      <c r="AA29" s="786"/>
      <c r="AB29" s="789"/>
      <c r="AC29" s="49"/>
      <c r="AE29" s="87"/>
      <c r="AF29" s="87"/>
      <c r="AG29" s="87"/>
      <c r="AH29" s="87"/>
      <c r="AI29" s="87"/>
      <c r="AJ29" s="87"/>
      <c r="AK29" s="87"/>
      <c r="AL29" s="87"/>
      <c r="AM29" s="87"/>
    </row>
    <row r="30" spans="1:39" ht="26" customHeight="1" x14ac:dyDescent="0.2">
      <c r="A30" s="527" t="s">
        <v>73</v>
      </c>
      <c r="B30" s="835" t="s">
        <v>74</v>
      </c>
      <c r="C30" s="485" t="s">
        <v>75</v>
      </c>
      <c r="D30" s="485"/>
      <c r="E30" s="485"/>
      <c r="F30" s="485"/>
      <c r="G30" s="485"/>
      <c r="H30" s="485"/>
      <c r="I30" s="485"/>
      <c r="J30" s="485"/>
      <c r="K30" s="485"/>
      <c r="L30" s="485"/>
      <c r="M30" s="485"/>
      <c r="N30" s="485"/>
      <c r="O30" s="485"/>
      <c r="P30" s="485"/>
      <c r="Q30" s="598" t="s">
        <v>76</v>
      </c>
      <c r="R30" s="645"/>
      <c r="S30" s="645"/>
      <c r="T30" s="645"/>
      <c r="U30" s="645"/>
      <c r="V30" s="645"/>
      <c r="W30" s="645"/>
      <c r="X30" s="645"/>
      <c r="Y30" s="645"/>
      <c r="Z30" s="645"/>
      <c r="AA30" s="645"/>
      <c r="AB30" s="646"/>
      <c r="AE30" s="87"/>
      <c r="AF30" s="87"/>
      <c r="AG30" s="87"/>
      <c r="AH30" s="87"/>
      <c r="AI30" s="87"/>
      <c r="AJ30" s="87"/>
      <c r="AK30" s="87"/>
      <c r="AL30" s="87"/>
      <c r="AM30" s="87"/>
    </row>
    <row r="31" spans="1:39" ht="26" customHeight="1" x14ac:dyDescent="0.2">
      <c r="A31" s="528"/>
      <c r="B31" s="718"/>
      <c r="C31" s="88" t="s">
        <v>77</v>
      </c>
      <c r="D31" s="88" t="s">
        <v>78</v>
      </c>
      <c r="E31" s="88" t="s">
        <v>79</v>
      </c>
      <c r="F31" s="88" t="s">
        <v>80</v>
      </c>
      <c r="G31" s="88" t="s">
        <v>81</v>
      </c>
      <c r="H31" s="88" t="s">
        <v>82</v>
      </c>
      <c r="I31" s="88" t="s">
        <v>83</v>
      </c>
      <c r="J31" s="88" t="s">
        <v>84</v>
      </c>
      <c r="K31" s="88" t="s">
        <v>85</v>
      </c>
      <c r="L31" s="88" t="s">
        <v>86</v>
      </c>
      <c r="M31" s="88" t="s">
        <v>87</v>
      </c>
      <c r="N31" s="88" t="s">
        <v>88</v>
      </c>
      <c r="O31" s="88" t="s">
        <v>89</v>
      </c>
      <c r="P31" s="88" t="s">
        <v>90</v>
      </c>
      <c r="Q31" s="540" t="s">
        <v>91</v>
      </c>
      <c r="R31" s="541"/>
      <c r="S31" s="541"/>
      <c r="T31" s="541"/>
      <c r="U31" s="541"/>
      <c r="V31" s="541"/>
      <c r="W31" s="541"/>
      <c r="X31" s="541"/>
      <c r="Y31" s="541"/>
      <c r="Z31" s="541"/>
      <c r="AA31" s="541"/>
      <c r="AB31" s="800"/>
      <c r="AE31" s="94"/>
      <c r="AF31" s="94"/>
      <c r="AG31" s="94"/>
      <c r="AH31" s="94"/>
      <c r="AI31" s="94"/>
      <c r="AJ31" s="94"/>
      <c r="AK31" s="94"/>
      <c r="AL31" s="94"/>
      <c r="AM31" s="94"/>
    </row>
    <row r="32" spans="1:39" ht="28.5" customHeight="1" x14ac:dyDescent="0.2">
      <c r="A32" s="836"/>
      <c r="B32" s="833"/>
      <c r="C32" s="90" t="s">
        <v>67</v>
      </c>
      <c r="D32" s="95"/>
      <c r="E32" s="95"/>
      <c r="F32" s="95"/>
      <c r="G32" s="95"/>
      <c r="H32" s="95"/>
      <c r="I32" s="95"/>
      <c r="J32" s="95"/>
      <c r="K32" s="95"/>
      <c r="L32" s="95"/>
      <c r="M32" s="95"/>
      <c r="N32" s="95"/>
      <c r="O32" s="95"/>
      <c r="P32" s="96">
        <f t="shared" ref="P32:P39" si="0">SUM(D32:O32)</f>
        <v>0</v>
      </c>
      <c r="Q32" s="801" t="s">
        <v>160</v>
      </c>
      <c r="R32" s="722"/>
      <c r="S32" s="722"/>
      <c r="T32" s="722"/>
      <c r="U32" s="722"/>
      <c r="V32" s="722"/>
      <c r="W32" s="722"/>
      <c r="X32" s="722"/>
      <c r="Y32" s="722"/>
      <c r="Z32" s="722"/>
      <c r="AA32" s="722"/>
      <c r="AB32" s="723"/>
      <c r="AC32" s="97"/>
      <c r="AE32" s="98"/>
      <c r="AF32" s="98"/>
      <c r="AG32" s="98"/>
      <c r="AH32" s="98"/>
      <c r="AI32" s="98"/>
      <c r="AJ32" s="98"/>
      <c r="AK32" s="98"/>
      <c r="AL32" s="98"/>
      <c r="AM32" s="98"/>
    </row>
    <row r="33" spans="1:29" ht="28.5" customHeight="1" x14ac:dyDescent="0.2">
      <c r="A33" s="837"/>
      <c r="B33" s="834"/>
      <c r="C33" s="99" t="s">
        <v>72</v>
      </c>
      <c r="D33" s="100"/>
      <c r="E33" s="100"/>
      <c r="F33" s="100"/>
      <c r="G33" s="100"/>
      <c r="H33" s="100"/>
      <c r="I33" s="100"/>
      <c r="J33" s="100"/>
      <c r="K33" s="100"/>
      <c r="L33" s="100"/>
      <c r="M33" s="100"/>
      <c r="N33" s="100"/>
      <c r="O33" s="100"/>
      <c r="P33" s="101">
        <f t="shared" si="0"/>
        <v>0</v>
      </c>
      <c r="Q33" s="802"/>
      <c r="R33" s="803"/>
      <c r="S33" s="803"/>
      <c r="T33" s="803"/>
      <c r="U33" s="803"/>
      <c r="V33" s="803"/>
      <c r="W33" s="803"/>
      <c r="X33" s="803"/>
      <c r="Y33" s="803"/>
      <c r="Z33" s="803"/>
      <c r="AA33" s="803"/>
      <c r="AB33" s="804"/>
      <c r="AC33" s="97"/>
    </row>
    <row r="34" spans="1:29" ht="28.5" customHeight="1" x14ac:dyDescent="0.2">
      <c r="A34" s="837"/>
      <c r="B34" s="807"/>
      <c r="C34" s="102" t="s">
        <v>67</v>
      </c>
      <c r="D34" s="103"/>
      <c r="E34" s="103"/>
      <c r="F34" s="103"/>
      <c r="G34" s="103"/>
      <c r="H34" s="103"/>
      <c r="I34" s="103"/>
      <c r="J34" s="103"/>
      <c r="K34" s="103"/>
      <c r="L34" s="103"/>
      <c r="M34" s="103"/>
      <c r="N34" s="103"/>
      <c r="O34" s="103"/>
      <c r="P34" s="101">
        <f t="shared" si="0"/>
        <v>0</v>
      </c>
      <c r="Q34" s="772"/>
      <c r="R34" s="773"/>
      <c r="S34" s="773"/>
      <c r="T34" s="773"/>
      <c r="U34" s="773"/>
      <c r="V34" s="773"/>
      <c r="W34" s="773"/>
      <c r="X34" s="773"/>
      <c r="Y34" s="773"/>
      <c r="Z34" s="773"/>
      <c r="AA34" s="773"/>
      <c r="AB34" s="774"/>
      <c r="AC34" s="97"/>
    </row>
    <row r="35" spans="1:29" ht="28.5" customHeight="1" x14ac:dyDescent="0.2">
      <c r="A35" s="837"/>
      <c r="B35" s="834"/>
      <c r="C35" s="99" t="s">
        <v>72</v>
      </c>
      <c r="D35" s="100"/>
      <c r="E35" s="100"/>
      <c r="F35" s="100"/>
      <c r="G35" s="100"/>
      <c r="H35" s="100"/>
      <c r="I35" s="100"/>
      <c r="J35" s="100"/>
      <c r="K35" s="100"/>
      <c r="L35" s="104"/>
      <c r="M35" s="104"/>
      <c r="N35" s="104"/>
      <c r="O35" s="104"/>
      <c r="P35" s="101">
        <f t="shared" si="0"/>
        <v>0</v>
      </c>
      <c r="Q35" s="775"/>
      <c r="R35" s="776"/>
      <c r="S35" s="776"/>
      <c r="T35" s="776"/>
      <c r="U35" s="776"/>
      <c r="V35" s="776"/>
      <c r="W35" s="776"/>
      <c r="X35" s="776"/>
      <c r="Y35" s="776"/>
      <c r="Z35" s="776"/>
      <c r="AA35" s="776"/>
      <c r="AB35" s="777"/>
      <c r="AC35" s="97"/>
    </row>
    <row r="36" spans="1:29" ht="28.5" customHeight="1" x14ac:dyDescent="0.2">
      <c r="A36" s="831"/>
      <c r="B36" s="807"/>
      <c r="C36" s="102" t="s">
        <v>67</v>
      </c>
      <c r="D36" s="103"/>
      <c r="E36" s="103"/>
      <c r="F36" s="103"/>
      <c r="G36" s="103"/>
      <c r="H36" s="103"/>
      <c r="I36" s="103"/>
      <c r="J36" s="103"/>
      <c r="K36" s="103"/>
      <c r="L36" s="103"/>
      <c r="M36" s="103"/>
      <c r="N36" s="103"/>
      <c r="O36" s="103"/>
      <c r="P36" s="101">
        <f t="shared" si="0"/>
        <v>0</v>
      </c>
      <c r="Q36" s="772"/>
      <c r="R36" s="773"/>
      <c r="S36" s="773"/>
      <c r="T36" s="773"/>
      <c r="U36" s="773"/>
      <c r="V36" s="773"/>
      <c r="W36" s="773"/>
      <c r="X36" s="773"/>
      <c r="Y36" s="773"/>
      <c r="Z36" s="773"/>
      <c r="AA36" s="773"/>
      <c r="AB36" s="774"/>
      <c r="AC36" s="97"/>
    </row>
    <row r="37" spans="1:29" ht="28.5" customHeight="1" x14ac:dyDescent="0.2">
      <c r="A37" s="832"/>
      <c r="B37" s="834"/>
      <c r="C37" s="99" t="s">
        <v>72</v>
      </c>
      <c r="D37" s="100"/>
      <c r="E37" s="100"/>
      <c r="F37" s="100"/>
      <c r="G37" s="100"/>
      <c r="H37" s="100"/>
      <c r="I37" s="100"/>
      <c r="J37" s="100"/>
      <c r="K37" s="100"/>
      <c r="L37" s="104"/>
      <c r="M37" s="104"/>
      <c r="N37" s="104"/>
      <c r="O37" s="104"/>
      <c r="P37" s="101">
        <f t="shared" si="0"/>
        <v>0</v>
      </c>
      <c r="Q37" s="775"/>
      <c r="R37" s="776"/>
      <c r="S37" s="776"/>
      <c r="T37" s="776"/>
      <c r="U37" s="776"/>
      <c r="V37" s="776"/>
      <c r="W37" s="776"/>
      <c r="X37" s="776"/>
      <c r="Y37" s="776"/>
      <c r="Z37" s="776"/>
      <c r="AA37" s="776"/>
      <c r="AB37" s="777"/>
      <c r="AC37" s="97"/>
    </row>
    <row r="38" spans="1:29" ht="28.5" customHeight="1" x14ac:dyDescent="0.2">
      <c r="A38" s="792"/>
      <c r="B38" s="807"/>
      <c r="C38" s="102" t="s">
        <v>67</v>
      </c>
      <c r="D38" s="103"/>
      <c r="E38" s="103"/>
      <c r="F38" s="103"/>
      <c r="G38" s="103"/>
      <c r="H38" s="103"/>
      <c r="I38" s="103"/>
      <c r="J38" s="103"/>
      <c r="K38" s="103"/>
      <c r="L38" s="103"/>
      <c r="M38" s="103"/>
      <c r="N38" s="103"/>
      <c r="O38" s="103"/>
      <c r="P38" s="101">
        <f t="shared" si="0"/>
        <v>0</v>
      </c>
      <c r="Q38" s="772"/>
      <c r="R38" s="773"/>
      <c r="S38" s="773"/>
      <c r="T38" s="773"/>
      <c r="U38" s="773"/>
      <c r="V38" s="773"/>
      <c r="W38" s="773"/>
      <c r="X38" s="773"/>
      <c r="Y38" s="773"/>
      <c r="Z38" s="773"/>
      <c r="AA38" s="773"/>
      <c r="AB38" s="774"/>
      <c r="AC38" s="97"/>
    </row>
    <row r="39" spans="1:29" ht="28.5" customHeight="1" thickBot="1" x14ac:dyDescent="0.25">
      <c r="A39" s="793"/>
      <c r="B39" s="808"/>
      <c r="C39" s="91" t="s">
        <v>72</v>
      </c>
      <c r="D39" s="105"/>
      <c r="E39" s="105"/>
      <c r="F39" s="105"/>
      <c r="G39" s="105"/>
      <c r="H39" s="105"/>
      <c r="I39" s="105"/>
      <c r="J39" s="105"/>
      <c r="K39" s="105"/>
      <c r="L39" s="106"/>
      <c r="M39" s="106"/>
      <c r="N39" s="106"/>
      <c r="O39" s="106"/>
      <c r="P39" s="107">
        <f t="shared" si="0"/>
        <v>0</v>
      </c>
      <c r="Q39" s="809"/>
      <c r="R39" s="810"/>
      <c r="S39" s="810"/>
      <c r="T39" s="810"/>
      <c r="U39" s="810"/>
      <c r="V39" s="810"/>
      <c r="W39" s="810"/>
      <c r="X39" s="810"/>
      <c r="Y39" s="810"/>
      <c r="Z39" s="810"/>
      <c r="AA39" s="810"/>
      <c r="AB39" s="811"/>
      <c r="AC39" s="97"/>
    </row>
    <row r="40" spans="1:29" x14ac:dyDescent="0.2">
      <c r="A40" s="50" t="s">
        <v>96</v>
      </c>
    </row>
  </sheetData>
  <mergeCells count="86">
    <mergeCell ref="A36:A37"/>
    <mergeCell ref="B32:B33"/>
    <mergeCell ref="B30:B31"/>
    <mergeCell ref="B34:B35"/>
    <mergeCell ref="B36:B37"/>
    <mergeCell ref="A32:A33"/>
    <mergeCell ref="A30:A31"/>
    <mergeCell ref="A34:A35"/>
    <mergeCell ref="A28:A29"/>
    <mergeCell ref="A25:AB25"/>
    <mergeCell ref="D26:P26"/>
    <mergeCell ref="Q24:AB24"/>
    <mergeCell ref="B26:B27"/>
    <mergeCell ref="Q28:T29"/>
    <mergeCell ref="Y17:Z17"/>
    <mergeCell ref="AA17:AB17"/>
    <mergeCell ref="W17:X17"/>
    <mergeCell ref="B24:C24"/>
    <mergeCell ref="A26:A27"/>
    <mergeCell ref="C26:C27"/>
    <mergeCell ref="A22:A23"/>
    <mergeCell ref="Y19:Z19"/>
    <mergeCell ref="A1:A4"/>
    <mergeCell ref="Z2:AB2"/>
    <mergeCell ref="Z4:AB4"/>
    <mergeCell ref="R7:T9"/>
    <mergeCell ref="A15:B16"/>
    <mergeCell ref="A7:B9"/>
    <mergeCell ref="R11:V11"/>
    <mergeCell ref="AA7:AB7"/>
    <mergeCell ref="Y9:Z9"/>
    <mergeCell ref="Z3:AB3"/>
    <mergeCell ref="B3:Y4"/>
    <mergeCell ref="C7:K9"/>
    <mergeCell ref="Z1:AB1"/>
    <mergeCell ref="AA8:AB8"/>
    <mergeCell ref="AA9:AB9"/>
    <mergeCell ref="W11:X11"/>
    <mergeCell ref="A38:A39"/>
    <mergeCell ref="V13:Y13"/>
    <mergeCell ref="Q15:AB15"/>
    <mergeCell ref="AA13:AB13"/>
    <mergeCell ref="W19:X19"/>
    <mergeCell ref="Y27:AB27"/>
    <mergeCell ref="Q31:AB31"/>
    <mergeCell ref="Q32:AB33"/>
    <mergeCell ref="Q30:AB30"/>
    <mergeCell ref="C15:C16"/>
    <mergeCell ref="B38:B39"/>
    <mergeCell ref="C13:Q13"/>
    <mergeCell ref="Q22:AB23"/>
    <mergeCell ref="Q38:AB39"/>
    <mergeCell ref="U27:X27"/>
    <mergeCell ref="Q36:AB37"/>
    <mergeCell ref="B1:Y1"/>
    <mergeCell ref="Q34:AB35"/>
    <mergeCell ref="A21:AB21"/>
    <mergeCell ref="P22:P23"/>
    <mergeCell ref="C30:P30"/>
    <mergeCell ref="B2:Y2"/>
    <mergeCell ref="S13:T13"/>
    <mergeCell ref="Y11:AB11"/>
    <mergeCell ref="U28:X29"/>
    <mergeCell ref="Y28:AB29"/>
    <mergeCell ref="T18:V18"/>
    <mergeCell ref="D22:O22"/>
    <mergeCell ref="Q26:AB26"/>
    <mergeCell ref="Q27:T27"/>
    <mergeCell ref="Q16:V16"/>
    <mergeCell ref="M11:Q11"/>
    <mergeCell ref="Y8:Z8"/>
    <mergeCell ref="C12:Z12"/>
    <mergeCell ref="B28:B29"/>
    <mergeCell ref="B22:C23"/>
    <mergeCell ref="Y7:Z7"/>
    <mergeCell ref="W16:AB16"/>
    <mergeCell ref="U7:V9"/>
    <mergeCell ref="W7:X9"/>
    <mergeCell ref="A13:B13"/>
    <mergeCell ref="C11:K11"/>
    <mergeCell ref="A11:B11"/>
    <mergeCell ref="Q19:S19"/>
    <mergeCell ref="Q17:S17"/>
    <mergeCell ref="AA19:AB19"/>
    <mergeCell ref="T19:V19"/>
    <mergeCell ref="T17:V17"/>
  </mergeCells>
  <dataValidations count="2">
    <dataValidation type="textLength" operator="lessThanOrEqual" allowBlank="1" showInputMessage="1" showErrorMessage="1" errorTitle="Máximo 2.000 caracteres" error="Máximo 2.000 caracteres" promptTitle="2.000 caracteres" sqref="Q24:AB24" xr:uid="{00000000-0002-0000-0700-000000000000}">
      <formula1>2000</formula1>
    </dataValidation>
    <dataValidation type="textLength" operator="lessThanOrEqual" allowBlank="1" showInputMessage="1" showErrorMessage="1" errorTitle="Máximo 2.000 caracteres" error="Máximo 2.000 caracteres" sqref="Q32:AB39 Q28 U28 Y28" xr:uid="{00000000-0002-0000-0700-000001000000}">
      <formula1>2000</formula1>
    </dataValidation>
  </dataValidations>
  <pageMargins left="0" right="0" top="0" bottom="0" header="0" footer="0"/>
  <pageSetup paperSize="41" scale="48" fitToHeight="0" orientation="landscape"/>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pageSetUpPr fitToPage="1"/>
  </sheetPr>
  <dimension ref="A1:AO74"/>
  <sheetViews>
    <sheetView showGridLines="0" view="pageBreakPreview" topLeftCell="O24" zoomScale="60" zoomScaleNormal="100" workbookViewId="0">
      <selection activeCell="N39" sqref="N39"/>
    </sheetView>
  </sheetViews>
  <sheetFormatPr baseColWidth="10" defaultColWidth="10.83203125" defaultRowHeight="15" x14ac:dyDescent="0.2"/>
  <cols>
    <col min="1" max="1" width="38.5" style="50" customWidth="1"/>
    <col min="2" max="2" width="15.5" style="50" customWidth="1"/>
    <col min="3" max="14" width="20.6640625" style="50" customWidth="1"/>
    <col min="15" max="15" width="16.1640625" style="50" customWidth="1"/>
    <col min="16" max="16" width="18.1640625" style="50" customWidth="1"/>
    <col min="17" max="19" width="25.33203125" style="50" customWidth="1"/>
    <col min="20" max="22" width="23.5" style="50" customWidth="1"/>
    <col min="23" max="28" width="14.5" style="50" customWidth="1"/>
    <col min="29" max="29" width="16.83203125" style="50" customWidth="1"/>
    <col min="30" max="30" width="8.83203125" style="50" customWidth="1"/>
    <col min="31" max="31" width="6.33203125" style="50" bestFit="1" customWidth="1"/>
    <col min="32" max="32" width="22.83203125" style="50" customWidth="1"/>
    <col min="33" max="33" width="18.5" style="50" bestFit="1" customWidth="1"/>
    <col min="34" max="34" width="8.5" style="50" customWidth="1"/>
    <col min="35" max="35" width="18.5" style="50" bestFit="1" customWidth="1"/>
    <col min="36" max="36" width="5.6640625" style="50" customWidth="1"/>
    <col min="37" max="37" width="18.5" style="50" bestFit="1" customWidth="1"/>
    <col min="38" max="38" width="4.6640625" style="50" customWidth="1"/>
    <col min="39" max="39" width="23" style="50" bestFit="1" customWidth="1"/>
    <col min="40" max="40" width="10.83203125" style="50"/>
    <col min="41" max="41" width="18.5" style="50" bestFit="1" customWidth="1"/>
    <col min="42" max="42" width="16.1640625" style="50" customWidth="1"/>
    <col min="43" max="16384" width="10.83203125" style="50"/>
  </cols>
  <sheetData>
    <row r="1" spans="1:30" ht="32.25" customHeight="1" thickBot="1" x14ac:dyDescent="0.25">
      <c r="A1" s="594"/>
      <c r="B1" s="574" t="s">
        <v>0</v>
      </c>
      <c r="C1" s="575"/>
      <c r="D1" s="575"/>
      <c r="E1" s="575"/>
      <c r="F1" s="575"/>
      <c r="G1" s="575"/>
      <c r="H1" s="575"/>
      <c r="I1" s="575"/>
      <c r="J1" s="575"/>
      <c r="K1" s="575"/>
      <c r="L1" s="575"/>
      <c r="M1" s="575"/>
      <c r="N1" s="575"/>
      <c r="O1" s="575"/>
      <c r="P1" s="575"/>
      <c r="Q1" s="575"/>
      <c r="R1" s="575"/>
      <c r="S1" s="575"/>
      <c r="T1" s="575"/>
      <c r="U1" s="575"/>
      <c r="V1" s="575"/>
      <c r="W1" s="575"/>
      <c r="X1" s="575"/>
      <c r="Y1" s="575"/>
      <c r="Z1" s="575"/>
      <c r="AA1" s="576"/>
      <c r="AB1" s="571" t="s">
        <v>1</v>
      </c>
      <c r="AC1" s="572"/>
      <c r="AD1" s="573"/>
    </row>
    <row r="2" spans="1:30" ht="30.75" customHeight="1" thickBot="1" x14ac:dyDescent="0.25">
      <c r="A2" s="595"/>
      <c r="B2" s="574" t="s">
        <v>2</v>
      </c>
      <c r="C2" s="575"/>
      <c r="D2" s="575"/>
      <c r="E2" s="575"/>
      <c r="F2" s="575"/>
      <c r="G2" s="575"/>
      <c r="H2" s="575"/>
      <c r="I2" s="575"/>
      <c r="J2" s="575"/>
      <c r="K2" s="575"/>
      <c r="L2" s="575"/>
      <c r="M2" s="575"/>
      <c r="N2" s="575"/>
      <c r="O2" s="575"/>
      <c r="P2" s="575"/>
      <c r="Q2" s="575"/>
      <c r="R2" s="575"/>
      <c r="S2" s="575"/>
      <c r="T2" s="575"/>
      <c r="U2" s="575"/>
      <c r="V2" s="575"/>
      <c r="W2" s="575"/>
      <c r="X2" s="575"/>
      <c r="Y2" s="575"/>
      <c r="Z2" s="575"/>
      <c r="AA2" s="576"/>
      <c r="AB2" s="577" t="s">
        <v>3</v>
      </c>
      <c r="AC2" s="578"/>
      <c r="AD2" s="579"/>
    </row>
    <row r="3" spans="1:30" ht="24" customHeight="1" x14ac:dyDescent="0.2">
      <c r="A3" s="595"/>
      <c r="B3" s="580" t="s">
        <v>4</v>
      </c>
      <c r="C3" s="581"/>
      <c r="D3" s="581"/>
      <c r="E3" s="581"/>
      <c r="F3" s="581"/>
      <c r="G3" s="581"/>
      <c r="H3" s="581"/>
      <c r="I3" s="581"/>
      <c r="J3" s="581"/>
      <c r="K3" s="581"/>
      <c r="L3" s="581"/>
      <c r="M3" s="581"/>
      <c r="N3" s="581"/>
      <c r="O3" s="581"/>
      <c r="P3" s="581"/>
      <c r="Q3" s="581"/>
      <c r="R3" s="581"/>
      <c r="S3" s="581"/>
      <c r="T3" s="581"/>
      <c r="U3" s="581"/>
      <c r="V3" s="581"/>
      <c r="W3" s="581"/>
      <c r="X3" s="581"/>
      <c r="Y3" s="581"/>
      <c r="Z3" s="581"/>
      <c r="AA3" s="582"/>
      <c r="AB3" s="577" t="s">
        <v>5</v>
      </c>
      <c r="AC3" s="578"/>
      <c r="AD3" s="579"/>
    </row>
    <row r="4" spans="1:30" ht="22" customHeight="1" thickBot="1" x14ac:dyDescent="0.25">
      <c r="A4" s="596"/>
      <c r="B4" s="505"/>
      <c r="C4" s="507"/>
      <c r="D4" s="507"/>
      <c r="E4" s="507"/>
      <c r="F4" s="507"/>
      <c r="G4" s="507"/>
      <c r="H4" s="507"/>
      <c r="I4" s="507"/>
      <c r="J4" s="507"/>
      <c r="K4" s="507"/>
      <c r="L4" s="507"/>
      <c r="M4" s="507"/>
      <c r="N4" s="507"/>
      <c r="O4" s="507"/>
      <c r="P4" s="507"/>
      <c r="Q4" s="507"/>
      <c r="R4" s="507"/>
      <c r="S4" s="507"/>
      <c r="T4" s="507"/>
      <c r="U4" s="507"/>
      <c r="V4" s="507"/>
      <c r="W4" s="507"/>
      <c r="X4" s="507"/>
      <c r="Y4" s="507"/>
      <c r="Z4" s="507"/>
      <c r="AA4" s="583"/>
      <c r="AB4" s="584" t="s">
        <v>6</v>
      </c>
      <c r="AC4" s="585"/>
      <c r="AD4" s="586"/>
    </row>
    <row r="5" spans="1:30" ht="9" customHeight="1" thickBot="1" x14ac:dyDescent="0.25">
      <c r="A5" s="51"/>
      <c r="B5" s="180"/>
      <c r="C5" s="181"/>
      <c r="D5" s="54"/>
      <c r="E5" s="54"/>
      <c r="F5" s="54"/>
      <c r="G5" s="54"/>
      <c r="H5" s="54"/>
      <c r="I5" s="54"/>
      <c r="J5" s="54"/>
      <c r="K5" s="54"/>
      <c r="L5" s="54"/>
      <c r="M5" s="54"/>
      <c r="N5" s="54"/>
      <c r="O5" s="54"/>
      <c r="P5" s="54"/>
      <c r="Q5" s="54"/>
      <c r="R5" s="54"/>
      <c r="S5" s="54"/>
      <c r="T5" s="54"/>
      <c r="U5" s="54"/>
      <c r="V5" s="54"/>
      <c r="W5" s="54"/>
      <c r="X5" s="54"/>
      <c r="Y5" s="54"/>
      <c r="Z5" s="55"/>
      <c r="AA5" s="54"/>
      <c r="AB5" s="56"/>
      <c r="AC5" s="57"/>
      <c r="AD5" s="58"/>
    </row>
    <row r="6" spans="1:30" ht="9" customHeight="1" x14ac:dyDescent="0.2">
      <c r="A6" s="59"/>
      <c r="B6" s="54"/>
      <c r="C6" s="54"/>
      <c r="D6" s="54"/>
      <c r="E6" s="54"/>
      <c r="F6" s="54"/>
      <c r="G6" s="54"/>
      <c r="H6" s="54"/>
      <c r="I6" s="54"/>
      <c r="J6" s="54"/>
      <c r="K6" s="54"/>
      <c r="L6" s="54"/>
      <c r="M6" s="54"/>
      <c r="N6" s="54"/>
      <c r="O6" s="54"/>
      <c r="P6" s="54"/>
      <c r="Q6" s="54"/>
      <c r="R6" s="54"/>
      <c r="S6" s="54"/>
      <c r="T6" s="54"/>
      <c r="U6" s="54"/>
      <c r="V6" s="54"/>
      <c r="W6" s="54"/>
      <c r="X6" s="54"/>
      <c r="Y6" s="54"/>
      <c r="Z6" s="55"/>
      <c r="AA6" s="54"/>
      <c r="AB6" s="54"/>
      <c r="AC6" s="60"/>
      <c r="AD6" s="61"/>
    </row>
    <row r="7" spans="1:30" ht="15" customHeight="1" x14ac:dyDescent="0.2">
      <c r="A7" s="601" t="s">
        <v>7</v>
      </c>
      <c r="B7" s="602"/>
      <c r="C7" s="607" t="s">
        <v>8</v>
      </c>
      <c r="D7" s="601" t="s">
        <v>9</v>
      </c>
      <c r="E7" s="619"/>
      <c r="F7" s="619"/>
      <c r="G7" s="619"/>
      <c r="H7" s="602"/>
      <c r="I7" s="622">
        <v>45233</v>
      </c>
      <c r="J7" s="623"/>
      <c r="K7" s="601" t="s">
        <v>10</v>
      </c>
      <c r="L7" s="602"/>
      <c r="M7" s="589" t="s">
        <v>11</v>
      </c>
      <c r="N7" s="590"/>
      <c r="O7" s="628"/>
      <c r="P7" s="629"/>
      <c r="Q7" s="54"/>
      <c r="R7" s="54"/>
      <c r="S7" s="54"/>
      <c r="T7" s="54"/>
      <c r="U7" s="54"/>
      <c r="V7" s="54"/>
      <c r="W7" s="54"/>
      <c r="X7" s="54"/>
      <c r="Y7" s="54"/>
      <c r="Z7" s="55"/>
      <c r="AA7" s="54"/>
      <c r="AB7" s="54"/>
      <c r="AC7" s="60"/>
      <c r="AD7" s="61"/>
    </row>
    <row r="8" spans="1:30" ht="15" customHeight="1" x14ac:dyDescent="0.2">
      <c r="A8" s="603"/>
      <c r="B8" s="604"/>
      <c r="C8" s="608"/>
      <c r="D8" s="603"/>
      <c r="E8" s="620"/>
      <c r="F8" s="620"/>
      <c r="G8" s="620"/>
      <c r="H8" s="604"/>
      <c r="I8" s="624"/>
      <c r="J8" s="625"/>
      <c r="K8" s="603"/>
      <c r="L8" s="604"/>
      <c r="M8" s="630" t="s">
        <v>12</v>
      </c>
      <c r="N8" s="631"/>
      <c r="O8" s="632"/>
      <c r="P8" s="633"/>
      <c r="Q8" s="54"/>
      <c r="R8" s="54"/>
      <c r="S8" s="54"/>
      <c r="T8" s="54"/>
      <c r="U8" s="54"/>
      <c r="V8" s="54"/>
      <c r="W8" s="54"/>
      <c r="X8" s="54"/>
      <c r="Y8" s="54"/>
      <c r="Z8" s="55"/>
      <c r="AA8" s="54"/>
      <c r="AB8" s="54"/>
      <c r="AC8" s="60"/>
      <c r="AD8" s="61"/>
    </row>
    <row r="9" spans="1:30" ht="15.75" customHeight="1" x14ac:dyDescent="0.2">
      <c r="A9" s="605"/>
      <c r="B9" s="606"/>
      <c r="C9" s="609"/>
      <c r="D9" s="605"/>
      <c r="E9" s="621"/>
      <c r="F9" s="621"/>
      <c r="G9" s="621"/>
      <c r="H9" s="606"/>
      <c r="I9" s="626"/>
      <c r="J9" s="627"/>
      <c r="K9" s="605"/>
      <c r="L9" s="606"/>
      <c r="M9" s="634" t="s">
        <v>13</v>
      </c>
      <c r="N9" s="635"/>
      <c r="O9" s="587" t="s">
        <v>14</v>
      </c>
      <c r="P9" s="588"/>
      <c r="Q9" s="54"/>
      <c r="R9" s="54"/>
      <c r="S9" s="54"/>
      <c r="T9" s="54"/>
      <c r="U9" s="54"/>
      <c r="V9" s="54"/>
      <c r="W9" s="54"/>
      <c r="X9" s="54"/>
      <c r="Y9" s="54"/>
      <c r="Z9" s="55"/>
      <c r="AA9" s="54"/>
      <c r="AB9" s="54"/>
      <c r="AC9" s="60"/>
      <c r="AD9" s="61"/>
    </row>
    <row r="10" spans="1:30" ht="15" customHeight="1" x14ac:dyDescent="0.2">
      <c r="A10" s="157"/>
      <c r="B10" s="158"/>
      <c r="C10" s="158"/>
      <c r="D10" s="65"/>
      <c r="E10" s="65"/>
      <c r="F10" s="65"/>
      <c r="G10" s="65"/>
      <c r="H10" s="65"/>
      <c r="I10" s="154"/>
      <c r="J10" s="154"/>
      <c r="K10" s="65"/>
      <c r="L10" s="65"/>
      <c r="M10" s="155"/>
      <c r="N10" s="155"/>
      <c r="O10" s="156"/>
      <c r="P10" s="156"/>
      <c r="Q10" s="158"/>
      <c r="R10" s="158"/>
      <c r="S10" s="158"/>
      <c r="T10" s="158"/>
      <c r="U10" s="158"/>
      <c r="V10" s="158"/>
      <c r="W10" s="158"/>
      <c r="X10" s="158"/>
      <c r="Y10" s="158"/>
      <c r="Z10" s="159"/>
      <c r="AA10" s="158"/>
      <c r="AB10" s="158"/>
      <c r="AC10" s="160"/>
      <c r="AD10" s="161"/>
    </row>
    <row r="11" spans="1:30" ht="15" customHeight="1" x14ac:dyDescent="0.2">
      <c r="A11" s="601" t="s">
        <v>15</v>
      </c>
      <c r="B11" s="602"/>
      <c r="C11" s="610" t="s">
        <v>16</v>
      </c>
      <c r="D11" s="611"/>
      <c r="E11" s="611"/>
      <c r="F11" s="611"/>
      <c r="G11" s="611"/>
      <c r="H11" s="611"/>
      <c r="I11" s="611"/>
      <c r="J11" s="611"/>
      <c r="K11" s="611"/>
      <c r="L11" s="611"/>
      <c r="M11" s="611"/>
      <c r="N11" s="611"/>
      <c r="O11" s="611"/>
      <c r="P11" s="611"/>
      <c r="Q11" s="611"/>
      <c r="R11" s="611"/>
      <c r="S11" s="611"/>
      <c r="T11" s="611"/>
      <c r="U11" s="611"/>
      <c r="V11" s="611"/>
      <c r="W11" s="611"/>
      <c r="X11" s="611"/>
      <c r="Y11" s="611"/>
      <c r="Z11" s="611"/>
      <c r="AA11" s="611"/>
      <c r="AB11" s="611"/>
      <c r="AC11" s="611"/>
      <c r="AD11" s="612"/>
    </row>
    <row r="12" spans="1:30" ht="15" customHeight="1" x14ac:dyDescent="0.2">
      <c r="A12" s="603"/>
      <c r="B12" s="604"/>
      <c r="C12" s="613"/>
      <c r="D12" s="614"/>
      <c r="E12" s="614"/>
      <c r="F12" s="614"/>
      <c r="G12" s="614"/>
      <c r="H12" s="614"/>
      <c r="I12" s="614"/>
      <c r="J12" s="614"/>
      <c r="K12" s="614"/>
      <c r="L12" s="614"/>
      <c r="M12" s="614"/>
      <c r="N12" s="614"/>
      <c r="O12" s="614"/>
      <c r="P12" s="614"/>
      <c r="Q12" s="614"/>
      <c r="R12" s="614"/>
      <c r="S12" s="614"/>
      <c r="T12" s="614"/>
      <c r="U12" s="614"/>
      <c r="V12" s="614"/>
      <c r="W12" s="614"/>
      <c r="X12" s="614"/>
      <c r="Y12" s="614"/>
      <c r="Z12" s="614"/>
      <c r="AA12" s="614"/>
      <c r="AB12" s="614"/>
      <c r="AC12" s="614"/>
      <c r="AD12" s="615"/>
    </row>
    <row r="13" spans="1:30" ht="15" customHeight="1" thickBot="1" x14ac:dyDescent="0.25">
      <c r="A13" s="605"/>
      <c r="B13" s="606"/>
      <c r="C13" s="616"/>
      <c r="D13" s="617"/>
      <c r="E13" s="617"/>
      <c r="F13" s="617"/>
      <c r="G13" s="617"/>
      <c r="H13" s="617"/>
      <c r="I13" s="617"/>
      <c r="J13" s="617"/>
      <c r="K13" s="617"/>
      <c r="L13" s="617"/>
      <c r="M13" s="617"/>
      <c r="N13" s="617"/>
      <c r="O13" s="617"/>
      <c r="P13" s="617"/>
      <c r="Q13" s="617"/>
      <c r="R13" s="617"/>
      <c r="S13" s="617"/>
      <c r="T13" s="617"/>
      <c r="U13" s="617"/>
      <c r="V13" s="617"/>
      <c r="W13" s="617"/>
      <c r="X13" s="617"/>
      <c r="Y13" s="617"/>
      <c r="Z13" s="617"/>
      <c r="AA13" s="617"/>
      <c r="AB13" s="617"/>
      <c r="AC13" s="617"/>
      <c r="AD13" s="618"/>
    </row>
    <row r="14" spans="1:30" ht="9" customHeight="1" thickBot="1" x14ac:dyDescent="0.25">
      <c r="A14" s="67"/>
      <c r="B14" s="68"/>
      <c r="C14" s="69"/>
      <c r="D14" s="69"/>
      <c r="E14" s="69"/>
      <c r="F14" s="69"/>
      <c r="G14" s="69"/>
      <c r="H14" s="69"/>
      <c r="I14" s="69"/>
      <c r="J14" s="69"/>
      <c r="K14" s="69"/>
      <c r="L14" s="69"/>
      <c r="M14" s="70"/>
      <c r="N14" s="70"/>
      <c r="O14" s="70"/>
      <c r="P14" s="70"/>
      <c r="Q14" s="70"/>
      <c r="R14" s="71"/>
      <c r="S14" s="71"/>
      <c r="T14" s="71"/>
      <c r="U14" s="71"/>
      <c r="V14" s="71"/>
      <c r="W14" s="71"/>
      <c r="X14" s="71"/>
      <c r="Y14" s="65"/>
      <c r="Z14" s="65"/>
      <c r="AA14" s="65"/>
      <c r="AB14" s="65"/>
      <c r="AC14" s="65"/>
      <c r="AD14" s="66"/>
    </row>
    <row r="15" spans="1:30" ht="39" customHeight="1" thickBot="1" x14ac:dyDescent="0.25">
      <c r="A15" s="552" t="s">
        <v>17</v>
      </c>
      <c r="B15" s="553"/>
      <c r="C15" s="591" t="s">
        <v>18</v>
      </c>
      <c r="D15" s="592"/>
      <c r="E15" s="592"/>
      <c r="F15" s="592"/>
      <c r="G15" s="592"/>
      <c r="H15" s="592"/>
      <c r="I15" s="592"/>
      <c r="J15" s="592"/>
      <c r="K15" s="593"/>
      <c r="L15" s="560" t="s">
        <v>19</v>
      </c>
      <c r="M15" s="564"/>
      <c r="N15" s="564"/>
      <c r="O15" s="564"/>
      <c r="P15" s="564"/>
      <c r="Q15" s="561"/>
      <c r="R15" s="557" t="s">
        <v>20</v>
      </c>
      <c r="S15" s="558"/>
      <c r="T15" s="558"/>
      <c r="U15" s="558"/>
      <c r="V15" s="558"/>
      <c r="W15" s="558"/>
      <c r="X15" s="559"/>
      <c r="Y15" s="560" t="s">
        <v>21</v>
      </c>
      <c r="Z15" s="561"/>
      <c r="AA15" s="548" t="s">
        <v>22</v>
      </c>
      <c r="AB15" s="549"/>
      <c r="AC15" s="549"/>
      <c r="AD15" s="550"/>
    </row>
    <row r="16" spans="1:30" ht="9" customHeight="1" thickBot="1" x14ac:dyDescent="0.25">
      <c r="A16" s="59"/>
      <c r="B16" s="54"/>
      <c r="C16" s="551"/>
      <c r="D16" s="551"/>
      <c r="E16" s="551"/>
      <c r="F16" s="551"/>
      <c r="G16" s="551"/>
      <c r="H16" s="551"/>
      <c r="I16" s="551"/>
      <c r="J16" s="551"/>
      <c r="K16" s="551"/>
      <c r="L16" s="551"/>
      <c r="M16" s="551"/>
      <c r="N16" s="551"/>
      <c r="O16" s="551"/>
      <c r="P16" s="551"/>
      <c r="Q16" s="551"/>
      <c r="R16" s="551"/>
      <c r="S16" s="551"/>
      <c r="T16" s="551"/>
      <c r="U16" s="551"/>
      <c r="V16" s="551"/>
      <c r="W16" s="551"/>
      <c r="X16" s="551"/>
      <c r="Y16" s="551"/>
      <c r="Z16" s="551"/>
      <c r="AA16" s="551"/>
      <c r="AB16" s="551"/>
      <c r="AC16" s="73"/>
      <c r="AD16" s="74"/>
    </row>
    <row r="17" spans="1:41" s="76" customFormat="1" ht="37.5" customHeight="1" thickBot="1" x14ac:dyDescent="0.25">
      <c r="A17" s="552" t="s">
        <v>23</v>
      </c>
      <c r="B17" s="553"/>
      <c r="C17" s="554" t="s">
        <v>161</v>
      </c>
      <c r="D17" s="555"/>
      <c r="E17" s="555"/>
      <c r="F17" s="555"/>
      <c r="G17" s="555"/>
      <c r="H17" s="555"/>
      <c r="I17" s="555"/>
      <c r="J17" s="555"/>
      <c r="K17" s="555"/>
      <c r="L17" s="555"/>
      <c r="M17" s="555"/>
      <c r="N17" s="555"/>
      <c r="O17" s="555"/>
      <c r="P17" s="555"/>
      <c r="Q17" s="556"/>
      <c r="R17" s="560" t="s">
        <v>25</v>
      </c>
      <c r="S17" s="564"/>
      <c r="T17" s="564"/>
      <c r="U17" s="564"/>
      <c r="V17" s="561"/>
      <c r="W17" s="562">
        <v>1</v>
      </c>
      <c r="X17" s="563"/>
      <c r="Y17" s="564" t="s">
        <v>26</v>
      </c>
      <c r="Z17" s="564"/>
      <c r="AA17" s="564"/>
      <c r="AB17" s="561"/>
      <c r="AC17" s="599">
        <v>0.2</v>
      </c>
      <c r="AD17" s="600"/>
    </row>
    <row r="18" spans="1:41" ht="16.5" customHeight="1" thickBot="1" x14ac:dyDescent="0.25">
      <c r="A18" s="77"/>
      <c r="B18" s="78"/>
      <c r="C18" s="78"/>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9"/>
    </row>
    <row r="19" spans="1:41" ht="32" customHeight="1" thickBot="1" x14ac:dyDescent="0.25">
      <c r="A19" s="560" t="s">
        <v>27</v>
      </c>
      <c r="B19" s="564"/>
      <c r="C19" s="564"/>
      <c r="D19" s="564"/>
      <c r="E19" s="564"/>
      <c r="F19" s="564"/>
      <c r="G19" s="564"/>
      <c r="H19" s="564"/>
      <c r="I19" s="564"/>
      <c r="J19" s="564"/>
      <c r="K19" s="564"/>
      <c r="L19" s="564"/>
      <c r="M19" s="564"/>
      <c r="N19" s="564"/>
      <c r="O19" s="564"/>
      <c r="P19" s="564"/>
      <c r="Q19" s="564"/>
      <c r="R19" s="564"/>
      <c r="S19" s="564"/>
      <c r="T19" s="564"/>
      <c r="U19" s="564"/>
      <c r="V19" s="564"/>
      <c r="W19" s="564"/>
      <c r="X19" s="564"/>
      <c r="Y19" s="564"/>
      <c r="Z19" s="564"/>
      <c r="AA19" s="564"/>
      <c r="AB19" s="564"/>
      <c r="AC19" s="564"/>
      <c r="AD19" s="561"/>
      <c r="AE19" s="83"/>
      <c r="AF19" s="83"/>
    </row>
    <row r="20" spans="1:41" ht="32" customHeight="1" thickBot="1" x14ac:dyDescent="0.25">
      <c r="A20" s="82"/>
      <c r="B20" s="60"/>
      <c r="C20" s="568" t="s">
        <v>28</v>
      </c>
      <c r="D20" s="569"/>
      <c r="E20" s="569"/>
      <c r="F20" s="569"/>
      <c r="G20" s="569"/>
      <c r="H20" s="569"/>
      <c r="I20" s="569"/>
      <c r="J20" s="569"/>
      <c r="K20" s="569"/>
      <c r="L20" s="569"/>
      <c r="M20" s="569"/>
      <c r="N20" s="569"/>
      <c r="O20" s="569"/>
      <c r="P20" s="570"/>
      <c r="Q20" s="565" t="s">
        <v>29</v>
      </c>
      <c r="R20" s="566"/>
      <c r="S20" s="566"/>
      <c r="T20" s="566"/>
      <c r="U20" s="566"/>
      <c r="V20" s="566"/>
      <c r="W20" s="566"/>
      <c r="X20" s="566"/>
      <c r="Y20" s="566"/>
      <c r="Z20" s="566"/>
      <c r="AA20" s="566"/>
      <c r="AB20" s="566"/>
      <c r="AC20" s="566"/>
      <c r="AD20" s="567"/>
      <c r="AE20" s="83"/>
      <c r="AF20" s="83"/>
    </row>
    <row r="21" spans="1:41" ht="32" customHeight="1" x14ac:dyDescent="0.2">
      <c r="A21" s="59"/>
      <c r="B21" s="54"/>
      <c r="C21" s="146" t="s">
        <v>30</v>
      </c>
      <c r="D21" s="147" t="s">
        <v>31</v>
      </c>
      <c r="E21" s="147" t="s">
        <v>32</v>
      </c>
      <c r="F21" s="147" t="s">
        <v>33</v>
      </c>
      <c r="G21" s="147" t="s">
        <v>34</v>
      </c>
      <c r="H21" s="147" t="s">
        <v>35</v>
      </c>
      <c r="I21" s="147" t="s">
        <v>36</v>
      </c>
      <c r="J21" s="147" t="s">
        <v>37</v>
      </c>
      <c r="K21" s="147" t="s">
        <v>38</v>
      </c>
      <c r="L21" s="147" t="s">
        <v>8</v>
      </c>
      <c r="M21" s="147" t="s">
        <v>39</v>
      </c>
      <c r="N21" s="147" t="s">
        <v>40</v>
      </c>
      <c r="O21" s="147" t="s">
        <v>41</v>
      </c>
      <c r="P21" s="148" t="s">
        <v>42</v>
      </c>
      <c r="Q21" s="146" t="s">
        <v>30</v>
      </c>
      <c r="R21" s="147" t="s">
        <v>31</v>
      </c>
      <c r="S21" s="147" t="s">
        <v>32</v>
      </c>
      <c r="T21" s="147" t="s">
        <v>33</v>
      </c>
      <c r="U21" s="147" t="s">
        <v>34</v>
      </c>
      <c r="V21" s="147" t="s">
        <v>35</v>
      </c>
      <c r="W21" s="147" t="s">
        <v>36</v>
      </c>
      <c r="X21" s="147" t="s">
        <v>37</v>
      </c>
      <c r="Y21" s="147" t="s">
        <v>38</v>
      </c>
      <c r="Z21" s="147" t="s">
        <v>8</v>
      </c>
      <c r="AA21" s="147" t="s">
        <v>39</v>
      </c>
      <c r="AB21" s="147" t="s">
        <v>40</v>
      </c>
      <c r="AC21" s="147" t="s">
        <v>41</v>
      </c>
      <c r="AD21" s="148" t="s">
        <v>42</v>
      </c>
      <c r="AE21" s="3"/>
      <c r="AF21" s="3"/>
    </row>
    <row r="22" spans="1:41" ht="32" customHeight="1" x14ac:dyDescent="0.2">
      <c r="A22" s="527" t="s">
        <v>43</v>
      </c>
      <c r="B22" s="598"/>
      <c r="C22" s="168"/>
      <c r="D22" s="166"/>
      <c r="E22" s="166"/>
      <c r="F22" s="166"/>
      <c r="G22" s="166"/>
      <c r="H22" s="166"/>
      <c r="I22" s="166"/>
      <c r="J22" s="166"/>
      <c r="K22" s="166"/>
      <c r="L22" s="166"/>
      <c r="M22" s="166"/>
      <c r="N22" s="166"/>
      <c r="O22" s="166">
        <f>SUM(C22:N22)</f>
        <v>0</v>
      </c>
      <c r="P22" s="169"/>
      <c r="Q22" s="168">
        <v>425475150</v>
      </c>
      <c r="R22" s="166"/>
      <c r="S22" s="166">
        <v>19186925</v>
      </c>
      <c r="T22" s="166">
        <f>35000000+21559511</f>
        <v>56559511</v>
      </c>
      <c r="U22" s="166"/>
      <c r="V22" s="166">
        <f>2139477+34249272+6542287</f>
        <v>42931036</v>
      </c>
      <c r="W22" s="166"/>
      <c r="X22" s="166"/>
      <c r="Y22" s="166"/>
      <c r="Z22" s="166">
        <v>-30960150</v>
      </c>
      <c r="AA22" s="166"/>
      <c r="AB22" s="166"/>
      <c r="AC22" s="166">
        <f>SUM(Q22:AB22)</f>
        <v>513192472</v>
      </c>
      <c r="AD22" s="173"/>
      <c r="AE22" s="3"/>
      <c r="AF22" s="597" t="s">
        <v>135</v>
      </c>
      <c r="AG22" s="597"/>
      <c r="AH22" s="597"/>
      <c r="AI22" s="597"/>
      <c r="AJ22" s="597"/>
      <c r="AK22" s="597"/>
      <c r="AL22" s="597"/>
      <c r="AM22" s="597"/>
    </row>
    <row r="23" spans="1:41" ht="32" customHeight="1" x14ac:dyDescent="0.2">
      <c r="A23" s="528" t="s">
        <v>45</v>
      </c>
      <c r="B23" s="540"/>
      <c r="C23" s="163"/>
      <c r="D23" s="162"/>
      <c r="E23" s="162"/>
      <c r="F23" s="162"/>
      <c r="G23" s="162"/>
      <c r="H23" s="162"/>
      <c r="I23" s="162"/>
      <c r="J23" s="162"/>
      <c r="K23" s="162"/>
      <c r="L23" s="162"/>
      <c r="M23" s="162"/>
      <c r="N23" s="162"/>
      <c r="O23" s="162">
        <f>SUM(C23:N23)</f>
        <v>0</v>
      </c>
      <c r="P23" s="174" t="str">
        <f>IFERROR(O23/(SUMIF(C23:N23,"&gt;0",C22:N22))," ")</f>
        <v xml:space="preserve"> </v>
      </c>
      <c r="Q23" s="168">
        <v>45618029</v>
      </c>
      <c r="R23" s="162">
        <v>274389683</v>
      </c>
      <c r="S23" s="162">
        <v>37936095</v>
      </c>
      <c r="T23" s="162">
        <v>9781083</v>
      </c>
      <c r="U23" s="162">
        <v>50047197</v>
      </c>
      <c r="V23" s="162">
        <v>21021262</v>
      </c>
      <c r="W23" s="162">
        <v>35000000</v>
      </c>
      <c r="X23" s="162">
        <v>-1750000</v>
      </c>
      <c r="Y23" s="162" t="s">
        <v>100</v>
      </c>
      <c r="Z23" s="162">
        <v>19800000</v>
      </c>
      <c r="AA23" s="162"/>
      <c r="AB23" s="162"/>
      <c r="AC23" s="162">
        <f>SUM(Q23:AB23)</f>
        <v>491843349</v>
      </c>
      <c r="AD23" s="171">
        <f>+AC23/AC22</f>
        <v>0.9583993839254914</v>
      </c>
      <c r="AE23" s="3"/>
      <c r="AF23" s="597"/>
      <c r="AG23" s="597"/>
      <c r="AH23" s="597"/>
      <c r="AI23" s="597"/>
      <c r="AJ23" s="597"/>
      <c r="AK23" s="597"/>
      <c r="AL23" s="597"/>
      <c r="AM23" s="597"/>
    </row>
    <row r="24" spans="1:41" ht="32" customHeight="1" x14ac:dyDescent="0.2">
      <c r="A24" s="528" t="s">
        <v>47</v>
      </c>
      <c r="B24" s="540"/>
      <c r="C24" s="302">
        <f>25110242+1804187+19304540</f>
        <v>46218969</v>
      </c>
      <c r="D24" s="303">
        <f>1749515+3375000+3750000+461422+1166666+618000+432600+475860+4505045</f>
        <v>16534108</v>
      </c>
      <c r="E24" s="162">
        <v>4956875</v>
      </c>
      <c r="F24" s="162">
        <v>5038625</v>
      </c>
      <c r="G24" s="162" t="s">
        <v>101</v>
      </c>
      <c r="H24" s="162" t="s">
        <v>101</v>
      </c>
      <c r="I24" s="162" t="s">
        <v>101</v>
      </c>
      <c r="J24" s="162" t="s">
        <v>101</v>
      </c>
      <c r="K24" s="162">
        <v>-10128</v>
      </c>
      <c r="L24" s="162"/>
      <c r="M24" s="162"/>
      <c r="N24" s="162"/>
      <c r="O24" s="184">
        <f>SUM(C24:N24)</f>
        <v>72738449</v>
      </c>
      <c r="P24" s="167"/>
      <c r="Q24" s="163"/>
      <c r="R24" s="303">
        <v>18502650</v>
      </c>
      <c r="S24" s="162">
        <v>36997500</v>
      </c>
      <c r="T24" s="162">
        <f>36997500+1918693</f>
        <v>38916193</v>
      </c>
      <c r="U24" s="162">
        <f>36997500+1918693+3888889+21559511</f>
        <v>64364593</v>
      </c>
      <c r="V24" s="162">
        <f>36997500+1918693+3888889+6542287</f>
        <v>49347369</v>
      </c>
      <c r="W24" s="162">
        <f>36997500+1918693+2139477+3888889+11416424</f>
        <v>56360983</v>
      </c>
      <c r="X24" s="162">
        <f>36997500+1918693+3888889</f>
        <v>42805082</v>
      </c>
      <c r="Y24" s="162">
        <f>36997500+1918692+3888889+11416424</f>
        <v>54221505</v>
      </c>
      <c r="Z24" s="162">
        <f>36997500+1918692+3888889-30960150</f>
        <v>11844931</v>
      </c>
      <c r="AA24" s="162">
        <f>36997500+1918692+3888889+11416424</f>
        <v>54221505</v>
      </c>
      <c r="AB24" s="162">
        <f>73995000+3837384+7777777</f>
        <v>85610161</v>
      </c>
      <c r="AC24" s="162">
        <f>SUM(Q24:AB24)</f>
        <v>513192472</v>
      </c>
      <c r="AD24" s="171"/>
      <c r="AE24" s="3"/>
      <c r="AF24" s="597"/>
      <c r="AG24" s="597"/>
      <c r="AH24" s="597"/>
      <c r="AI24" s="597"/>
      <c r="AJ24" s="597"/>
      <c r="AK24" s="597"/>
      <c r="AL24" s="597"/>
      <c r="AM24" s="597"/>
    </row>
    <row r="25" spans="1:41" ht="32" customHeight="1" x14ac:dyDescent="0.2">
      <c r="A25" s="484" t="s">
        <v>50</v>
      </c>
      <c r="B25" s="547"/>
      <c r="C25" s="312">
        <v>2894648</v>
      </c>
      <c r="D25" s="301">
        <v>31987653</v>
      </c>
      <c r="E25" s="301">
        <v>22040035</v>
      </c>
      <c r="F25" s="301">
        <v>10889552</v>
      </c>
      <c r="G25" s="301" t="s">
        <v>101</v>
      </c>
      <c r="H25" s="301">
        <v>384895</v>
      </c>
      <c r="I25" s="301" t="s">
        <v>101</v>
      </c>
      <c r="J25" s="301" t="s">
        <v>101</v>
      </c>
      <c r="K25" s="301" t="s">
        <v>101</v>
      </c>
      <c r="L25" s="165">
        <v>3375000</v>
      </c>
      <c r="M25" s="165"/>
      <c r="N25" s="165"/>
      <c r="O25" s="165">
        <f>SUM(C25:N25)</f>
        <v>71571783</v>
      </c>
      <c r="P25" s="170">
        <f>IFERROR(O25/(SUMIF(C25:N25,"&gt;0",C24:N24))," ")</f>
        <v>0.98382382104876087</v>
      </c>
      <c r="Q25" s="164"/>
      <c r="R25" s="301">
        <v>944067</v>
      </c>
      <c r="S25" s="301">
        <v>14912614</v>
      </c>
      <c r="T25" s="301">
        <v>28115866</v>
      </c>
      <c r="U25" s="301">
        <v>36909462</v>
      </c>
      <c r="V25" s="301">
        <v>45540923</v>
      </c>
      <c r="W25" s="301">
        <v>64584730</v>
      </c>
      <c r="X25" s="301">
        <v>37854300</v>
      </c>
      <c r="Y25" s="301">
        <v>36737124</v>
      </c>
      <c r="Z25" s="165">
        <v>50273231</v>
      </c>
      <c r="AA25" s="165"/>
      <c r="AB25" s="165"/>
      <c r="AC25" s="165">
        <f>SUM(Q25:AB25)</f>
        <v>315872317</v>
      </c>
      <c r="AD25" s="172">
        <f>+AC25/AC24</f>
        <v>0.61550458012174425</v>
      </c>
      <c r="AE25" s="3"/>
      <c r="AF25" s="597"/>
      <c r="AG25" s="597"/>
      <c r="AH25" s="597"/>
      <c r="AI25" s="597"/>
      <c r="AJ25" s="597"/>
      <c r="AK25" s="597"/>
      <c r="AL25" s="597"/>
      <c r="AM25" s="597"/>
    </row>
    <row r="26" spans="1:41" ht="32" customHeight="1" x14ac:dyDescent="0.2">
      <c r="A26" s="59"/>
      <c r="B26" s="54"/>
      <c r="C26" s="80"/>
      <c r="D26" s="80"/>
      <c r="E26" s="80"/>
      <c r="F26" s="80"/>
      <c r="G26" s="80"/>
      <c r="H26" s="80"/>
      <c r="I26" s="80"/>
      <c r="J26" s="80"/>
      <c r="K26" s="80"/>
      <c r="L26" s="80"/>
      <c r="M26" s="80"/>
      <c r="N26" s="80"/>
      <c r="O26" s="80"/>
      <c r="P26" s="80"/>
      <c r="Q26" s="80"/>
      <c r="R26" s="80"/>
      <c r="S26" s="80"/>
      <c r="T26" s="80"/>
      <c r="U26" s="80"/>
      <c r="V26" s="80"/>
      <c r="W26" s="80"/>
      <c r="X26" s="80"/>
      <c r="Y26" s="80"/>
      <c r="Z26" s="80"/>
      <c r="AA26" s="80"/>
      <c r="AB26" s="80"/>
      <c r="AC26" s="60"/>
      <c r="AD26" s="161"/>
    </row>
    <row r="27" spans="1:41" ht="34" customHeight="1" x14ac:dyDescent="0.2">
      <c r="A27" s="543" t="s">
        <v>52</v>
      </c>
      <c r="B27" s="544"/>
      <c r="C27" s="545"/>
      <c r="D27" s="545"/>
      <c r="E27" s="545"/>
      <c r="F27" s="545"/>
      <c r="G27" s="545"/>
      <c r="H27" s="545"/>
      <c r="I27" s="545"/>
      <c r="J27" s="545"/>
      <c r="K27" s="545"/>
      <c r="L27" s="545"/>
      <c r="M27" s="545"/>
      <c r="N27" s="545"/>
      <c r="O27" s="545"/>
      <c r="P27" s="545"/>
      <c r="Q27" s="545"/>
      <c r="R27" s="545"/>
      <c r="S27" s="545"/>
      <c r="T27" s="545"/>
      <c r="U27" s="545"/>
      <c r="V27" s="545"/>
      <c r="W27" s="545"/>
      <c r="X27" s="545"/>
      <c r="Y27" s="545"/>
      <c r="Z27" s="545"/>
      <c r="AA27" s="545"/>
      <c r="AB27" s="545"/>
      <c r="AC27" s="545"/>
      <c r="AD27" s="546"/>
    </row>
    <row r="28" spans="1:41" ht="15" customHeight="1" x14ac:dyDescent="0.2">
      <c r="A28" s="536" t="s">
        <v>53</v>
      </c>
      <c r="B28" s="538" t="s">
        <v>54</v>
      </c>
      <c r="C28" s="539"/>
      <c r="D28" s="540" t="s">
        <v>55</v>
      </c>
      <c r="E28" s="541"/>
      <c r="F28" s="541"/>
      <c r="G28" s="541"/>
      <c r="H28" s="541"/>
      <c r="I28" s="541"/>
      <c r="J28" s="541"/>
      <c r="K28" s="541"/>
      <c r="L28" s="541"/>
      <c r="M28" s="541"/>
      <c r="N28" s="541"/>
      <c r="O28" s="535"/>
      <c r="P28" s="529" t="s">
        <v>41</v>
      </c>
      <c r="Q28" s="529" t="s">
        <v>56</v>
      </c>
      <c r="R28" s="529"/>
      <c r="S28" s="529"/>
      <c r="T28" s="529"/>
      <c r="U28" s="529"/>
      <c r="V28" s="529"/>
      <c r="W28" s="529"/>
      <c r="X28" s="529"/>
      <c r="Y28" s="529"/>
      <c r="Z28" s="529"/>
      <c r="AA28" s="529"/>
      <c r="AB28" s="529"/>
      <c r="AC28" s="529"/>
      <c r="AD28" s="542"/>
    </row>
    <row r="29" spans="1:41" ht="27" customHeight="1" x14ac:dyDescent="0.2">
      <c r="A29" s="537"/>
      <c r="B29" s="532"/>
      <c r="C29" s="487"/>
      <c r="D29" s="88" t="s">
        <v>30</v>
      </c>
      <c r="E29" s="88" t="s">
        <v>31</v>
      </c>
      <c r="F29" s="88" t="s">
        <v>32</v>
      </c>
      <c r="G29" s="88" t="s">
        <v>33</v>
      </c>
      <c r="H29" s="88" t="s">
        <v>34</v>
      </c>
      <c r="I29" s="88" t="s">
        <v>35</v>
      </c>
      <c r="J29" s="88" t="s">
        <v>36</v>
      </c>
      <c r="K29" s="88" t="s">
        <v>37</v>
      </c>
      <c r="L29" s="88" t="s">
        <v>38</v>
      </c>
      <c r="M29" s="88" t="s">
        <v>8</v>
      </c>
      <c r="N29" s="88" t="s">
        <v>39</v>
      </c>
      <c r="O29" s="88" t="s">
        <v>40</v>
      </c>
      <c r="P29" s="535"/>
      <c r="Q29" s="529"/>
      <c r="R29" s="529"/>
      <c r="S29" s="529"/>
      <c r="T29" s="529"/>
      <c r="U29" s="529"/>
      <c r="V29" s="529"/>
      <c r="W29" s="529"/>
      <c r="X29" s="529"/>
      <c r="Y29" s="529"/>
      <c r="Z29" s="529"/>
      <c r="AA29" s="529"/>
      <c r="AB29" s="529"/>
      <c r="AC29" s="529"/>
      <c r="AD29" s="542"/>
    </row>
    <row r="30" spans="1:41" ht="68.25" customHeight="1" thickBot="1" x14ac:dyDescent="0.25">
      <c r="A30" s="85" t="s">
        <v>162</v>
      </c>
      <c r="B30" s="520"/>
      <c r="C30" s="521"/>
      <c r="D30" s="89"/>
      <c r="E30" s="89"/>
      <c r="F30" s="89"/>
      <c r="G30" s="89"/>
      <c r="H30" s="89"/>
      <c r="I30" s="89"/>
      <c r="J30" s="89"/>
      <c r="K30" s="89"/>
      <c r="L30" s="89"/>
      <c r="M30" s="89"/>
      <c r="N30" s="89"/>
      <c r="O30" s="89"/>
      <c r="P30" s="86">
        <f>SUM(D30:O30)</f>
        <v>0</v>
      </c>
      <c r="Q30" s="522"/>
      <c r="R30" s="522"/>
      <c r="S30" s="522"/>
      <c r="T30" s="522"/>
      <c r="U30" s="522"/>
      <c r="V30" s="522"/>
      <c r="W30" s="522"/>
      <c r="X30" s="522"/>
      <c r="Y30" s="522"/>
      <c r="Z30" s="522"/>
      <c r="AA30" s="522"/>
      <c r="AB30" s="522"/>
      <c r="AC30" s="522"/>
      <c r="AD30" s="523"/>
    </row>
    <row r="31" spans="1:41" ht="45" customHeight="1" thickBot="1" x14ac:dyDescent="0.25">
      <c r="A31" s="524" t="s">
        <v>58</v>
      </c>
      <c r="B31" s="525"/>
      <c r="C31" s="525"/>
      <c r="D31" s="525"/>
      <c r="E31" s="525"/>
      <c r="F31" s="525"/>
      <c r="G31" s="525"/>
      <c r="H31" s="525"/>
      <c r="I31" s="525"/>
      <c r="J31" s="525"/>
      <c r="K31" s="525"/>
      <c r="L31" s="525"/>
      <c r="M31" s="525"/>
      <c r="N31" s="525"/>
      <c r="O31" s="525"/>
      <c r="P31" s="525"/>
      <c r="Q31" s="525"/>
      <c r="R31" s="525"/>
      <c r="S31" s="525"/>
      <c r="T31" s="525"/>
      <c r="U31" s="525"/>
      <c r="V31" s="525"/>
      <c r="W31" s="525"/>
      <c r="X31" s="525"/>
      <c r="Y31" s="525"/>
      <c r="Z31" s="525"/>
      <c r="AA31" s="525"/>
      <c r="AB31" s="525"/>
      <c r="AC31" s="525"/>
      <c r="AD31" s="526"/>
    </row>
    <row r="32" spans="1:41" ht="23" customHeight="1" x14ac:dyDescent="0.2">
      <c r="A32" s="527" t="s">
        <v>59</v>
      </c>
      <c r="B32" s="485" t="s">
        <v>60</v>
      </c>
      <c r="C32" s="485" t="s">
        <v>54</v>
      </c>
      <c r="D32" s="531" t="s">
        <v>61</v>
      </c>
      <c r="E32" s="485"/>
      <c r="F32" s="485"/>
      <c r="G32" s="485"/>
      <c r="H32" s="485"/>
      <c r="I32" s="485"/>
      <c r="J32" s="485"/>
      <c r="K32" s="485"/>
      <c r="L32" s="485"/>
      <c r="M32" s="485"/>
      <c r="N32" s="485"/>
      <c r="O32" s="485"/>
      <c r="P32" s="488"/>
      <c r="Q32" s="527" t="s">
        <v>62</v>
      </c>
      <c r="R32" s="485"/>
      <c r="S32" s="485"/>
      <c r="T32" s="485"/>
      <c r="U32" s="485"/>
      <c r="V32" s="485"/>
      <c r="W32" s="485"/>
      <c r="X32" s="485"/>
      <c r="Y32" s="485"/>
      <c r="Z32" s="485"/>
      <c r="AA32" s="485"/>
      <c r="AB32" s="485"/>
      <c r="AC32" s="485"/>
      <c r="AD32" s="488"/>
      <c r="AG32" s="87"/>
      <c r="AH32" s="87"/>
      <c r="AI32" s="87"/>
      <c r="AJ32" s="87"/>
      <c r="AK32" s="87"/>
      <c r="AL32" s="87"/>
      <c r="AM32" s="87"/>
      <c r="AN32" s="87"/>
      <c r="AO32" s="87"/>
    </row>
    <row r="33" spans="1:41" ht="27" customHeight="1" x14ac:dyDescent="0.2">
      <c r="A33" s="528"/>
      <c r="B33" s="529"/>
      <c r="C33" s="827"/>
      <c r="D33" s="232" t="s">
        <v>30</v>
      </c>
      <c r="E33" s="226" t="s">
        <v>31</v>
      </c>
      <c r="F33" s="226" t="s">
        <v>32</v>
      </c>
      <c r="G33" s="226" t="s">
        <v>33</v>
      </c>
      <c r="H33" s="226" t="s">
        <v>34</v>
      </c>
      <c r="I33" s="226" t="s">
        <v>35</v>
      </c>
      <c r="J33" s="226" t="s">
        <v>36</v>
      </c>
      <c r="K33" s="226" t="s">
        <v>37</v>
      </c>
      <c r="L33" s="226" t="s">
        <v>38</v>
      </c>
      <c r="M33" s="226" t="s">
        <v>8</v>
      </c>
      <c r="N33" s="226" t="s">
        <v>39</v>
      </c>
      <c r="O33" s="226" t="s">
        <v>40</v>
      </c>
      <c r="P33" s="227" t="s">
        <v>41</v>
      </c>
      <c r="Q33" s="484" t="s">
        <v>63</v>
      </c>
      <c r="R33" s="486"/>
      <c r="S33" s="486"/>
      <c r="T33" s="486" t="s">
        <v>64</v>
      </c>
      <c r="U33" s="486"/>
      <c r="V33" s="486"/>
      <c r="W33" s="696" t="s">
        <v>65</v>
      </c>
      <c r="X33" s="569"/>
      <c r="Y33" s="569"/>
      <c r="Z33" s="697"/>
      <c r="AA33" s="696" t="s">
        <v>66</v>
      </c>
      <c r="AB33" s="569"/>
      <c r="AC33" s="569"/>
      <c r="AD33" s="570"/>
      <c r="AG33" s="87"/>
      <c r="AH33" s="87"/>
      <c r="AI33" s="87"/>
      <c r="AJ33" s="87"/>
      <c r="AK33" s="87"/>
      <c r="AL33" s="87"/>
      <c r="AM33" s="87"/>
      <c r="AN33" s="87"/>
      <c r="AO33" s="87"/>
    </row>
    <row r="34" spans="1:41" ht="131.25" customHeight="1" x14ac:dyDescent="0.2">
      <c r="A34" s="698" t="s">
        <v>162</v>
      </c>
      <c r="B34" s="506">
        <v>0.2</v>
      </c>
      <c r="C34" s="102" t="s">
        <v>67</v>
      </c>
      <c r="D34" s="239">
        <v>1</v>
      </c>
      <c r="E34" s="240">
        <v>1</v>
      </c>
      <c r="F34" s="240">
        <v>1</v>
      </c>
      <c r="G34" s="240">
        <v>1</v>
      </c>
      <c r="H34" s="240">
        <v>1</v>
      </c>
      <c r="I34" s="240">
        <v>1</v>
      </c>
      <c r="J34" s="240">
        <v>1</v>
      </c>
      <c r="K34" s="240">
        <v>1</v>
      </c>
      <c r="L34" s="240">
        <v>1</v>
      </c>
      <c r="M34" s="240">
        <v>1</v>
      </c>
      <c r="N34" s="240">
        <v>1</v>
      </c>
      <c r="O34" s="240">
        <v>1</v>
      </c>
      <c r="P34" s="240">
        <v>1</v>
      </c>
      <c r="Q34" s="729" t="s">
        <v>568</v>
      </c>
      <c r="R34" s="729"/>
      <c r="S34" s="730"/>
      <c r="T34" s="729" t="s">
        <v>569</v>
      </c>
      <c r="U34" s="729"/>
      <c r="V34" s="730"/>
      <c r="W34" s="838" t="s">
        <v>163</v>
      </c>
      <c r="X34" s="744"/>
      <c r="Y34" s="744"/>
      <c r="Z34" s="745"/>
      <c r="AA34" s="838"/>
      <c r="AB34" s="744"/>
      <c r="AC34" s="744"/>
      <c r="AD34" s="840"/>
      <c r="AG34" s="87"/>
      <c r="AH34" s="87"/>
      <c r="AI34" s="87"/>
      <c r="AJ34" s="87"/>
      <c r="AK34" s="87"/>
      <c r="AL34" s="87"/>
      <c r="AM34" s="87"/>
      <c r="AN34" s="87"/>
      <c r="AO34" s="87"/>
    </row>
    <row r="35" spans="1:41" ht="131.25" customHeight="1" x14ac:dyDescent="0.2">
      <c r="A35" s="699"/>
      <c r="B35" s="507"/>
      <c r="C35" s="91" t="s">
        <v>72</v>
      </c>
      <c r="D35" s="275">
        <v>0</v>
      </c>
      <c r="E35" s="275">
        <v>1</v>
      </c>
      <c r="F35" s="275">
        <v>1</v>
      </c>
      <c r="G35" s="275">
        <v>1</v>
      </c>
      <c r="H35" s="275">
        <v>1</v>
      </c>
      <c r="I35" s="275">
        <v>1</v>
      </c>
      <c r="J35" s="275">
        <v>1</v>
      </c>
      <c r="K35" s="275">
        <v>1</v>
      </c>
      <c r="L35" s="275">
        <v>1</v>
      </c>
      <c r="M35" s="275">
        <v>1</v>
      </c>
      <c r="N35" s="275" t="s">
        <v>48</v>
      </c>
      <c r="O35" s="376" t="s">
        <v>48</v>
      </c>
      <c r="P35" s="381">
        <v>1</v>
      </c>
      <c r="Q35" s="731"/>
      <c r="R35" s="731"/>
      <c r="S35" s="732"/>
      <c r="T35" s="731"/>
      <c r="U35" s="731"/>
      <c r="V35" s="732"/>
      <c r="W35" s="839"/>
      <c r="X35" s="746"/>
      <c r="Y35" s="746"/>
      <c r="Z35" s="747"/>
      <c r="AA35" s="839"/>
      <c r="AB35" s="746"/>
      <c r="AC35" s="746"/>
      <c r="AD35" s="841"/>
      <c r="AE35" s="49"/>
      <c r="AG35" s="87"/>
      <c r="AH35" s="87"/>
      <c r="AI35" s="87"/>
      <c r="AJ35" s="87"/>
      <c r="AK35" s="87"/>
      <c r="AL35" s="87"/>
      <c r="AM35" s="87"/>
      <c r="AN35" s="87"/>
      <c r="AO35" s="87"/>
    </row>
    <row r="36" spans="1:41" ht="26" customHeight="1" x14ac:dyDescent="0.2">
      <c r="A36" s="527" t="s">
        <v>73</v>
      </c>
      <c r="B36" s="485" t="s">
        <v>74</v>
      </c>
      <c r="C36" s="531" t="s">
        <v>75</v>
      </c>
      <c r="D36" s="485"/>
      <c r="E36" s="485"/>
      <c r="F36" s="485"/>
      <c r="G36" s="485"/>
      <c r="H36" s="485"/>
      <c r="I36" s="485"/>
      <c r="J36" s="485"/>
      <c r="K36" s="485"/>
      <c r="L36" s="485"/>
      <c r="M36" s="485"/>
      <c r="N36" s="485"/>
      <c r="O36" s="485"/>
      <c r="P36" s="488"/>
      <c r="Q36" s="686" t="s">
        <v>76</v>
      </c>
      <c r="R36" s="645"/>
      <c r="S36" s="645"/>
      <c r="T36" s="645"/>
      <c r="U36" s="645"/>
      <c r="V36" s="645"/>
      <c r="W36" s="645"/>
      <c r="X36" s="645"/>
      <c r="Y36" s="645"/>
      <c r="Z36" s="645"/>
      <c r="AA36" s="645"/>
      <c r="AB36" s="645"/>
      <c r="AC36" s="645"/>
      <c r="AD36" s="646"/>
      <c r="AG36" s="87"/>
      <c r="AH36" s="87"/>
      <c r="AI36" s="87"/>
      <c r="AJ36" s="87"/>
      <c r="AK36" s="87"/>
      <c r="AL36" s="87"/>
      <c r="AM36" s="87"/>
      <c r="AN36" s="87"/>
      <c r="AO36" s="87"/>
    </row>
    <row r="37" spans="1:41" ht="26" customHeight="1" x14ac:dyDescent="0.2">
      <c r="A37" s="484"/>
      <c r="B37" s="486"/>
      <c r="C37" s="232" t="s">
        <v>77</v>
      </c>
      <c r="D37" s="226" t="s">
        <v>78</v>
      </c>
      <c r="E37" s="226" t="s">
        <v>79</v>
      </c>
      <c r="F37" s="226" t="s">
        <v>80</v>
      </c>
      <c r="G37" s="226" t="s">
        <v>81</v>
      </c>
      <c r="H37" s="226" t="s">
        <v>82</v>
      </c>
      <c r="I37" s="226" t="s">
        <v>83</v>
      </c>
      <c r="J37" s="226" t="s">
        <v>84</v>
      </c>
      <c r="K37" s="226" t="s">
        <v>85</v>
      </c>
      <c r="L37" s="226" t="s">
        <v>86</v>
      </c>
      <c r="M37" s="226" t="s">
        <v>87</v>
      </c>
      <c r="N37" s="226" t="s">
        <v>88</v>
      </c>
      <c r="O37" s="226" t="s">
        <v>89</v>
      </c>
      <c r="P37" s="227" t="s">
        <v>90</v>
      </c>
      <c r="Q37" s="687" t="s">
        <v>91</v>
      </c>
      <c r="R37" s="647"/>
      <c r="S37" s="647"/>
      <c r="T37" s="647"/>
      <c r="U37" s="647"/>
      <c r="V37" s="647"/>
      <c r="W37" s="647"/>
      <c r="X37" s="647"/>
      <c r="Y37" s="647"/>
      <c r="Z37" s="647"/>
      <c r="AA37" s="647"/>
      <c r="AB37" s="647"/>
      <c r="AC37" s="647"/>
      <c r="AD37" s="648"/>
      <c r="AG37" s="94"/>
      <c r="AH37" s="94"/>
      <c r="AI37" s="94"/>
      <c r="AJ37" s="94"/>
      <c r="AK37" s="94"/>
      <c r="AL37" s="94"/>
      <c r="AM37" s="94"/>
      <c r="AN37" s="94"/>
      <c r="AO37" s="94"/>
    </row>
    <row r="38" spans="1:41" ht="56.25" customHeight="1" x14ac:dyDescent="0.2">
      <c r="A38" s="726" t="s">
        <v>164</v>
      </c>
      <c r="B38" s="659">
        <v>0.08</v>
      </c>
      <c r="C38" s="188" t="s">
        <v>67</v>
      </c>
      <c r="D38" s="263">
        <v>0</v>
      </c>
      <c r="E38" s="270">
        <v>0.06</v>
      </c>
      <c r="F38" s="270">
        <v>0.105</v>
      </c>
      <c r="G38" s="270">
        <v>0.105</v>
      </c>
      <c r="H38" s="270">
        <v>0.105</v>
      </c>
      <c r="I38" s="270">
        <v>0.105</v>
      </c>
      <c r="J38" s="270">
        <v>0.105</v>
      </c>
      <c r="K38" s="270">
        <v>0.105</v>
      </c>
      <c r="L38" s="270">
        <v>0.105</v>
      </c>
      <c r="M38" s="270">
        <v>0.105</v>
      </c>
      <c r="N38" s="270">
        <v>0.1</v>
      </c>
      <c r="O38" s="270">
        <v>0</v>
      </c>
      <c r="P38" s="223">
        <f t="shared" ref="P38:P43" si="0">SUM(D38:O38)</f>
        <v>0.99999999999999989</v>
      </c>
      <c r="Q38" s="719" t="s">
        <v>567</v>
      </c>
      <c r="R38" s="719"/>
      <c r="S38" s="719"/>
      <c r="T38" s="719"/>
      <c r="U38" s="719"/>
      <c r="V38" s="719"/>
      <c r="W38" s="719"/>
      <c r="X38" s="719"/>
      <c r="Y38" s="719"/>
      <c r="Z38" s="719"/>
      <c r="AA38" s="719"/>
      <c r="AB38" s="719"/>
      <c r="AC38" s="719"/>
      <c r="AD38" s="720"/>
      <c r="AE38" s="97"/>
      <c r="AG38" s="98"/>
      <c r="AH38" s="98"/>
      <c r="AI38" s="98"/>
      <c r="AJ38" s="98"/>
      <c r="AK38" s="98"/>
      <c r="AL38" s="98"/>
      <c r="AM38" s="98"/>
      <c r="AN38" s="98"/>
      <c r="AO38" s="98"/>
    </row>
    <row r="39" spans="1:41" ht="56.25" customHeight="1" x14ac:dyDescent="0.2">
      <c r="A39" s="689"/>
      <c r="B39" s="497"/>
      <c r="C39" s="189" t="s">
        <v>72</v>
      </c>
      <c r="D39" s="257">
        <v>0</v>
      </c>
      <c r="E39" s="258">
        <v>0.06</v>
      </c>
      <c r="F39" s="258">
        <v>0.105</v>
      </c>
      <c r="G39" s="258">
        <v>0.105</v>
      </c>
      <c r="H39" s="258">
        <v>0.105</v>
      </c>
      <c r="I39" s="258">
        <v>0.105</v>
      </c>
      <c r="J39" s="258">
        <v>0.105</v>
      </c>
      <c r="K39" s="258">
        <v>0.105</v>
      </c>
      <c r="L39" s="258">
        <v>0.105</v>
      </c>
      <c r="M39" s="351">
        <f>+M38</f>
        <v>0.105</v>
      </c>
      <c r="N39" s="258" t="s">
        <v>48</v>
      </c>
      <c r="O39" s="258" t="s">
        <v>48</v>
      </c>
      <c r="P39" s="224">
        <f t="shared" si="0"/>
        <v>0.89999999999999991</v>
      </c>
      <c r="Q39" s="719"/>
      <c r="R39" s="719"/>
      <c r="S39" s="719"/>
      <c r="T39" s="719"/>
      <c r="U39" s="719"/>
      <c r="V39" s="719"/>
      <c r="W39" s="719"/>
      <c r="X39" s="719"/>
      <c r="Y39" s="719"/>
      <c r="Z39" s="719"/>
      <c r="AA39" s="719"/>
      <c r="AB39" s="719"/>
      <c r="AC39" s="719"/>
      <c r="AD39" s="720"/>
      <c r="AE39" s="97"/>
    </row>
    <row r="40" spans="1:41" ht="35.25" customHeight="1" x14ac:dyDescent="0.2">
      <c r="A40" s="688" t="s">
        <v>165</v>
      </c>
      <c r="B40" s="475">
        <v>7.0000000000000007E-2</v>
      </c>
      <c r="C40" s="190" t="s">
        <v>67</v>
      </c>
      <c r="D40" s="264">
        <v>0</v>
      </c>
      <c r="E40" s="247">
        <v>9.5000000000000001E-2</v>
      </c>
      <c r="F40" s="247">
        <v>9.5000000000000001E-2</v>
      </c>
      <c r="G40" s="247">
        <v>9.5000000000000001E-2</v>
      </c>
      <c r="H40" s="247">
        <v>9.5000000000000001E-2</v>
      </c>
      <c r="I40" s="247">
        <v>9.5000000000000001E-2</v>
      </c>
      <c r="J40" s="247">
        <v>9.5000000000000001E-2</v>
      </c>
      <c r="K40" s="247">
        <v>9.5000000000000001E-2</v>
      </c>
      <c r="L40" s="247">
        <v>9.5000000000000001E-2</v>
      </c>
      <c r="M40" s="247">
        <v>9.5000000000000001E-2</v>
      </c>
      <c r="N40" s="247">
        <v>9.5000000000000001E-2</v>
      </c>
      <c r="O40" s="247">
        <v>0.05</v>
      </c>
      <c r="P40" s="224">
        <f t="shared" si="0"/>
        <v>0.99999999999999989</v>
      </c>
      <c r="Q40" s="842" t="s">
        <v>166</v>
      </c>
      <c r="R40" s="842"/>
      <c r="S40" s="842"/>
      <c r="T40" s="842"/>
      <c r="U40" s="842"/>
      <c r="V40" s="842"/>
      <c r="W40" s="842"/>
      <c r="X40" s="842"/>
      <c r="Y40" s="842"/>
      <c r="Z40" s="842"/>
      <c r="AA40" s="842"/>
      <c r="AB40" s="842"/>
      <c r="AC40" s="842"/>
      <c r="AD40" s="843"/>
      <c r="AE40" s="97"/>
    </row>
    <row r="41" spans="1:41" ht="35.25" customHeight="1" x14ac:dyDescent="0.2">
      <c r="A41" s="689"/>
      <c r="B41" s="497"/>
      <c r="C41" s="189" t="s">
        <v>72</v>
      </c>
      <c r="D41" s="257">
        <v>0</v>
      </c>
      <c r="E41" s="258">
        <v>9.5000000000000001E-2</v>
      </c>
      <c r="F41" s="258">
        <v>9.5000000000000001E-2</v>
      </c>
      <c r="G41" s="258">
        <v>9.5000000000000001E-2</v>
      </c>
      <c r="H41" s="258">
        <v>9.5000000000000001E-2</v>
      </c>
      <c r="I41" s="258">
        <v>9.5000000000000001E-2</v>
      </c>
      <c r="J41" s="258">
        <v>9.5000000000000001E-2</v>
      </c>
      <c r="K41" s="258">
        <v>9.5000000000000001E-2</v>
      </c>
      <c r="L41" s="258">
        <v>9.5000000000000001E-2</v>
      </c>
      <c r="M41" s="351">
        <f>+M40</f>
        <v>9.5000000000000001E-2</v>
      </c>
      <c r="N41" s="258" t="s">
        <v>48</v>
      </c>
      <c r="O41" s="258" t="s">
        <v>48</v>
      </c>
      <c r="P41" s="224">
        <f t="shared" si="0"/>
        <v>0.85499999999999987</v>
      </c>
      <c r="Q41" s="719"/>
      <c r="R41" s="719"/>
      <c r="S41" s="719"/>
      <c r="T41" s="719"/>
      <c r="U41" s="719"/>
      <c r="V41" s="719"/>
      <c r="W41" s="719"/>
      <c r="X41" s="719"/>
      <c r="Y41" s="719"/>
      <c r="Z41" s="719"/>
      <c r="AA41" s="719"/>
      <c r="AB41" s="719"/>
      <c r="AC41" s="719"/>
      <c r="AD41" s="720"/>
      <c r="AE41" s="97"/>
    </row>
    <row r="42" spans="1:41" ht="35.25" customHeight="1" x14ac:dyDescent="0.2">
      <c r="A42" s="693" t="s">
        <v>167</v>
      </c>
      <c r="B42" s="659">
        <v>0.05</v>
      </c>
      <c r="C42" s="190" t="s">
        <v>67</v>
      </c>
      <c r="D42" s="264">
        <v>0</v>
      </c>
      <c r="E42" s="247">
        <v>0.17</v>
      </c>
      <c r="F42" s="247">
        <v>0</v>
      </c>
      <c r="G42" s="247">
        <v>0.16600000000000001</v>
      </c>
      <c r="H42" s="247">
        <v>0</v>
      </c>
      <c r="I42" s="247">
        <v>0.16600000000000001</v>
      </c>
      <c r="J42" s="247">
        <v>0</v>
      </c>
      <c r="K42" s="247">
        <v>0.16600000000000001</v>
      </c>
      <c r="L42" s="247">
        <v>0</v>
      </c>
      <c r="M42" s="247">
        <v>0.16600000000000001</v>
      </c>
      <c r="N42" s="247">
        <v>0</v>
      </c>
      <c r="O42" s="247">
        <v>0.16600000000000001</v>
      </c>
      <c r="P42" s="224">
        <f t="shared" si="0"/>
        <v>1</v>
      </c>
      <c r="Q42" s="842" t="s">
        <v>168</v>
      </c>
      <c r="R42" s="842"/>
      <c r="S42" s="842"/>
      <c r="T42" s="842"/>
      <c r="U42" s="842"/>
      <c r="V42" s="842"/>
      <c r="W42" s="842"/>
      <c r="X42" s="842"/>
      <c r="Y42" s="842"/>
      <c r="Z42" s="842"/>
      <c r="AA42" s="842"/>
      <c r="AB42" s="842"/>
      <c r="AC42" s="842"/>
      <c r="AD42" s="843"/>
      <c r="AE42" s="97"/>
    </row>
    <row r="43" spans="1:41" ht="35.25" customHeight="1" x14ac:dyDescent="0.2">
      <c r="A43" s="694"/>
      <c r="B43" s="476"/>
      <c r="C43" s="238" t="s">
        <v>72</v>
      </c>
      <c r="D43" s="262">
        <v>0</v>
      </c>
      <c r="E43" s="249">
        <v>0.17</v>
      </c>
      <c r="F43" s="249">
        <v>0</v>
      </c>
      <c r="G43" s="249">
        <v>0.16600000000000001</v>
      </c>
      <c r="H43" s="249">
        <v>0</v>
      </c>
      <c r="I43" s="249">
        <v>0.16600000000000001</v>
      </c>
      <c r="J43" s="249">
        <v>0</v>
      </c>
      <c r="K43" s="249">
        <v>0.16600000000000001</v>
      </c>
      <c r="L43" s="258">
        <v>0</v>
      </c>
      <c r="M43" s="339">
        <f>+M42</f>
        <v>0.16600000000000001</v>
      </c>
      <c r="N43" s="249" t="s">
        <v>48</v>
      </c>
      <c r="O43" s="249" t="s">
        <v>48</v>
      </c>
      <c r="P43" s="225">
        <f t="shared" si="0"/>
        <v>0.83400000000000007</v>
      </c>
      <c r="Q43" s="742"/>
      <c r="R43" s="742"/>
      <c r="S43" s="742"/>
      <c r="T43" s="742"/>
      <c r="U43" s="742"/>
      <c r="V43" s="742"/>
      <c r="W43" s="742"/>
      <c r="X43" s="742"/>
      <c r="Y43" s="742"/>
      <c r="Z43" s="742"/>
      <c r="AA43" s="742"/>
      <c r="AB43" s="742"/>
      <c r="AC43" s="742"/>
      <c r="AD43" s="743"/>
      <c r="AE43" s="97"/>
    </row>
    <row r="44" spans="1:41" x14ac:dyDescent="0.2">
      <c r="A44" s="50" t="s">
        <v>96</v>
      </c>
    </row>
    <row r="55" spans="1:30" x14ac:dyDescent="0.2">
      <c r="A55" s="459" t="s">
        <v>97</v>
      </c>
      <c r="B55" s="461" t="s">
        <v>74</v>
      </c>
      <c r="C55" s="463" t="s">
        <v>75</v>
      </c>
      <c r="D55" s="464"/>
      <c r="E55" s="464"/>
      <c r="F55" s="464"/>
      <c r="G55" s="464"/>
      <c r="H55" s="464"/>
      <c r="I55" s="464"/>
      <c r="J55" s="464"/>
      <c r="K55" s="464"/>
      <c r="L55" s="464"/>
      <c r="M55" s="464"/>
      <c r="N55" s="464"/>
      <c r="O55" s="464"/>
      <c r="P55" s="465"/>
      <c r="Q55" s="191"/>
      <c r="R55" s="191"/>
      <c r="S55" s="192"/>
      <c r="T55" s="192"/>
      <c r="U55" s="192"/>
      <c r="V55" s="192"/>
      <c r="W55" s="192"/>
      <c r="X55" s="192"/>
      <c r="Y55" s="192"/>
      <c r="Z55" s="192"/>
      <c r="AA55" s="192"/>
      <c r="AB55" s="192"/>
      <c r="AC55" s="192"/>
      <c r="AD55" s="192"/>
    </row>
    <row r="56" spans="1:30" x14ac:dyDescent="0.2">
      <c r="A56" s="460"/>
      <c r="B56" s="462"/>
      <c r="C56" s="193" t="s">
        <v>77</v>
      </c>
      <c r="D56" s="193" t="s">
        <v>78</v>
      </c>
      <c r="E56" s="193" t="s">
        <v>79</v>
      </c>
      <c r="F56" s="193" t="s">
        <v>80</v>
      </c>
      <c r="G56" s="193" t="s">
        <v>81</v>
      </c>
      <c r="H56" s="193" t="s">
        <v>82</v>
      </c>
      <c r="I56" s="193" t="s">
        <v>83</v>
      </c>
      <c r="J56" s="193" t="s">
        <v>84</v>
      </c>
      <c r="K56" s="193" t="s">
        <v>85</v>
      </c>
      <c r="L56" s="193" t="s">
        <v>86</v>
      </c>
      <c r="M56" s="193" t="s">
        <v>87</v>
      </c>
      <c r="N56" s="193" t="s">
        <v>88</v>
      </c>
      <c r="O56" s="193" t="s">
        <v>89</v>
      </c>
      <c r="P56" s="193" t="s">
        <v>90</v>
      </c>
      <c r="Q56" s="191"/>
      <c r="R56" s="191"/>
      <c r="S56" s="192"/>
      <c r="T56" s="192"/>
      <c r="U56" s="192"/>
      <c r="V56" s="192"/>
      <c r="W56" s="192"/>
      <c r="X56" s="192"/>
      <c r="Y56" s="192"/>
      <c r="Z56" s="192"/>
      <c r="AA56" s="192"/>
      <c r="AB56" s="192"/>
      <c r="AC56" s="192"/>
      <c r="AD56" s="192"/>
    </row>
    <row r="57" spans="1:30" x14ac:dyDescent="0.2">
      <c r="A57" s="466" t="str">
        <f>A38</f>
        <v xml:space="preserve">13. Implementar los talleres de cambio cultural </v>
      </c>
      <c r="B57" s="468">
        <f>B38</f>
        <v>0.08</v>
      </c>
      <c r="C57" s="194" t="s">
        <v>67</v>
      </c>
      <c r="D57" s="195">
        <f>D38*$B$38/$P$38</f>
        <v>0</v>
      </c>
      <c r="E57" s="195">
        <f t="shared" ref="D57:O58" si="1">E38*$B$38/$P$38</f>
        <v>4.8000000000000004E-3</v>
      </c>
      <c r="F57" s="195">
        <f t="shared" si="1"/>
        <v>8.4000000000000012E-3</v>
      </c>
      <c r="G57" s="195">
        <f t="shared" si="1"/>
        <v>8.4000000000000012E-3</v>
      </c>
      <c r="H57" s="195">
        <f t="shared" si="1"/>
        <v>8.4000000000000012E-3</v>
      </c>
      <c r="I57" s="195">
        <f t="shared" si="1"/>
        <v>8.4000000000000012E-3</v>
      </c>
      <c r="J57" s="195">
        <f t="shared" si="1"/>
        <v>8.4000000000000012E-3</v>
      </c>
      <c r="K57" s="195">
        <f t="shared" si="1"/>
        <v>8.4000000000000012E-3</v>
      </c>
      <c r="L57" s="195">
        <f t="shared" si="1"/>
        <v>8.4000000000000012E-3</v>
      </c>
      <c r="M57" s="195">
        <f t="shared" si="1"/>
        <v>8.4000000000000012E-3</v>
      </c>
      <c r="N57" s="195">
        <f t="shared" si="1"/>
        <v>8.0000000000000019E-3</v>
      </c>
      <c r="O57" s="195">
        <f t="shared" si="1"/>
        <v>0</v>
      </c>
      <c r="P57" s="196">
        <f t="shared" ref="P57:P62" si="2">SUM(D57:O57)</f>
        <v>8.0000000000000029E-2</v>
      </c>
      <c r="Q57" s="197">
        <v>0.05</v>
      </c>
      <c r="R57" s="198">
        <f t="shared" ref="R57:R65" si="3">+P57-Q57</f>
        <v>3.0000000000000027E-2</v>
      </c>
      <c r="S57" s="192"/>
      <c r="T57" s="192"/>
      <c r="U57" s="192"/>
      <c r="V57" s="192"/>
      <c r="W57" s="192"/>
      <c r="X57" s="192"/>
      <c r="Y57" s="192"/>
      <c r="Z57" s="192"/>
      <c r="AA57" s="192"/>
      <c r="AB57" s="192"/>
      <c r="AC57" s="192"/>
      <c r="AD57" s="192"/>
    </row>
    <row r="58" spans="1:30" x14ac:dyDescent="0.2">
      <c r="A58" s="467"/>
      <c r="B58" s="469"/>
      <c r="C58" s="199" t="s">
        <v>72</v>
      </c>
      <c r="D58" s="200">
        <f t="shared" si="1"/>
        <v>0</v>
      </c>
      <c r="E58" s="200">
        <f t="shared" si="1"/>
        <v>4.8000000000000004E-3</v>
      </c>
      <c r="F58" s="200">
        <f t="shared" si="1"/>
        <v>8.4000000000000012E-3</v>
      </c>
      <c r="G58" s="200">
        <f t="shared" si="1"/>
        <v>8.4000000000000012E-3</v>
      </c>
      <c r="H58" s="200">
        <f t="shared" si="1"/>
        <v>8.4000000000000012E-3</v>
      </c>
      <c r="I58" s="200">
        <f t="shared" si="1"/>
        <v>8.4000000000000012E-3</v>
      </c>
      <c r="J58" s="200">
        <f t="shared" si="1"/>
        <v>8.4000000000000012E-3</v>
      </c>
      <c r="K58" s="200">
        <f t="shared" si="1"/>
        <v>8.4000000000000012E-3</v>
      </c>
      <c r="L58" s="200">
        <f t="shared" si="1"/>
        <v>8.4000000000000012E-3</v>
      </c>
      <c r="M58" s="200">
        <f t="shared" si="1"/>
        <v>8.4000000000000012E-3</v>
      </c>
      <c r="N58" s="200" t="e">
        <f t="shared" si="1"/>
        <v>#VALUE!</v>
      </c>
      <c r="O58" s="200" t="e">
        <f t="shared" si="1"/>
        <v>#VALUE!</v>
      </c>
      <c r="P58" s="201" t="e">
        <f t="shared" si="2"/>
        <v>#VALUE!</v>
      </c>
      <c r="Q58" s="202" t="e">
        <f>+P58</f>
        <v>#VALUE!</v>
      </c>
      <c r="R58" s="198" t="e">
        <f t="shared" si="3"/>
        <v>#VALUE!</v>
      </c>
      <c r="S58" s="192"/>
      <c r="T58" s="192"/>
      <c r="U58" s="192"/>
      <c r="V58" s="192"/>
      <c r="W58" s="192"/>
      <c r="X58" s="192"/>
      <c r="Y58" s="192"/>
      <c r="Z58" s="192"/>
      <c r="AA58" s="192"/>
      <c r="AB58" s="192"/>
      <c r="AC58" s="192"/>
      <c r="AD58" s="192"/>
    </row>
    <row r="59" spans="1:30" x14ac:dyDescent="0.2">
      <c r="A59" s="466" t="str">
        <f>A40</f>
        <v>14. Implementar la Red de Alianzas del Cuidado</v>
      </c>
      <c r="B59" s="471">
        <f>B40</f>
        <v>7.0000000000000007E-2</v>
      </c>
      <c r="C59" s="194" t="s">
        <v>67</v>
      </c>
      <c r="D59" s="195">
        <f t="shared" ref="D59:O60" si="4">D40*$B$40/$P$40</f>
        <v>0</v>
      </c>
      <c r="E59" s="195">
        <f t="shared" si="4"/>
        <v>6.6500000000000014E-3</v>
      </c>
      <c r="F59" s="195">
        <f t="shared" si="4"/>
        <v>6.6500000000000014E-3</v>
      </c>
      <c r="G59" s="195">
        <f t="shared" si="4"/>
        <v>6.6500000000000014E-3</v>
      </c>
      <c r="H59" s="195">
        <f t="shared" si="4"/>
        <v>6.6500000000000014E-3</v>
      </c>
      <c r="I59" s="195">
        <f t="shared" si="4"/>
        <v>6.6500000000000014E-3</v>
      </c>
      <c r="J59" s="195">
        <f t="shared" si="4"/>
        <v>6.6500000000000014E-3</v>
      </c>
      <c r="K59" s="195">
        <f t="shared" si="4"/>
        <v>6.6500000000000014E-3</v>
      </c>
      <c r="L59" s="195">
        <f t="shared" si="4"/>
        <v>6.6500000000000014E-3</v>
      </c>
      <c r="M59" s="195">
        <f t="shared" si="4"/>
        <v>6.6500000000000014E-3</v>
      </c>
      <c r="N59" s="195">
        <f t="shared" si="4"/>
        <v>6.6500000000000014E-3</v>
      </c>
      <c r="O59" s="195">
        <f t="shared" si="4"/>
        <v>3.5000000000000009E-3</v>
      </c>
      <c r="P59" s="196">
        <f t="shared" si="2"/>
        <v>7.0000000000000021E-2</v>
      </c>
      <c r="Q59" s="197">
        <v>2.5000000000000001E-2</v>
      </c>
      <c r="R59" s="198">
        <f t="shared" si="3"/>
        <v>4.5000000000000019E-2</v>
      </c>
      <c r="S59" s="192"/>
      <c r="T59" s="192"/>
      <c r="U59" s="192"/>
      <c r="V59" s="192"/>
      <c r="W59" s="192"/>
      <c r="X59" s="192"/>
      <c r="Y59" s="192"/>
      <c r="Z59" s="192"/>
      <c r="AA59" s="192"/>
      <c r="AB59" s="192"/>
      <c r="AC59" s="192"/>
      <c r="AD59" s="192"/>
    </row>
    <row r="60" spans="1:30" x14ac:dyDescent="0.2">
      <c r="A60" s="470"/>
      <c r="B60" s="472"/>
      <c r="C60" s="199" t="s">
        <v>72</v>
      </c>
      <c r="D60" s="200">
        <f t="shared" si="4"/>
        <v>0</v>
      </c>
      <c r="E60" s="200">
        <f t="shared" si="4"/>
        <v>6.6500000000000014E-3</v>
      </c>
      <c r="F60" s="200">
        <f t="shared" si="4"/>
        <v>6.6500000000000014E-3</v>
      </c>
      <c r="G60" s="200">
        <f t="shared" si="4"/>
        <v>6.6500000000000014E-3</v>
      </c>
      <c r="H60" s="200">
        <f t="shared" si="4"/>
        <v>6.6500000000000014E-3</v>
      </c>
      <c r="I60" s="200">
        <f t="shared" si="4"/>
        <v>6.6500000000000014E-3</v>
      </c>
      <c r="J60" s="200">
        <f t="shared" si="4"/>
        <v>6.6500000000000014E-3</v>
      </c>
      <c r="K60" s="200">
        <f t="shared" si="4"/>
        <v>6.6500000000000014E-3</v>
      </c>
      <c r="L60" s="200">
        <f t="shared" si="4"/>
        <v>6.6500000000000014E-3</v>
      </c>
      <c r="M60" s="200">
        <f t="shared" si="4"/>
        <v>6.6500000000000014E-3</v>
      </c>
      <c r="N60" s="200" t="e">
        <f t="shared" si="4"/>
        <v>#VALUE!</v>
      </c>
      <c r="O60" s="200" t="e">
        <f t="shared" si="4"/>
        <v>#VALUE!</v>
      </c>
      <c r="P60" s="201" t="e">
        <f t="shared" si="2"/>
        <v>#VALUE!</v>
      </c>
      <c r="Q60" s="202" t="e">
        <f>+P60</f>
        <v>#VALUE!</v>
      </c>
      <c r="R60" s="198" t="e">
        <f t="shared" si="3"/>
        <v>#VALUE!</v>
      </c>
      <c r="S60" s="192"/>
      <c r="T60" s="192"/>
      <c r="U60" s="192"/>
      <c r="V60" s="192"/>
      <c r="W60" s="192"/>
      <c r="X60" s="192"/>
      <c r="Y60" s="192"/>
      <c r="Z60" s="192"/>
      <c r="AA60" s="192"/>
      <c r="AB60" s="192"/>
      <c r="AC60" s="192"/>
      <c r="AD60" s="192"/>
    </row>
    <row r="61" spans="1:30" x14ac:dyDescent="0.2">
      <c r="A61" s="466" t="str">
        <f>A42</f>
        <v>15. Convocar y gestionar las sesiones de la Mesa de Transformación Cultural de la Unidad Técnica de Apoyo de la Comisión Intersectorial del Sistema de Cuidado</v>
      </c>
      <c r="B61" s="471">
        <f>B42</f>
        <v>0.05</v>
      </c>
      <c r="C61" s="194" t="s">
        <v>67</v>
      </c>
      <c r="D61" s="195">
        <f t="shared" ref="D61:O62" si="5">D42*$B$42/$P$42</f>
        <v>0</v>
      </c>
      <c r="E61" s="195">
        <f t="shared" si="5"/>
        <v>8.5000000000000006E-3</v>
      </c>
      <c r="F61" s="195">
        <f t="shared" si="5"/>
        <v>0</v>
      </c>
      <c r="G61" s="195">
        <f t="shared" si="5"/>
        <v>8.3000000000000001E-3</v>
      </c>
      <c r="H61" s="195">
        <f t="shared" si="5"/>
        <v>0</v>
      </c>
      <c r="I61" s="195">
        <f t="shared" si="5"/>
        <v>8.3000000000000001E-3</v>
      </c>
      <c r="J61" s="195">
        <f t="shared" si="5"/>
        <v>0</v>
      </c>
      <c r="K61" s="195">
        <f t="shared" si="5"/>
        <v>8.3000000000000001E-3</v>
      </c>
      <c r="L61" s="195">
        <f t="shared" si="5"/>
        <v>0</v>
      </c>
      <c r="M61" s="195">
        <f t="shared" si="5"/>
        <v>8.3000000000000001E-3</v>
      </c>
      <c r="N61" s="195">
        <f t="shared" si="5"/>
        <v>0</v>
      </c>
      <c r="O61" s="195">
        <f t="shared" si="5"/>
        <v>8.3000000000000001E-3</v>
      </c>
      <c r="P61" s="196">
        <f t="shared" si="2"/>
        <v>5.000000000000001E-2</v>
      </c>
      <c r="Q61" s="197">
        <v>2.5000000000000001E-2</v>
      </c>
      <c r="R61" s="198">
        <f t="shared" si="3"/>
        <v>2.5000000000000008E-2</v>
      </c>
      <c r="S61" s="192"/>
      <c r="T61" s="192"/>
      <c r="U61" s="192"/>
      <c r="V61" s="192"/>
      <c r="W61" s="192"/>
      <c r="X61" s="192"/>
      <c r="Y61" s="192"/>
      <c r="Z61" s="192"/>
      <c r="AA61" s="192"/>
      <c r="AB61" s="192"/>
      <c r="AC61" s="192"/>
      <c r="AD61" s="192"/>
    </row>
    <row r="62" spans="1:30" x14ac:dyDescent="0.2">
      <c r="A62" s="470"/>
      <c r="B62" s="472"/>
      <c r="C62" s="199" t="s">
        <v>72</v>
      </c>
      <c r="D62" s="200">
        <f t="shared" si="5"/>
        <v>0</v>
      </c>
      <c r="E62" s="200">
        <f t="shared" si="5"/>
        <v>8.5000000000000006E-3</v>
      </c>
      <c r="F62" s="200">
        <f t="shared" si="5"/>
        <v>0</v>
      </c>
      <c r="G62" s="200">
        <f t="shared" si="5"/>
        <v>8.3000000000000001E-3</v>
      </c>
      <c r="H62" s="200">
        <f t="shared" si="5"/>
        <v>0</v>
      </c>
      <c r="I62" s="200">
        <f t="shared" si="5"/>
        <v>8.3000000000000001E-3</v>
      </c>
      <c r="J62" s="200">
        <f t="shared" si="5"/>
        <v>0</v>
      </c>
      <c r="K62" s="200">
        <f t="shared" si="5"/>
        <v>8.3000000000000001E-3</v>
      </c>
      <c r="L62" s="200">
        <f t="shared" si="5"/>
        <v>0</v>
      </c>
      <c r="M62" s="200">
        <f t="shared" si="5"/>
        <v>8.3000000000000001E-3</v>
      </c>
      <c r="N62" s="200" t="e">
        <f t="shared" si="5"/>
        <v>#VALUE!</v>
      </c>
      <c r="O62" s="200" t="e">
        <f t="shared" si="5"/>
        <v>#VALUE!</v>
      </c>
      <c r="P62" s="201" t="e">
        <f t="shared" si="2"/>
        <v>#VALUE!</v>
      </c>
      <c r="Q62" s="202" t="e">
        <f>+P62</f>
        <v>#VALUE!</v>
      </c>
      <c r="R62" s="198" t="e">
        <f t="shared" si="3"/>
        <v>#VALUE!</v>
      </c>
      <c r="S62" s="192"/>
      <c r="T62" s="192"/>
      <c r="U62" s="192"/>
      <c r="V62" s="192"/>
      <c r="W62" s="192"/>
      <c r="X62" s="192"/>
      <c r="Y62" s="192"/>
      <c r="Z62" s="192"/>
      <c r="AA62" s="192"/>
      <c r="AB62" s="192"/>
      <c r="AC62" s="192"/>
      <c r="AD62" s="192"/>
    </row>
    <row r="63" spans="1:30" x14ac:dyDescent="0.2">
      <c r="A63" s="204"/>
      <c r="B63" s="205"/>
      <c r="C63" s="206"/>
      <c r="D63" s="195"/>
      <c r="E63" s="195"/>
      <c r="F63" s="195"/>
      <c r="G63" s="195"/>
      <c r="H63" s="195"/>
      <c r="I63" s="195"/>
      <c r="J63" s="195"/>
      <c r="K63" s="195"/>
      <c r="L63" s="195"/>
      <c r="M63" s="195"/>
      <c r="N63" s="195"/>
      <c r="O63" s="195"/>
      <c r="P63" s="207"/>
      <c r="Q63" s="197"/>
      <c r="R63" s="198"/>
      <c r="S63" s="192"/>
      <c r="T63" s="192"/>
      <c r="U63" s="192"/>
      <c r="V63" s="192"/>
      <c r="W63" s="192"/>
      <c r="X63" s="192"/>
      <c r="Y63" s="192"/>
      <c r="Z63" s="192"/>
      <c r="AA63" s="192"/>
      <c r="AB63" s="192"/>
      <c r="AC63" s="192"/>
      <c r="AD63" s="192"/>
    </row>
    <row r="64" spans="1:30" x14ac:dyDescent="0.2">
      <c r="A64" s="208"/>
      <c r="B64" s="209"/>
      <c r="C64" s="206"/>
      <c r="D64" s="210"/>
      <c r="E64" s="210"/>
      <c r="F64" s="210"/>
      <c r="G64" s="210"/>
      <c r="H64" s="210"/>
      <c r="I64" s="210"/>
      <c r="J64" s="210"/>
      <c r="K64" s="210"/>
      <c r="L64" s="210"/>
      <c r="M64" s="210"/>
      <c r="N64" s="210"/>
      <c r="O64" s="210"/>
      <c r="P64" s="207"/>
      <c r="Q64" s="202"/>
      <c r="R64" s="198"/>
      <c r="S64" s="192"/>
      <c r="T64" s="192"/>
      <c r="U64" s="192"/>
      <c r="V64" s="192"/>
      <c r="W64" s="192"/>
      <c r="X64" s="192"/>
      <c r="Y64" s="192"/>
      <c r="Z64" s="192"/>
      <c r="AA64" s="192"/>
      <c r="AB64" s="192"/>
      <c r="AC64" s="192"/>
      <c r="AD64" s="192"/>
    </row>
    <row r="65" spans="1:30" x14ac:dyDescent="0.2">
      <c r="A65" s="191"/>
      <c r="B65" s="211"/>
      <c r="C65" s="212"/>
      <c r="D65" s="213">
        <f>D58+D60+D62</f>
        <v>0</v>
      </c>
      <c r="E65" s="213">
        <f t="shared" ref="E65:O65" si="6">E58+E60+E62</f>
        <v>1.9950000000000002E-2</v>
      </c>
      <c r="F65" s="213">
        <f t="shared" si="6"/>
        <v>1.5050000000000003E-2</v>
      </c>
      <c r="G65" s="213">
        <f t="shared" si="6"/>
        <v>2.3350000000000003E-2</v>
      </c>
      <c r="H65" s="213">
        <f t="shared" si="6"/>
        <v>1.5050000000000003E-2</v>
      </c>
      <c r="I65" s="213">
        <f t="shared" si="6"/>
        <v>2.3350000000000003E-2</v>
      </c>
      <c r="J65" s="213">
        <f t="shared" si="6"/>
        <v>1.5050000000000003E-2</v>
      </c>
      <c r="K65" s="213">
        <f t="shared" si="6"/>
        <v>2.3350000000000003E-2</v>
      </c>
      <c r="L65" s="213">
        <f t="shared" si="6"/>
        <v>1.5050000000000003E-2</v>
      </c>
      <c r="M65" s="213">
        <f t="shared" si="6"/>
        <v>2.3350000000000003E-2</v>
      </c>
      <c r="N65" s="213" t="e">
        <f t="shared" si="6"/>
        <v>#VALUE!</v>
      </c>
      <c r="O65" s="213" t="e">
        <f t="shared" si="6"/>
        <v>#VALUE!</v>
      </c>
      <c r="P65" s="213" t="e">
        <f>P58+P60+P62</f>
        <v>#VALUE!</v>
      </c>
      <c r="Q65" s="191"/>
      <c r="R65" s="198" t="e">
        <f t="shared" si="3"/>
        <v>#VALUE!</v>
      </c>
      <c r="S65" s="192"/>
      <c r="T65" s="192"/>
      <c r="U65" s="192"/>
      <c r="V65" s="192"/>
      <c r="W65" s="192"/>
      <c r="X65" s="192"/>
      <c r="Y65" s="192"/>
      <c r="Z65" s="192"/>
      <c r="AA65" s="192"/>
      <c r="AB65" s="192"/>
      <c r="AC65" s="192"/>
      <c r="AD65" s="192"/>
    </row>
    <row r="66" spans="1:30" x14ac:dyDescent="0.2">
      <c r="A66" s="191"/>
      <c r="B66" s="214"/>
      <c r="C66" s="215" t="s">
        <v>72</v>
      </c>
      <c r="D66" s="216">
        <f>D65*$W$17/$B$34</f>
        <v>0</v>
      </c>
      <c r="E66" s="216">
        <f t="shared" ref="E66:O66" si="7">E65*$W$17/$B$34</f>
        <v>9.9750000000000005E-2</v>
      </c>
      <c r="F66" s="216">
        <f t="shared" si="7"/>
        <v>7.5250000000000011E-2</v>
      </c>
      <c r="G66" s="216">
        <f t="shared" si="7"/>
        <v>0.11675000000000001</v>
      </c>
      <c r="H66" s="216">
        <f t="shared" si="7"/>
        <v>7.5250000000000011E-2</v>
      </c>
      <c r="I66" s="216">
        <f t="shared" si="7"/>
        <v>0.11675000000000001</v>
      </c>
      <c r="J66" s="216">
        <f t="shared" si="7"/>
        <v>7.5250000000000011E-2</v>
      </c>
      <c r="K66" s="216">
        <f t="shared" si="7"/>
        <v>0.11675000000000001</v>
      </c>
      <c r="L66" s="216">
        <f t="shared" si="7"/>
        <v>7.5250000000000011E-2</v>
      </c>
      <c r="M66" s="216">
        <f t="shared" si="7"/>
        <v>0.11675000000000001</v>
      </c>
      <c r="N66" s="216" t="e">
        <f t="shared" si="7"/>
        <v>#VALUE!</v>
      </c>
      <c r="O66" s="216" t="e">
        <f t="shared" si="7"/>
        <v>#VALUE!</v>
      </c>
      <c r="P66" s="217" t="e">
        <f>SUM(D66:O66)</f>
        <v>#VALUE!</v>
      </c>
      <c r="Q66" s="218"/>
      <c r="R66" s="191"/>
      <c r="S66" s="192"/>
      <c r="T66" s="192"/>
      <c r="U66" s="192"/>
      <c r="V66" s="192"/>
      <c r="W66" s="192"/>
      <c r="X66" s="192"/>
      <c r="Y66" s="192"/>
      <c r="Z66" s="192"/>
      <c r="AA66" s="192"/>
      <c r="AB66" s="192"/>
      <c r="AC66" s="192"/>
      <c r="AD66" s="192"/>
    </row>
    <row r="67" spans="1:30" x14ac:dyDescent="0.2">
      <c r="A67" s="218"/>
      <c r="B67" s="219"/>
      <c r="C67" s="219"/>
      <c r="D67" s="219"/>
      <c r="E67" s="219"/>
      <c r="F67" s="219"/>
      <c r="G67" s="219"/>
      <c r="H67" s="219"/>
      <c r="I67" s="219"/>
      <c r="J67" s="219"/>
      <c r="K67" s="219"/>
      <c r="L67" s="219"/>
      <c r="M67" s="219"/>
      <c r="N67" s="219"/>
      <c r="O67" s="219"/>
      <c r="P67" s="219"/>
      <c r="Q67" s="218"/>
      <c r="R67" s="218"/>
      <c r="S67" s="192"/>
      <c r="T67" s="192"/>
      <c r="U67" s="192"/>
      <c r="V67" s="192"/>
      <c r="W67" s="192"/>
      <c r="X67" s="192"/>
      <c r="Y67" s="192"/>
      <c r="Z67" s="192"/>
      <c r="AA67" s="192"/>
      <c r="AB67" s="192"/>
      <c r="AC67" s="192"/>
      <c r="AD67" s="192"/>
    </row>
    <row r="68" spans="1:30" x14ac:dyDescent="0.2">
      <c r="A68" s="197"/>
      <c r="B68" s="108"/>
      <c r="C68" s="108"/>
      <c r="D68" s="213">
        <f t="shared" ref="D68:P68" si="8">+D57+D59+D61</f>
        <v>0</v>
      </c>
      <c r="E68" s="213">
        <f t="shared" si="8"/>
        <v>1.9950000000000002E-2</v>
      </c>
      <c r="F68" s="213">
        <f t="shared" si="8"/>
        <v>1.5050000000000003E-2</v>
      </c>
      <c r="G68" s="213">
        <f t="shared" si="8"/>
        <v>2.3350000000000003E-2</v>
      </c>
      <c r="H68" s="213">
        <f t="shared" si="8"/>
        <v>1.5050000000000003E-2</v>
      </c>
      <c r="I68" s="213">
        <f t="shared" si="8"/>
        <v>2.3350000000000003E-2</v>
      </c>
      <c r="J68" s="213">
        <f t="shared" si="8"/>
        <v>1.5050000000000003E-2</v>
      </c>
      <c r="K68" s="213">
        <f t="shared" si="8"/>
        <v>2.3350000000000003E-2</v>
      </c>
      <c r="L68" s="213">
        <f t="shared" si="8"/>
        <v>1.5050000000000003E-2</v>
      </c>
      <c r="M68" s="213">
        <f t="shared" si="8"/>
        <v>2.3350000000000003E-2</v>
      </c>
      <c r="N68" s="213">
        <f t="shared" si="8"/>
        <v>1.4650000000000003E-2</v>
      </c>
      <c r="O68" s="213">
        <f t="shared" si="8"/>
        <v>1.1800000000000001E-2</v>
      </c>
      <c r="P68" s="213">
        <f t="shared" si="8"/>
        <v>0.20000000000000007</v>
      </c>
      <c r="Q68" s="197"/>
      <c r="R68" s="197"/>
      <c r="S68" s="192"/>
      <c r="T68" s="192"/>
      <c r="U68" s="192"/>
      <c r="V68" s="192"/>
      <c r="W68" s="192"/>
      <c r="X68" s="192"/>
      <c r="Y68" s="192"/>
      <c r="Z68" s="192"/>
      <c r="AA68" s="192"/>
      <c r="AB68" s="192"/>
      <c r="AC68" s="192"/>
      <c r="AD68" s="192"/>
    </row>
    <row r="69" spans="1:30" x14ac:dyDescent="0.2">
      <c r="A69" s="197"/>
      <c r="B69" s="108"/>
      <c r="C69" s="215" t="s">
        <v>67</v>
      </c>
      <c r="D69" s="216">
        <f t="shared" ref="D69:O69" si="9">D68*$W$17/$B$34</f>
        <v>0</v>
      </c>
      <c r="E69" s="216">
        <f t="shared" si="9"/>
        <v>9.9750000000000005E-2</v>
      </c>
      <c r="F69" s="216">
        <f t="shared" si="9"/>
        <v>7.5250000000000011E-2</v>
      </c>
      <c r="G69" s="216">
        <f t="shared" si="9"/>
        <v>0.11675000000000001</v>
      </c>
      <c r="H69" s="216">
        <f t="shared" si="9"/>
        <v>7.5250000000000011E-2</v>
      </c>
      <c r="I69" s="216">
        <f t="shared" si="9"/>
        <v>0.11675000000000001</v>
      </c>
      <c r="J69" s="216">
        <f t="shared" si="9"/>
        <v>7.5250000000000011E-2</v>
      </c>
      <c r="K69" s="216">
        <f t="shared" si="9"/>
        <v>0.11675000000000001</v>
      </c>
      <c r="L69" s="216">
        <f t="shared" si="9"/>
        <v>7.5250000000000011E-2</v>
      </c>
      <c r="M69" s="216">
        <f t="shared" si="9"/>
        <v>0.11675000000000001</v>
      </c>
      <c r="N69" s="216">
        <f t="shared" si="9"/>
        <v>7.325000000000001E-2</v>
      </c>
      <c r="O69" s="216">
        <f t="shared" si="9"/>
        <v>5.9000000000000004E-2</v>
      </c>
      <c r="P69" s="217">
        <f>SUM(D69:O69)</f>
        <v>1.0000000000000002</v>
      </c>
      <c r="Q69" s="197"/>
      <c r="R69" s="197"/>
      <c r="S69" s="192"/>
      <c r="T69" s="192"/>
      <c r="U69" s="192"/>
      <c r="V69" s="192"/>
      <c r="W69" s="192"/>
      <c r="X69" s="192"/>
      <c r="Y69" s="192"/>
      <c r="Z69" s="192"/>
      <c r="AA69" s="192"/>
      <c r="AB69" s="192"/>
      <c r="AC69" s="192"/>
      <c r="AD69" s="192"/>
    </row>
    <row r="70" spans="1:30" x14ac:dyDescent="0.2">
      <c r="A70" s="192"/>
      <c r="Q70" s="192"/>
      <c r="R70" s="192"/>
      <c r="S70" s="192"/>
      <c r="T70" s="192"/>
      <c r="U70" s="192"/>
      <c r="V70" s="192"/>
      <c r="W70" s="192"/>
      <c r="X70" s="192"/>
      <c r="Y70" s="192"/>
      <c r="Z70" s="192"/>
      <c r="AA70" s="192"/>
      <c r="AB70" s="192"/>
      <c r="AC70" s="192"/>
      <c r="AD70" s="192"/>
    </row>
    <row r="71" spans="1:30" x14ac:dyDescent="0.2">
      <c r="A71" s="192"/>
      <c r="Q71" s="192"/>
      <c r="R71" s="192"/>
      <c r="S71" s="192"/>
      <c r="T71" s="192"/>
      <c r="U71" s="192"/>
      <c r="V71" s="192"/>
      <c r="W71" s="192"/>
      <c r="X71" s="192"/>
      <c r="Y71" s="192"/>
      <c r="Z71" s="192"/>
      <c r="AA71" s="192"/>
      <c r="AB71" s="192"/>
      <c r="AC71" s="192"/>
      <c r="AD71" s="192"/>
    </row>
    <row r="72" spans="1:30" x14ac:dyDescent="0.2">
      <c r="A72" s="192"/>
      <c r="Q72" s="192"/>
      <c r="R72" s="192"/>
      <c r="S72" s="192"/>
      <c r="T72" s="192"/>
      <c r="U72" s="192"/>
      <c r="V72" s="192"/>
      <c r="W72" s="192"/>
      <c r="X72" s="192"/>
      <c r="Y72" s="192"/>
      <c r="Z72" s="192"/>
      <c r="AA72" s="192"/>
      <c r="AB72" s="192"/>
      <c r="AC72" s="192"/>
      <c r="AD72" s="192"/>
    </row>
    <row r="73" spans="1:30" x14ac:dyDescent="0.2">
      <c r="A73" s="192"/>
      <c r="Q73" s="192"/>
      <c r="R73" s="192"/>
      <c r="S73" s="192"/>
      <c r="T73" s="192"/>
      <c r="U73" s="192"/>
      <c r="V73" s="192"/>
      <c r="W73" s="192"/>
      <c r="X73" s="192"/>
      <c r="Y73" s="192"/>
      <c r="Z73" s="192"/>
      <c r="AA73" s="192"/>
      <c r="AB73" s="192"/>
      <c r="AC73" s="192"/>
      <c r="AD73" s="192"/>
    </row>
    <row r="74" spans="1:30" x14ac:dyDescent="0.2">
      <c r="A74" s="192"/>
      <c r="Q74" s="192"/>
      <c r="R74" s="192"/>
      <c r="S74" s="192"/>
      <c r="T74" s="192"/>
      <c r="U74" s="192"/>
      <c r="V74" s="192"/>
      <c r="W74" s="192"/>
      <c r="X74" s="192"/>
      <c r="Y74" s="192"/>
      <c r="Z74" s="192"/>
      <c r="AA74" s="192"/>
      <c r="AB74" s="192"/>
      <c r="AC74" s="192"/>
      <c r="AD74" s="192"/>
    </row>
  </sheetData>
  <mergeCells count="89">
    <mergeCell ref="AF22:AM25"/>
    <mergeCell ref="A42:A43"/>
    <mergeCell ref="B42:B43"/>
    <mergeCell ref="Q42:AD43"/>
    <mergeCell ref="A40:A41"/>
    <mergeCell ref="B40:B41"/>
    <mergeCell ref="Q40:AD41"/>
    <mergeCell ref="A38:A39"/>
    <mergeCell ref="B38:B39"/>
    <mergeCell ref="Q38:AD39"/>
    <mergeCell ref="W33:Z33"/>
    <mergeCell ref="AA33:AD33"/>
    <mergeCell ref="A34:A35"/>
    <mergeCell ref="B34:B35"/>
    <mergeCell ref="Q34:S35"/>
    <mergeCell ref="T34:V35"/>
    <mergeCell ref="W34:Z35"/>
    <mergeCell ref="AA34:AD35"/>
    <mergeCell ref="A36:A37"/>
    <mergeCell ref="B36:B37"/>
    <mergeCell ref="C36:P36"/>
    <mergeCell ref="Q36:AD36"/>
    <mergeCell ref="Q37:AD37"/>
    <mergeCell ref="B30:C30"/>
    <mergeCell ref="Q30:AD30"/>
    <mergeCell ref="A31:AD31"/>
    <mergeCell ref="A32:A33"/>
    <mergeCell ref="B32:B33"/>
    <mergeCell ref="C32:C33"/>
    <mergeCell ref="D32:P32"/>
    <mergeCell ref="Q32:AD32"/>
    <mergeCell ref="Q33:S33"/>
    <mergeCell ref="T33:V33"/>
    <mergeCell ref="A24:B24"/>
    <mergeCell ref="A25:B25"/>
    <mergeCell ref="A27:AD27"/>
    <mergeCell ref="A28:A29"/>
    <mergeCell ref="B28:C29"/>
    <mergeCell ref="D28:O28"/>
    <mergeCell ref="P28:P29"/>
    <mergeCell ref="Q28:AD29"/>
    <mergeCell ref="AC17:AD17"/>
    <mergeCell ref="A19:AD19"/>
    <mergeCell ref="C20:P20"/>
    <mergeCell ref="Q20:AD20"/>
    <mergeCell ref="A22:B22"/>
    <mergeCell ref="A17:B17"/>
    <mergeCell ref="C17:Q17"/>
    <mergeCell ref="R17:V17"/>
    <mergeCell ref="W17:X17"/>
    <mergeCell ref="Y17:AB17"/>
    <mergeCell ref="AA15:AD15"/>
    <mergeCell ref="O9:P9"/>
    <mergeCell ref="AB4:AD4"/>
    <mergeCell ref="A11:B13"/>
    <mergeCell ref="C11:AD13"/>
    <mergeCell ref="A7:B9"/>
    <mergeCell ref="C7:C9"/>
    <mergeCell ref="D7:H9"/>
    <mergeCell ref="O7:P7"/>
    <mergeCell ref="A1:A4"/>
    <mergeCell ref="O8:P8"/>
    <mergeCell ref="A15:B15"/>
    <mergeCell ref="C15:K15"/>
    <mergeCell ref="L15:Q15"/>
    <mergeCell ref="R15:X15"/>
    <mergeCell ref="Y15:Z15"/>
    <mergeCell ref="AB1:AD1"/>
    <mergeCell ref="B2:AA2"/>
    <mergeCell ref="AB2:AD2"/>
    <mergeCell ref="B3:AA4"/>
    <mergeCell ref="AB3:AD3"/>
    <mergeCell ref="B1:AA1"/>
    <mergeCell ref="A61:A62"/>
    <mergeCell ref="B61:B62"/>
    <mergeCell ref="I7:J9"/>
    <mergeCell ref="K7:L9"/>
    <mergeCell ref="M7:N7"/>
    <mergeCell ref="M8:N8"/>
    <mergeCell ref="M9:N9"/>
    <mergeCell ref="A55:A56"/>
    <mergeCell ref="B55:B56"/>
    <mergeCell ref="C55:P55"/>
    <mergeCell ref="A57:A58"/>
    <mergeCell ref="B57:B58"/>
    <mergeCell ref="A59:A60"/>
    <mergeCell ref="B59:B60"/>
    <mergeCell ref="A23:B23"/>
    <mergeCell ref="C16:AB16"/>
  </mergeCells>
  <dataValidations count="3">
    <dataValidation type="textLength" operator="lessThanOrEqual" allowBlank="1" showInputMessage="1" showErrorMessage="1" errorTitle="Máximo 2.000 caracteres" error="Máximo 2.000 caracteres" sqref="AA34 Q34 W34 Q38:AD43" xr:uid="{00000000-0002-0000-0500-000000000000}">
      <formula1>2000</formula1>
    </dataValidation>
    <dataValidation type="textLength" operator="lessThanOrEqual" allowBlank="1" showInputMessage="1" showErrorMessage="1" errorTitle="Máximo 2.000 caracteres" error="Máximo 2.000 caracteres" promptTitle="2.000 caracteres" sqref="Q30:AD30" xr:uid="{00000000-0002-0000-0500-000001000000}">
      <formula1>2000</formula1>
    </dataValidation>
    <dataValidation type="list" allowBlank="1" showInputMessage="1" showErrorMessage="1" sqref="C7:C9" xr:uid="{8F1BD8C3-E5CC-478E-A154-AFD8786CFC36}"/>
  </dataValidations>
  <pageMargins left="0.25" right="0.25" top="0.75" bottom="0.75" header="0.3" footer="0.3"/>
  <pageSetup scale="20" orientation="landscape"/>
  <ignoredErrors>
    <ignoredError sqref="W24" formula="1"/>
  </ignoredErrors>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pageSetUpPr fitToPage="1"/>
  </sheetPr>
  <dimension ref="A1:AO77"/>
  <sheetViews>
    <sheetView showGridLines="0" view="pageBreakPreview" topLeftCell="D1" zoomScale="60" zoomScaleNormal="60" workbookViewId="0">
      <selection activeCell="N39" sqref="N39"/>
    </sheetView>
  </sheetViews>
  <sheetFormatPr baseColWidth="10" defaultColWidth="10.83203125" defaultRowHeight="15" x14ac:dyDescent="0.2"/>
  <cols>
    <col min="1" max="1" width="38.5" style="50" customWidth="1"/>
    <col min="2" max="2" width="15.5" style="50" customWidth="1"/>
    <col min="3" max="14" width="20.6640625" style="50" customWidth="1"/>
    <col min="15" max="15" width="16.1640625" style="50" customWidth="1"/>
    <col min="16" max="16" width="18.1640625" style="50" customWidth="1"/>
    <col min="17" max="19" width="16.6640625" style="50" customWidth="1"/>
    <col min="20" max="22" width="18.1640625" style="50" customWidth="1"/>
    <col min="23" max="28" width="15.5" style="50" customWidth="1"/>
    <col min="29" max="29" width="23" style="50" customWidth="1"/>
    <col min="30" max="30" width="14" style="50" customWidth="1"/>
    <col min="31" max="31" width="6.33203125" style="50" bestFit="1" customWidth="1"/>
    <col min="32" max="32" width="22.83203125" style="50" customWidth="1"/>
    <col min="33" max="33" width="18.5" style="50" bestFit="1" customWidth="1"/>
    <col min="34" max="34" width="8.5" style="50" customWidth="1"/>
    <col min="35" max="35" width="18.5" style="50" bestFit="1" customWidth="1"/>
    <col min="36" max="36" width="5.6640625" style="50" customWidth="1"/>
    <col min="37" max="37" width="18.5" style="50" bestFit="1" customWidth="1"/>
    <col min="38" max="38" width="4.6640625" style="50" customWidth="1"/>
    <col min="39" max="39" width="23" style="50" bestFit="1" customWidth="1"/>
    <col min="40" max="40" width="10.83203125" style="50"/>
    <col min="41" max="41" width="18.5" style="50" bestFit="1" customWidth="1"/>
    <col min="42" max="42" width="16.1640625" style="50" customWidth="1"/>
    <col min="43" max="16384" width="10.83203125" style="50"/>
  </cols>
  <sheetData>
    <row r="1" spans="1:30" ht="32.25" customHeight="1" thickBot="1" x14ac:dyDescent="0.25">
      <c r="A1" s="594"/>
      <c r="B1" s="574" t="s">
        <v>0</v>
      </c>
      <c r="C1" s="575"/>
      <c r="D1" s="575"/>
      <c r="E1" s="575"/>
      <c r="F1" s="575"/>
      <c r="G1" s="575"/>
      <c r="H1" s="575"/>
      <c r="I1" s="575"/>
      <c r="J1" s="575"/>
      <c r="K1" s="575"/>
      <c r="L1" s="575"/>
      <c r="M1" s="575"/>
      <c r="N1" s="575"/>
      <c r="O1" s="575"/>
      <c r="P1" s="575"/>
      <c r="Q1" s="575"/>
      <c r="R1" s="575"/>
      <c r="S1" s="575"/>
      <c r="T1" s="575"/>
      <c r="U1" s="575"/>
      <c r="V1" s="575"/>
      <c r="W1" s="575"/>
      <c r="X1" s="575"/>
      <c r="Y1" s="575"/>
      <c r="Z1" s="575"/>
      <c r="AA1" s="576"/>
      <c r="AB1" s="571" t="s">
        <v>1</v>
      </c>
      <c r="AC1" s="572"/>
      <c r="AD1" s="573"/>
    </row>
    <row r="2" spans="1:30" ht="30.75" customHeight="1" thickBot="1" x14ac:dyDescent="0.25">
      <c r="A2" s="595"/>
      <c r="B2" s="574" t="s">
        <v>2</v>
      </c>
      <c r="C2" s="575"/>
      <c r="D2" s="575"/>
      <c r="E2" s="575"/>
      <c r="F2" s="575"/>
      <c r="G2" s="575"/>
      <c r="H2" s="575"/>
      <c r="I2" s="575"/>
      <c r="J2" s="575"/>
      <c r="K2" s="575"/>
      <c r="L2" s="575"/>
      <c r="M2" s="575"/>
      <c r="N2" s="575"/>
      <c r="O2" s="575"/>
      <c r="P2" s="575"/>
      <c r="Q2" s="575"/>
      <c r="R2" s="575"/>
      <c r="S2" s="575"/>
      <c r="T2" s="575"/>
      <c r="U2" s="575"/>
      <c r="V2" s="575"/>
      <c r="W2" s="575"/>
      <c r="X2" s="575"/>
      <c r="Y2" s="575"/>
      <c r="Z2" s="575"/>
      <c r="AA2" s="576"/>
      <c r="AB2" s="577" t="s">
        <v>3</v>
      </c>
      <c r="AC2" s="578"/>
      <c r="AD2" s="579"/>
    </row>
    <row r="3" spans="1:30" ht="24" customHeight="1" x14ac:dyDescent="0.2">
      <c r="A3" s="595"/>
      <c r="B3" s="580" t="s">
        <v>4</v>
      </c>
      <c r="C3" s="581"/>
      <c r="D3" s="581"/>
      <c r="E3" s="581"/>
      <c r="F3" s="581"/>
      <c r="G3" s="581"/>
      <c r="H3" s="581"/>
      <c r="I3" s="581"/>
      <c r="J3" s="581"/>
      <c r="K3" s="581"/>
      <c r="L3" s="581"/>
      <c r="M3" s="581"/>
      <c r="N3" s="581"/>
      <c r="O3" s="581"/>
      <c r="P3" s="581"/>
      <c r="Q3" s="581"/>
      <c r="R3" s="581"/>
      <c r="S3" s="581"/>
      <c r="T3" s="581"/>
      <c r="U3" s="581"/>
      <c r="V3" s="581"/>
      <c r="W3" s="581"/>
      <c r="X3" s="581"/>
      <c r="Y3" s="581"/>
      <c r="Z3" s="581"/>
      <c r="AA3" s="582"/>
      <c r="AB3" s="577" t="s">
        <v>5</v>
      </c>
      <c r="AC3" s="578"/>
      <c r="AD3" s="579"/>
    </row>
    <row r="4" spans="1:30" ht="22" customHeight="1" thickBot="1" x14ac:dyDescent="0.25">
      <c r="A4" s="596"/>
      <c r="B4" s="505"/>
      <c r="C4" s="507"/>
      <c r="D4" s="507"/>
      <c r="E4" s="507"/>
      <c r="F4" s="507"/>
      <c r="G4" s="507"/>
      <c r="H4" s="507"/>
      <c r="I4" s="507"/>
      <c r="J4" s="507"/>
      <c r="K4" s="507"/>
      <c r="L4" s="507"/>
      <c r="M4" s="507"/>
      <c r="N4" s="507"/>
      <c r="O4" s="507"/>
      <c r="P4" s="507"/>
      <c r="Q4" s="507"/>
      <c r="R4" s="507"/>
      <c r="S4" s="507"/>
      <c r="T4" s="507"/>
      <c r="U4" s="507"/>
      <c r="V4" s="507"/>
      <c r="W4" s="507"/>
      <c r="X4" s="507"/>
      <c r="Y4" s="507"/>
      <c r="Z4" s="507"/>
      <c r="AA4" s="583"/>
      <c r="AB4" s="584" t="s">
        <v>6</v>
      </c>
      <c r="AC4" s="585"/>
      <c r="AD4" s="586"/>
    </row>
    <row r="5" spans="1:30" ht="9" customHeight="1" thickBot="1" x14ac:dyDescent="0.25">
      <c r="A5" s="51"/>
      <c r="B5" s="180"/>
      <c r="C5" s="181"/>
      <c r="D5" s="54"/>
      <c r="E5" s="54"/>
      <c r="F5" s="54"/>
      <c r="G5" s="54"/>
      <c r="H5" s="54"/>
      <c r="I5" s="54"/>
      <c r="J5" s="54"/>
      <c r="K5" s="54"/>
      <c r="L5" s="54"/>
      <c r="M5" s="54"/>
      <c r="N5" s="54"/>
      <c r="O5" s="54"/>
      <c r="P5" s="54"/>
      <c r="Q5" s="54"/>
      <c r="R5" s="54"/>
      <c r="S5" s="54"/>
      <c r="T5" s="54"/>
      <c r="U5" s="54"/>
      <c r="V5" s="54"/>
      <c r="W5" s="54"/>
      <c r="X5" s="54"/>
      <c r="Y5" s="54"/>
      <c r="Z5" s="55"/>
      <c r="AA5" s="54"/>
      <c r="AB5" s="56"/>
      <c r="AC5" s="57"/>
      <c r="AD5" s="58"/>
    </row>
    <row r="6" spans="1:30" ht="9" customHeight="1" x14ac:dyDescent="0.2">
      <c r="A6" s="59"/>
      <c r="B6" s="54"/>
      <c r="C6" s="54"/>
      <c r="D6" s="54"/>
      <c r="E6" s="54"/>
      <c r="F6" s="54"/>
      <c r="G6" s="54"/>
      <c r="H6" s="54"/>
      <c r="I6" s="54"/>
      <c r="J6" s="54"/>
      <c r="K6" s="54"/>
      <c r="L6" s="54"/>
      <c r="M6" s="54"/>
      <c r="N6" s="54"/>
      <c r="O6" s="54"/>
      <c r="P6" s="54"/>
      <c r="Q6" s="54"/>
      <c r="R6" s="54"/>
      <c r="S6" s="54"/>
      <c r="T6" s="54"/>
      <c r="U6" s="54"/>
      <c r="V6" s="54"/>
      <c r="W6" s="54"/>
      <c r="X6" s="54"/>
      <c r="Y6" s="54"/>
      <c r="Z6" s="55"/>
      <c r="AA6" s="54"/>
      <c r="AB6" s="54"/>
      <c r="AC6" s="60"/>
      <c r="AD6" s="61"/>
    </row>
    <row r="7" spans="1:30" ht="15" customHeight="1" x14ac:dyDescent="0.2">
      <c r="A7" s="601" t="s">
        <v>7</v>
      </c>
      <c r="B7" s="602"/>
      <c r="C7" s="607" t="s">
        <v>8</v>
      </c>
      <c r="D7" s="601" t="s">
        <v>9</v>
      </c>
      <c r="E7" s="619"/>
      <c r="F7" s="619"/>
      <c r="G7" s="619"/>
      <c r="H7" s="602"/>
      <c r="I7" s="622">
        <v>45233</v>
      </c>
      <c r="J7" s="623"/>
      <c r="K7" s="601" t="s">
        <v>10</v>
      </c>
      <c r="L7" s="602"/>
      <c r="M7" s="589" t="s">
        <v>11</v>
      </c>
      <c r="N7" s="590"/>
      <c r="O7" s="628"/>
      <c r="P7" s="629"/>
      <c r="Q7" s="54"/>
      <c r="R7" s="54"/>
      <c r="S7" s="54"/>
      <c r="T7" s="54"/>
      <c r="U7" s="54"/>
      <c r="V7" s="54"/>
      <c r="W7" s="54"/>
      <c r="X7" s="54"/>
      <c r="Y7" s="54"/>
      <c r="Z7" s="55"/>
      <c r="AA7" s="54"/>
      <c r="AB7" s="54"/>
      <c r="AC7" s="60"/>
      <c r="AD7" s="61"/>
    </row>
    <row r="8" spans="1:30" ht="15" customHeight="1" x14ac:dyDescent="0.2">
      <c r="A8" s="603"/>
      <c r="B8" s="604"/>
      <c r="C8" s="608"/>
      <c r="D8" s="603"/>
      <c r="E8" s="620"/>
      <c r="F8" s="620"/>
      <c r="G8" s="620"/>
      <c r="H8" s="604"/>
      <c r="I8" s="624"/>
      <c r="J8" s="625"/>
      <c r="K8" s="603"/>
      <c r="L8" s="604"/>
      <c r="M8" s="630" t="s">
        <v>12</v>
      </c>
      <c r="N8" s="631"/>
      <c r="O8" s="632"/>
      <c r="P8" s="633"/>
      <c r="Q8" s="54"/>
      <c r="R8" s="54"/>
      <c r="S8" s="54"/>
      <c r="T8" s="54"/>
      <c r="U8" s="54"/>
      <c r="V8" s="54"/>
      <c r="W8" s="54"/>
      <c r="X8" s="54"/>
      <c r="Y8" s="54"/>
      <c r="Z8" s="55"/>
      <c r="AA8" s="54"/>
      <c r="AB8" s="54"/>
      <c r="AC8" s="60"/>
      <c r="AD8" s="61"/>
    </row>
    <row r="9" spans="1:30" ht="15.75" customHeight="1" x14ac:dyDescent="0.2">
      <c r="A9" s="605"/>
      <c r="B9" s="606"/>
      <c r="C9" s="609"/>
      <c r="D9" s="605"/>
      <c r="E9" s="621"/>
      <c r="F9" s="621"/>
      <c r="G9" s="621"/>
      <c r="H9" s="606"/>
      <c r="I9" s="626"/>
      <c r="J9" s="627"/>
      <c r="K9" s="605"/>
      <c r="L9" s="606"/>
      <c r="M9" s="634" t="s">
        <v>13</v>
      </c>
      <c r="N9" s="635"/>
      <c r="O9" s="587" t="s">
        <v>14</v>
      </c>
      <c r="P9" s="588"/>
      <c r="Q9" s="54"/>
      <c r="R9" s="54"/>
      <c r="S9" s="54"/>
      <c r="T9" s="54"/>
      <c r="U9" s="54"/>
      <c r="V9" s="54"/>
      <c r="W9" s="54"/>
      <c r="X9" s="54"/>
      <c r="Y9" s="54"/>
      <c r="Z9" s="55"/>
      <c r="AA9" s="54"/>
      <c r="AB9" s="54"/>
      <c r="AC9" s="60"/>
      <c r="AD9" s="61"/>
    </row>
    <row r="10" spans="1:30" ht="15" customHeight="1" x14ac:dyDescent="0.2">
      <c r="A10" s="157"/>
      <c r="B10" s="158"/>
      <c r="C10" s="158"/>
      <c r="D10" s="65"/>
      <c r="E10" s="65"/>
      <c r="F10" s="65"/>
      <c r="G10" s="65"/>
      <c r="H10" s="65"/>
      <c r="I10" s="154"/>
      <c r="J10" s="154"/>
      <c r="K10" s="65"/>
      <c r="L10" s="65"/>
      <c r="M10" s="155"/>
      <c r="N10" s="155"/>
      <c r="O10" s="156"/>
      <c r="P10" s="156"/>
      <c r="Q10" s="158"/>
      <c r="R10" s="158"/>
      <c r="S10" s="158"/>
      <c r="T10" s="158"/>
      <c r="U10" s="158"/>
      <c r="V10" s="158"/>
      <c r="W10" s="158"/>
      <c r="X10" s="158"/>
      <c r="Y10" s="158"/>
      <c r="Z10" s="159"/>
      <c r="AA10" s="158"/>
      <c r="AB10" s="158"/>
      <c r="AC10" s="160"/>
      <c r="AD10" s="161"/>
    </row>
    <row r="11" spans="1:30" ht="15" customHeight="1" x14ac:dyDescent="0.2">
      <c r="A11" s="601" t="s">
        <v>15</v>
      </c>
      <c r="B11" s="602"/>
      <c r="C11" s="610" t="s">
        <v>16</v>
      </c>
      <c r="D11" s="611"/>
      <c r="E11" s="611"/>
      <c r="F11" s="611"/>
      <c r="G11" s="611"/>
      <c r="H11" s="611"/>
      <c r="I11" s="611"/>
      <c r="J11" s="611"/>
      <c r="K11" s="611"/>
      <c r="L11" s="611"/>
      <c r="M11" s="611"/>
      <c r="N11" s="611"/>
      <c r="O11" s="611"/>
      <c r="P11" s="611"/>
      <c r="Q11" s="611"/>
      <c r="R11" s="611"/>
      <c r="S11" s="611"/>
      <c r="T11" s="611"/>
      <c r="U11" s="611"/>
      <c r="V11" s="611"/>
      <c r="W11" s="611"/>
      <c r="X11" s="611"/>
      <c r="Y11" s="611"/>
      <c r="Z11" s="611"/>
      <c r="AA11" s="611"/>
      <c r="AB11" s="611"/>
      <c r="AC11" s="611"/>
      <c r="AD11" s="612"/>
    </row>
    <row r="12" spans="1:30" ht="15" customHeight="1" x14ac:dyDescent="0.2">
      <c r="A12" s="603"/>
      <c r="B12" s="604"/>
      <c r="C12" s="613"/>
      <c r="D12" s="614"/>
      <c r="E12" s="614"/>
      <c r="F12" s="614"/>
      <c r="G12" s="614"/>
      <c r="H12" s="614"/>
      <c r="I12" s="614"/>
      <c r="J12" s="614"/>
      <c r="K12" s="614"/>
      <c r="L12" s="614"/>
      <c r="M12" s="614"/>
      <c r="N12" s="614"/>
      <c r="O12" s="614"/>
      <c r="P12" s="614"/>
      <c r="Q12" s="614"/>
      <c r="R12" s="614"/>
      <c r="S12" s="614"/>
      <c r="T12" s="614"/>
      <c r="U12" s="614"/>
      <c r="V12" s="614"/>
      <c r="W12" s="614"/>
      <c r="X12" s="614"/>
      <c r="Y12" s="614"/>
      <c r="Z12" s="614"/>
      <c r="AA12" s="614"/>
      <c r="AB12" s="614"/>
      <c r="AC12" s="614"/>
      <c r="AD12" s="615"/>
    </row>
    <row r="13" spans="1:30" ht="15" customHeight="1" thickBot="1" x14ac:dyDescent="0.25">
      <c r="A13" s="605"/>
      <c r="B13" s="606"/>
      <c r="C13" s="616"/>
      <c r="D13" s="617"/>
      <c r="E13" s="617"/>
      <c r="F13" s="617"/>
      <c r="G13" s="617"/>
      <c r="H13" s="617"/>
      <c r="I13" s="617"/>
      <c r="J13" s="617"/>
      <c r="K13" s="617"/>
      <c r="L13" s="617"/>
      <c r="M13" s="617"/>
      <c r="N13" s="617"/>
      <c r="O13" s="617"/>
      <c r="P13" s="617"/>
      <c r="Q13" s="617"/>
      <c r="R13" s="617"/>
      <c r="S13" s="617"/>
      <c r="T13" s="617"/>
      <c r="U13" s="617"/>
      <c r="V13" s="617"/>
      <c r="W13" s="617"/>
      <c r="X13" s="617"/>
      <c r="Y13" s="617"/>
      <c r="Z13" s="617"/>
      <c r="AA13" s="617"/>
      <c r="AB13" s="617"/>
      <c r="AC13" s="617"/>
      <c r="AD13" s="618"/>
    </row>
    <row r="14" spans="1:30" ht="9" customHeight="1" thickBot="1" x14ac:dyDescent="0.25">
      <c r="A14" s="67"/>
      <c r="B14" s="68"/>
      <c r="C14" s="69"/>
      <c r="D14" s="69"/>
      <c r="E14" s="69"/>
      <c r="F14" s="69"/>
      <c r="G14" s="69"/>
      <c r="H14" s="69"/>
      <c r="I14" s="69"/>
      <c r="J14" s="69"/>
      <c r="K14" s="69"/>
      <c r="L14" s="69"/>
      <c r="M14" s="70"/>
      <c r="N14" s="70"/>
      <c r="O14" s="70"/>
      <c r="P14" s="70"/>
      <c r="Q14" s="70"/>
      <c r="R14" s="71"/>
      <c r="S14" s="71"/>
      <c r="T14" s="71"/>
      <c r="U14" s="71"/>
      <c r="V14" s="71"/>
      <c r="W14" s="71"/>
      <c r="X14" s="71"/>
      <c r="Y14" s="65"/>
      <c r="Z14" s="65"/>
      <c r="AA14" s="65"/>
      <c r="AB14" s="65"/>
      <c r="AC14" s="65"/>
      <c r="AD14" s="66"/>
    </row>
    <row r="15" spans="1:30" ht="39" customHeight="1" thickBot="1" x14ac:dyDescent="0.25">
      <c r="A15" s="552" t="s">
        <v>17</v>
      </c>
      <c r="B15" s="553"/>
      <c r="C15" s="591" t="s">
        <v>18</v>
      </c>
      <c r="D15" s="592"/>
      <c r="E15" s="592"/>
      <c r="F15" s="592"/>
      <c r="G15" s="592"/>
      <c r="H15" s="592"/>
      <c r="I15" s="592"/>
      <c r="J15" s="592"/>
      <c r="K15" s="593"/>
      <c r="L15" s="560" t="s">
        <v>19</v>
      </c>
      <c r="M15" s="564"/>
      <c r="N15" s="564"/>
      <c r="O15" s="564"/>
      <c r="P15" s="564"/>
      <c r="Q15" s="561"/>
      <c r="R15" s="557" t="s">
        <v>20</v>
      </c>
      <c r="S15" s="558"/>
      <c r="T15" s="558"/>
      <c r="U15" s="558"/>
      <c r="V15" s="558"/>
      <c r="W15" s="558"/>
      <c r="X15" s="559"/>
      <c r="Y15" s="560" t="s">
        <v>21</v>
      </c>
      <c r="Z15" s="561"/>
      <c r="AA15" s="548" t="s">
        <v>22</v>
      </c>
      <c r="AB15" s="549"/>
      <c r="AC15" s="549"/>
      <c r="AD15" s="550"/>
    </row>
    <row r="16" spans="1:30" ht="9" customHeight="1" thickBot="1" x14ac:dyDescent="0.25">
      <c r="A16" s="59"/>
      <c r="B16" s="54"/>
      <c r="C16" s="551"/>
      <c r="D16" s="551"/>
      <c r="E16" s="551"/>
      <c r="F16" s="551"/>
      <c r="G16" s="551"/>
      <c r="H16" s="551"/>
      <c r="I16" s="551"/>
      <c r="J16" s="551"/>
      <c r="K16" s="551"/>
      <c r="L16" s="551"/>
      <c r="M16" s="551"/>
      <c r="N16" s="551"/>
      <c r="O16" s="551"/>
      <c r="P16" s="551"/>
      <c r="Q16" s="551"/>
      <c r="R16" s="551"/>
      <c r="S16" s="551"/>
      <c r="T16" s="551"/>
      <c r="U16" s="551"/>
      <c r="V16" s="551"/>
      <c r="W16" s="551"/>
      <c r="X16" s="551"/>
      <c r="Y16" s="551"/>
      <c r="Z16" s="551"/>
      <c r="AA16" s="551"/>
      <c r="AB16" s="551"/>
      <c r="AC16" s="73"/>
      <c r="AD16" s="74"/>
    </row>
    <row r="17" spans="1:41" s="76" customFormat="1" ht="37.5" customHeight="1" thickBot="1" x14ac:dyDescent="0.25">
      <c r="A17" s="552" t="s">
        <v>23</v>
      </c>
      <c r="B17" s="553"/>
      <c r="C17" s="554" t="s">
        <v>169</v>
      </c>
      <c r="D17" s="555"/>
      <c r="E17" s="555"/>
      <c r="F17" s="555"/>
      <c r="G17" s="555"/>
      <c r="H17" s="555"/>
      <c r="I17" s="555"/>
      <c r="J17" s="555"/>
      <c r="K17" s="555"/>
      <c r="L17" s="555"/>
      <c r="M17" s="555"/>
      <c r="N17" s="555"/>
      <c r="O17" s="555"/>
      <c r="P17" s="555"/>
      <c r="Q17" s="556"/>
      <c r="R17" s="560" t="s">
        <v>25</v>
      </c>
      <c r="S17" s="564"/>
      <c r="T17" s="564"/>
      <c r="U17" s="564"/>
      <c r="V17" s="561"/>
      <c r="W17" s="680">
        <v>0.25</v>
      </c>
      <c r="X17" s="681"/>
      <c r="Y17" s="564" t="s">
        <v>26</v>
      </c>
      <c r="Z17" s="564"/>
      <c r="AA17" s="564"/>
      <c r="AB17" s="561"/>
      <c r="AC17" s="599">
        <v>0.15</v>
      </c>
      <c r="AD17" s="600"/>
    </row>
    <row r="18" spans="1:41" ht="16.5" customHeight="1" thickBot="1" x14ac:dyDescent="0.25">
      <c r="A18" s="77"/>
      <c r="B18" s="78"/>
      <c r="C18" s="78"/>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9"/>
    </row>
    <row r="19" spans="1:41" ht="32" customHeight="1" thickBot="1" x14ac:dyDescent="0.25">
      <c r="A19" s="560" t="s">
        <v>27</v>
      </c>
      <c r="B19" s="564"/>
      <c r="C19" s="564"/>
      <c r="D19" s="564"/>
      <c r="E19" s="564"/>
      <c r="F19" s="564"/>
      <c r="G19" s="564"/>
      <c r="H19" s="564"/>
      <c r="I19" s="564"/>
      <c r="J19" s="564"/>
      <c r="K19" s="564"/>
      <c r="L19" s="564"/>
      <c r="M19" s="564"/>
      <c r="N19" s="564"/>
      <c r="O19" s="564"/>
      <c r="P19" s="564"/>
      <c r="Q19" s="564"/>
      <c r="R19" s="564"/>
      <c r="S19" s="564"/>
      <c r="T19" s="564"/>
      <c r="U19" s="564"/>
      <c r="V19" s="564"/>
      <c r="W19" s="564"/>
      <c r="X19" s="564"/>
      <c r="Y19" s="564"/>
      <c r="Z19" s="564"/>
      <c r="AA19" s="564"/>
      <c r="AB19" s="564"/>
      <c r="AC19" s="564"/>
      <c r="AD19" s="561"/>
      <c r="AE19" s="83"/>
      <c r="AF19" s="83"/>
    </row>
    <row r="20" spans="1:41" ht="32" customHeight="1" thickBot="1" x14ac:dyDescent="0.25">
      <c r="A20" s="82"/>
      <c r="B20" s="60"/>
      <c r="C20" s="568" t="s">
        <v>28</v>
      </c>
      <c r="D20" s="569"/>
      <c r="E20" s="569"/>
      <c r="F20" s="569"/>
      <c r="G20" s="569"/>
      <c r="H20" s="569"/>
      <c r="I20" s="569"/>
      <c r="J20" s="569"/>
      <c r="K20" s="569"/>
      <c r="L20" s="569"/>
      <c r="M20" s="569"/>
      <c r="N20" s="569"/>
      <c r="O20" s="569"/>
      <c r="P20" s="570"/>
      <c r="Q20" s="565" t="s">
        <v>29</v>
      </c>
      <c r="R20" s="566"/>
      <c r="S20" s="566"/>
      <c r="T20" s="566"/>
      <c r="U20" s="566"/>
      <c r="V20" s="566"/>
      <c r="W20" s="566"/>
      <c r="X20" s="566"/>
      <c r="Y20" s="566"/>
      <c r="Z20" s="566"/>
      <c r="AA20" s="566"/>
      <c r="AB20" s="566"/>
      <c r="AC20" s="566"/>
      <c r="AD20" s="567"/>
      <c r="AE20" s="83"/>
      <c r="AF20" s="83"/>
    </row>
    <row r="21" spans="1:41" ht="32" customHeight="1" x14ac:dyDescent="0.2">
      <c r="A21" s="59"/>
      <c r="B21" s="54"/>
      <c r="C21" s="146" t="s">
        <v>30</v>
      </c>
      <c r="D21" s="147" t="s">
        <v>31</v>
      </c>
      <c r="E21" s="147" t="s">
        <v>32</v>
      </c>
      <c r="F21" s="147" t="s">
        <v>33</v>
      </c>
      <c r="G21" s="147" t="s">
        <v>34</v>
      </c>
      <c r="H21" s="147" t="s">
        <v>35</v>
      </c>
      <c r="I21" s="147" t="s">
        <v>36</v>
      </c>
      <c r="J21" s="147" t="s">
        <v>37</v>
      </c>
      <c r="K21" s="147" t="s">
        <v>38</v>
      </c>
      <c r="L21" s="147" t="s">
        <v>8</v>
      </c>
      <c r="M21" s="147" t="s">
        <v>39</v>
      </c>
      <c r="N21" s="147" t="s">
        <v>40</v>
      </c>
      <c r="O21" s="147" t="s">
        <v>41</v>
      </c>
      <c r="P21" s="148" t="s">
        <v>42</v>
      </c>
      <c r="Q21" s="146" t="s">
        <v>30</v>
      </c>
      <c r="R21" s="147" t="s">
        <v>31</v>
      </c>
      <c r="S21" s="147" t="s">
        <v>32</v>
      </c>
      <c r="T21" s="147" t="s">
        <v>33</v>
      </c>
      <c r="U21" s="147" t="s">
        <v>34</v>
      </c>
      <c r="V21" s="147" t="s">
        <v>35</v>
      </c>
      <c r="W21" s="147" t="s">
        <v>36</v>
      </c>
      <c r="X21" s="147" t="s">
        <v>37</v>
      </c>
      <c r="Y21" s="147" t="s">
        <v>38</v>
      </c>
      <c r="Z21" s="147" t="s">
        <v>8</v>
      </c>
      <c r="AA21" s="147" t="s">
        <v>39</v>
      </c>
      <c r="AB21" s="147" t="s">
        <v>40</v>
      </c>
      <c r="AC21" s="147" t="s">
        <v>41</v>
      </c>
      <c r="AD21" s="148" t="s">
        <v>42</v>
      </c>
      <c r="AE21" s="3"/>
      <c r="AF21" s="3"/>
    </row>
    <row r="22" spans="1:41" ht="32" customHeight="1" x14ac:dyDescent="0.2">
      <c r="A22" s="527" t="s">
        <v>43</v>
      </c>
      <c r="B22" s="598"/>
      <c r="C22" s="168"/>
      <c r="D22" s="166"/>
      <c r="E22" s="166"/>
      <c r="F22" s="166"/>
      <c r="G22" s="166"/>
      <c r="H22" s="166"/>
      <c r="I22" s="166"/>
      <c r="J22" s="166"/>
      <c r="K22" s="166"/>
      <c r="L22" s="166"/>
      <c r="M22" s="166"/>
      <c r="N22" s="166"/>
      <c r="O22" s="166">
        <f>SUM(C22:N22)</f>
        <v>0</v>
      </c>
      <c r="P22" s="169"/>
      <c r="Q22" s="168">
        <f>1263646230+1878332432</f>
        <v>3141978662</v>
      </c>
      <c r="R22" s="166"/>
      <c r="S22" s="166">
        <v>19186925</v>
      </c>
      <c r="T22" s="166">
        <f>35000000+21559511</f>
        <v>56559511</v>
      </c>
      <c r="U22" s="166"/>
      <c r="V22" s="166">
        <f>2139476+34249272+145372262</f>
        <v>181761010</v>
      </c>
      <c r="W22" s="166"/>
      <c r="X22" s="166"/>
      <c r="Y22" s="166"/>
      <c r="Z22" s="166">
        <v>421488350</v>
      </c>
      <c r="AA22" s="166"/>
      <c r="AB22" s="166"/>
      <c r="AC22" s="166">
        <f>SUM(Q22:AB22)</f>
        <v>3820974458</v>
      </c>
      <c r="AD22" s="173"/>
      <c r="AE22" s="3"/>
      <c r="AF22" s="597" t="s">
        <v>125</v>
      </c>
      <c r="AG22" s="597"/>
      <c r="AH22" s="597"/>
      <c r="AI22" s="597"/>
      <c r="AJ22" s="597"/>
      <c r="AK22" s="597"/>
      <c r="AL22" s="597"/>
      <c r="AM22" s="597"/>
    </row>
    <row r="23" spans="1:41" ht="32" customHeight="1" x14ac:dyDescent="0.2">
      <c r="A23" s="528" t="s">
        <v>45</v>
      </c>
      <c r="B23" s="540"/>
      <c r="C23" s="163"/>
      <c r="D23" s="162"/>
      <c r="E23" s="162"/>
      <c r="F23" s="162"/>
      <c r="G23" s="162"/>
      <c r="H23" s="162"/>
      <c r="I23" s="162"/>
      <c r="J23" s="162"/>
      <c r="K23" s="162"/>
      <c r="L23" s="162"/>
      <c r="M23" s="162"/>
      <c r="N23" s="162"/>
      <c r="O23" s="162">
        <f>SUM(C23:N23)</f>
        <v>0</v>
      </c>
      <c r="P23" s="174" t="str">
        <f>IFERROR(O23/(SUMIF(C23:N23,"&gt;0",C22:N22))," ")</f>
        <v xml:space="preserve"> </v>
      </c>
      <c r="Q23" s="168">
        <v>2221744061</v>
      </c>
      <c r="R23" s="162">
        <v>815510484</v>
      </c>
      <c r="S23" s="162">
        <v>52163827</v>
      </c>
      <c r="T23" s="162">
        <v>-22425420</v>
      </c>
      <c r="U23" s="162">
        <v>169528095</v>
      </c>
      <c r="V23" s="162">
        <v>20743874</v>
      </c>
      <c r="W23" s="162">
        <v>49502400</v>
      </c>
      <c r="X23" s="162" t="s">
        <v>100</v>
      </c>
      <c r="Y23" s="162">
        <v>-1194800</v>
      </c>
      <c r="Z23" s="162">
        <v>32778000</v>
      </c>
      <c r="AA23" s="162"/>
      <c r="AB23" s="162"/>
      <c r="AC23" s="162">
        <f>SUM(Q23:AB23)</f>
        <v>3338350521</v>
      </c>
      <c r="AD23" s="171">
        <f>+AC23/AC22</f>
        <v>0.87369087589959493</v>
      </c>
      <c r="AE23" s="3"/>
      <c r="AF23" s="597"/>
      <c r="AG23" s="597"/>
      <c r="AH23" s="597"/>
      <c r="AI23" s="597"/>
      <c r="AJ23" s="597"/>
      <c r="AK23" s="597"/>
      <c r="AL23" s="597"/>
      <c r="AM23" s="597"/>
    </row>
    <row r="24" spans="1:41" ht="32" customHeight="1" x14ac:dyDescent="0.2">
      <c r="A24" s="528" t="s">
        <v>47</v>
      </c>
      <c r="B24" s="540"/>
      <c r="C24" s="302">
        <f>25110242+1804188+19304540</f>
        <v>46218970</v>
      </c>
      <c r="D24" s="303">
        <f>1749515+3375000+3750000+461422+713790+309000+4326000+713790+772500+772500+432600+4800000+475860+4505045</f>
        <v>27157022</v>
      </c>
      <c r="E24" s="162">
        <v>4956875</v>
      </c>
      <c r="F24" s="162">
        <v>5038625</v>
      </c>
      <c r="G24" s="162" t="s">
        <v>101</v>
      </c>
      <c r="H24" s="162" t="s">
        <v>101</v>
      </c>
      <c r="I24" s="162" t="s">
        <v>101</v>
      </c>
      <c r="J24" s="162" t="s">
        <v>101</v>
      </c>
      <c r="K24" s="162">
        <v>-10128</v>
      </c>
      <c r="L24" s="162"/>
      <c r="M24" s="162"/>
      <c r="N24" s="162"/>
      <c r="O24" s="184">
        <f>SUM(C24:N24)</f>
        <v>83361364</v>
      </c>
      <c r="P24" s="167"/>
      <c r="Q24" s="163"/>
      <c r="R24" s="303">
        <f>54487730+166276438</f>
        <v>220764168</v>
      </c>
      <c r="S24" s="162">
        <f>109923500+166276438</f>
        <v>276199938</v>
      </c>
      <c r="T24" s="162">
        <f>109923500+1918693+166276438</f>
        <v>278118631</v>
      </c>
      <c r="U24" s="162">
        <f>109923500+1918693+3888889+21559511+166276438</f>
        <v>303567031</v>
      </c>
      <c r="V24" s="162">
        <f>109923500+1918693+3888889+166276438+145372262</f>
        <v>427379782</v>
      </c>
      <c r="W24" s="162">
        <f>109923500+1918693+2139476+3888889+11416424+166276438</f>
        <v>295563420</v>
      </c>
      <c r="X24" s="162">
        <f>109923500+1918693+3888889+166276438</f>
        <v>282007520</v>
      </c>
      <c r="Y24" s="162">
        <f>109923500+1918692+3888889+11416424+166276438</f>
        <v>293423943</v>
      </c>
      <c r="Z24" s="162">
        <f>109923500+1918692+3888889+166276438+421488350</f>
        <v>703495869</v>
      </c>
      <c r="AA24" s="162">
        <f>109923500+1918692+3888889+11416424+166276438</f>
        <v>293423943</v>
      </c>
      <c r="AB24" s="162">
        <f>219847000+3837384+7777777+215568052</f>
        <v>447030213</v>
      </c>
      <c r="AC24" s="162">
        <f>SUM(Q24:AB24)</f>
        <v>3820974458</v>
      </c>
      <c r="AD24" s="171"/>
      <c r="AE24" s="3"/>
      <c r="AF24" s="597"/>
      <c r="AG24" s="597"/>
      <c r="AH24" s="597"/>
      <c r="AI24" s="597"/>
      <c r="AJ24" s="597"/>
      <c r="AK24" s="597"/>
      <c r="AL24" s="597"/>
      <c r="AM24" s="597"/>
    </row>
    <row r="25" spans="1:41" ht="32" customHeight="1" x14ac:dyDescent="0.2">
      <c r="A25" s="484" t="s">
        <v>50</v>
      </c>
      <c r="B25" s="547"/>
      <c r="C25" s="312">
        <v>14684229</v>
      </c>
      <c r="D25" s="301">
        <v>31987652</v>
      </c>
      <c r="E25" s="301">
        <v>22040035</v>
      </c>
      <c r="F25" s="301">
        <v>10889552</v>
      </c>
      <c r="G25" s="301">
        <v>1</v>
      </c>
      <c r="H25" s="301">
        <v>384894</v>
      </c>
      <c r="I25" s="301" t="s">
        <v>101</v>
      </c>
      <c r="J25" s="301" t="s">
        <v>101</v>
      </c>
      <c r="K25" s="301" t="s">
        <v>101</v>
      </c>
      <c r="L25" s="165">
        <v>3375000</v>
      </c>
      <c r="M25" s="165"/>
      <c r="N25" s="165"/>
      <c r="O25" s="165">
        <f>SUM(C25:N25)</f>
        <v>83361363</v>
      </c>
      <c r="P25" s="170">
        <f>IFERROR(O25/(SUMIF(C25:N25,"&gt;0",C24:N24))," ")</f>
        <v>0.99987850763184138</v>
      </c>
      <c r="Q25" s="164"/>
      <c r="R25" s="301">
        <v>172882318</v>
      </c>
      <c r="S25" s="301">
        <v>221760191</v>
      </c>
      <c r="T25" s="301">
        <v>267642475</v>
      </c>
      <c r="U25" s="301">
        <v>360292355</v>
      </c>
      <c r="V25" s="301">
        <v>306598664</v>
      </c>
      <c r="W25" s="301">
        <v>320843594</v>
      </c>
      <c r="X25" s="301">
        <v>296175775</v>
      </c>
      <c r="Y25" s="301">
        <v>298172400</v>
      </c>
      <c r="Z25" s="301">
        <v>308641947</v>
      </c>
      <c r="AA25" s="165"/>
      <c r="AB25" s="165"/>
      <c r="AC25" s="165">
        <f>SUM(Q25:AB25)</f>
        <v>2553009719</v>
      </c>
      <c r="AD25" s="172">
        <f>+AC25/AC24</f>
        <v>0.66815670899205992</v>
      </c>
      <c r="AE25" s="3"/>
      <c r="AF25" s="597"/>
      <c r="AG25" s="597"/>
      <c r="AH25" s="597"/>
      <c r="AI25" s="597"/>
      <c r="AJ25" s="597"/>
      <c r="AK25" s="597"/>
      <c r="AL25" s="597"/>
      <c r="AM25" s="597"/>
    </row>
    <row r="26" spans="1:41" ht="32" customHeight="1" x14ac:dyDescent="0.2">
      <c r="A26" s="59"/>
      <c r="B26" s="54"/>
      <c r="C26" s="80"/>
      <c r="D26" s="80"/>
      <c r="E26" s="80"/>
      <c r="F26" s="80"/>
      <c r="G26" s="80"/>
      <c r="H26" s="80"/>
      <c r="I26" s="80"/>
      <c r="J26" s="80"/>
      <c r="K26" s="80"/>
      <c r="L26" s="80"/>
      <c r="M26" s="80"/>
      <c r="N26" s="80"/>
      <c r="O26" s="80"/>
      <c r="P26" s="80"/>
      <c r="Q26" s="80"/>
      <c r="R26" s="80"/>
      <c r="S26" s="80"/>
      <c r="T26" s="80"/>
      <c r="U26" s="80"/>
      <c r="V26" s="80"/>
      <c r="W26" s="80"/>
      <c r="X26" s="80"/>
      <c r="Y26" s="80"/>
      <c r="Z26" s="80"/>
      <c r="AA26" s="80"/>
      <c r="AB26" s="80"/>
      <c r="AC26" s="60"/>
      <c r="AD26" s="161"/>
    </row>
    <row r="27" spans="1:41" ht="34" customHeight="1" x14ac:dyDescent="0.2">
      <c r="A27" s="543" t="s">
        <v>52</v>
      </c>
      <c r="B27" s="544"/>
      <c r="C27" s="545"/>
      <c r="D27" s="545"/>
      <c r="E27" s="545"/>
      <c r="F27" s="545"/>
      <c r="G27" s="545"/>
      <c r="H27" s="545"/>
      <c r="I27" s="545"/>
      <c r="J27" s="545"/>
      <c r="K27" s="545"/>
      <c r="L27" s="545"/>
      <c r="M27" s="545"/>
      <c r="N27" s="545"/>
      <c r="O27" s="545"/>
      <c r="P27" s="545"/>
      <c r="Q27" s="545"/>
      <c r="R27" s="545"/>
      <c r="S27" s="545"/>
      <c r="T27" s="545"/>
      <c r="U27" s="545"/>
      <c r="V27" s="545"/>
      <c r="W27" s="545"/>
      <c r="X27" s="545"/>
      <c r="Y27" s="545"/>
      <c r="Z27" s="545"/>
      <c r="AA27" s="545"/>
      <c r="AB27" s="545"/>
      <c r="AC27" s="545"/>
      <c r="AD27" s="546"/>
    </row>
    <row r="28" spans="1:41" ht="15" customHeight="1" x14ac:dyDescent="0.2">
      <c r="A28" s="536" t="s">
        <v>53</v>
      </c>
      <c r="B28" s="538" t="s">
        <v>54</v>
      </c>
      <c r="C28" s="539"/>
      <c r="D28" s="540" t="s">
        <v>55</v>
      </c>
      <c r="E28" s="541"/>
      <c r="F28" s="541"/>
      <c r="G28" s="541"/>
      <c r="H28" s="541"/>
      <c r="I28" s="541"/>
      <c r="J28" s="541"/>
      <c r="K28" s="541"/>
      <c r="L28" s="541"/>
      <c r="M28" s="541"/>
      <c r="N28" s="541"/>
      <c r="O28" s="535"/>
      <c r="P28" s="529" t="s">
        <v>41</v>
      </c>
      <c r="Q28" s="529" t="s">
        <v>56</v>
      </c>
      <c r="R28" s="529"/>
      <c r="S28" s="529"/>
      <c r="T28" s="529"/>
      <c r="U28" s="529"/>
      <c r="V28" s="529"/>
      <c r="W28" s="529"/>
      <c r="X28" s="529"/>
      <c r="Y28" s="529"/>
      <c r="Z28" s="529"/>
      <c r="AA28" s="529"/>
      <c r="AB28" s="529"/>
      <c r="AC28" s="529"/>
      <c r="AD28" s="542"/>
    </row>
    <row r="29" spans="1:41" ht="27" customHeight="1" x14ac:dyDescent="0.2">
      <c r="A29" s="537"/>
      <c r="B29" s="532"/>
      <c r="C29" s="487"/>
      <c r="D29" s="88" t="s">
        <v>30</v>
      </c>
      <c r="E29" s="88" t="s">
        <v>31</v>
      </c>
      <c r="F29" s="88" t="s">
        <v>32</v>
      </c>
      <c r="G29" s="88" t="s">
        <v>33</v>
      </c>
      <c r="H29" s="88" t="s">
        <v>34</v>
      </c>
      <c r="I29" s="88" t="s">
        <v>35</v>
      </c>
      <c r="J29" s="88" t="s">
        <v>36</v>
      </c>
      <c r="K29" s="88" t="s">
        <v>37</v>
      </c>
      <c r="L29" s="88" t="s">
        <v>38</v>
      </c>
      <c r="M29" s="88" t="s">
        <v>8</v>
      </c>
      <c r="N29" s="88" t="s">
        <v>39</v>
      </c>
      <c r="O29" s="88" t="s">
        <v>40</v>
      </c>
      <c r="P29" s="535"/>
      <c r="Q29" s="529"/>
      <c r="R29" s="529"/>
      <c r="S29" s="529"/>
      <c r="T29" s="529"/>
      <c r="U29" s="529"/>
      <c r="V29" s="529"/>
      <c r="W29" s="529"/>
      <c r="X29" s="529"/>
      <c r="Y29" s="529"/>
      <c r="Z29" s="529"/>
      <c r="AA29" s="529"/>
      <c r="AB29" s="529"/>
      <c r="AC29" s="529"/>
      <c r="AD29" s="542"/>
    </row>
    <row r="30" spans="1:41" ht="68.25" customHeight="1" thickBot="1" x14ac:dyDescent="0.25">
      <c r="A30" s="85" t="s">
        <v>170</v>
      </c>
      <c r="B30" s="520"/>
      <c r="C30" s="521"/>
      <c r="D30" s="89"/>
      <c r="E30" s="89"/>
      <c r="F30" s="89"/>
      <c r="G30" s="89"/>
      <c r="H30" s="89"/>
      <c r="I30" s="89"/>
      <c r="J30" s="89"/>
      <c r="K30" s="89"/>
      <c r="L30" s="89"/>
      <c r="M30" s="89"/>
      <c r="N30" s="89"/>
      <c r="O30" s="89"/>
      <c r="P30" s="86">
        <f>SUM(D30:O30)</f>
        <v>0</v>
      </c>
      <c r="Q30" s="522"/>
      <c r="R30" s="522"/>
      <c r="S30" s="522"/>
      <c r="T30" s="522"/>
      <c r="U30" s="522"/>
      <c r="V30" s="522"/>
      <c r="W30" s="522"/>
      <c r="X30" s="522"/>
      <c r="Y30" s="522"/>
      <c r="Z30" s="522"/>
      <c r="AA30" s="522"/>
      <c r="AB30" s="522"/>
      <c r="AC30" s="522"/>
      <c r="AD30" s="523"/>
    </row>
    <row r="31" spans="1:41" ht="45" customHeight="1" thickBot="1" x14ac:dyDescent="0.25">
      <c r="A31" s="524" t="s">
        <v>58</v>
      </c>
      <c r="B31" s="525"/>
      <c r="C31" s="525"/>
      <c r="D31" s="525"/>
      <c r="E31" s="525"/>
      <c r="F31" s="525"/>
      <c r="G31" s="525"/>
      <c r="H31" s="525"/>
      <c r="I31" s="525"/>
      <c r="J31" s="525"/>
      <c r="K31" s="525"/>
      <c r="L31" s="525"/>
      <c r="M31" s="525"/>
      <c r="N31" s="525"/>
      <c r="O31" s="525"/>
      <c r="P31" s="525"/>
      <c r="Q31" s="525"/>
      <c r="R31" s="525"/>
      <c r="S31" s="525"/>
      <c r="T31" s="525"/>
      <c r="U31" s="525"/>
      <c r="V31" s="525"/>
      <c r="W31" s="525"/>
      <c r="X31" s="525"/>
      <c r="Y31" s="525"/>
      <c r="Z31" s="525"/>
      <c r="AA31" s="525"/>
      <c r="AB31" s="525"/>
      <c r="AC31" s="525"/>
      <c r="AD31" s="526"/>
    </row>
    <row r="32" spans="1:41" ht="23" customHeight="1" x14ac:dyDescent="0.2">
      <c r="A32" s="527" t="s">
        <v>59</v>
      </c>
      <c r="B32" s="485" t="s">
        <v>60</v>
      </c>
      <c r="C32" s="488" t="s">
        <v>54</v>
      </c>
      <c r="D32" s="527" t="s">
        <v>61</v>
      </c>
      <c r="E32" s="485"/>
      <c r="F32" s="485"/>
      <c r="G32" s="485"/>
      <c r="H32" s="485"/>
      <c r="I32" s="485"/>
      <c r="J32" s="485"/>
      <c r="K32" s="485"/>
      <c r="L32" s="485"/>
      <c r="M32" s="485"/>
      <c r="N32" s="485"/>
      <c r="O32" s="485"/>
      <c r="P32" s="488"/>
      <c r="Q32" s="531" t="s">
        <v>62</v>
      </c>
      <c r="R32" s="485"/>
      <c r="S32" s="485"/>
      <c r="T32" s="485"/>
      <c r="U32" s="485"/>
      <c r="V32" s="485"/>
      <c r="W32" s="485"/>
      <c r="X32" s="485"/>
      <c r="Y32" s="485"/>
      <c r="Z32" s="485"/>
      <c r="AA32" s="485"/>
      <c r="AB32" s="485"/>
      <c r="AC32" s="485"/>
      <c r="AD32" s="488"/>
      <c r="AG32" s="87"/>
      <c r="AH32" s="87"/>
      <c r="AI32" s="87"/>
      <c r="AJ32" s="87"/>
      <c r="AK32" s="87"/>
      <c r="AL32" s="87"/>
      <c r="AM32" s="87"/>
      <c r="AN32" s="87"/>
      <c r="AO32" s="87"/>
    </row>
    <row r="33" spans="1:41" ht="27" customHeight="1" thickBot="1" x14ac:dyDescent="0.25">
      <c r="A33" s="638"/>
      <c r="B33" s="640"/>
      <c r="C33" s="844"/>
      <c r="D33" s="187" t="s">
        <v>30</v>
      </c>
      <c r="E33" s="364" t="s">
        <v>31</v>
      </c>
      <c r="F33" s="364" t="s">
        <v>32</v>
      </c>
      <c r="G33" s="364" t="s">
        <v>33</v>
      </c>
      <c r="H33" s="364" t="s">
        <v>34</v>
      </c>
      <c r="I33" s="364" t="s">
        <v>35</v>
      </c>
      <c r="J33" s="364" t="s">
        <v>36</v>
      </c>
      <c r="K33" s="364" t="s">
        <v>37</v>
      </c>
      <c r="L33" s="364" t="s">
        <v>38</v>
      </c>
      <c r="M33" s="364" t="s">
        <v>8</v>
      </c>
      <c r="N33" s="364" t="s">
        <v>39</v>
      </c>
      <c r="O33" s="364" t="s">
        <v>40</v>
      </c>
      <c r="P33" s="377" t="s">
        <v>41</v>
      </c>
      <c r="Q33" s="535" t="s">
        <v>63</v>
      </c>
      <c r="R33" s="529"/>
      <c r="S33" s="529"/>
      <c r="T33" s="529" t="s">
        <v>64</v>
      </c>
      <c r="U33" s="529"/>
      <c r="V33" s="529"/>
      <c r="W33" s="529" t="s">
        <v>65</v>
      </c>
      <c r="X33" s="529"/>
      <c r="Y33" s="529"/>
      <c r="Z33" s="529"/>
      <c r="AA33" s="529" t="s">
        <v>66</v>
      </c>
      <c r="AB33" s="529"/>
      <c r="AC33" s="529"/>
      <c r="AD33" s="542"/>
      <c r="AG33" s="87"/>
      <c r="AH33" s="87"/>
      <c r="AI33" s="87"/>
      <c r="AJ33" s="87"/>
      <c r="AK33" s="87"/>
      <c r="AL33" s="87"/>
      <c r="AM33" s="87"/>
      <c r="AN33" s="87"/>
      <c r="AO33" s="87"/>
    </row>
    <row r="34" spans="1:41" ht="153" customHeight="1" x14ac:dyDescent="0.2">
      <c r="A34" s="580" t="s">
        <v>170</v>
      </c>
      <c r="B34" s="728">
        <v>0.15</v>
      </c>
      <c r="C34" s="358" t="s">
        <v>67</v>
      </c>
      <c r="D34" s="383">
        <f>D69</f>
        <v>2.1666666666666671E-2</v>
      </c>
      <c r="E34" s="383">
        <f t="shared" ref="E34:M34" si="0">E69</f>
        <v>2.1666666666666671E-2</v>
      </c>
      <c r="F34" s="383">
        <f t="shared" si="0"/>
        <v>2.1083333333333339E-2</v>
      </c>
      <c r="G34" s="383">
        <f t="shared" si="0"/>
        <v>2.1083333333333339E-2</v>
      </c>
      <c r="H34" s="383">
        <f t="shared" si="0"/>
        <v>2.1083333333333339E-2</v>
      </c>
      <c r="I34" s="383">
        <f t="shared" si="0"/>
        <v>2.1083333333333339E-2</v>
      </c>
      <c r="J34" s="383">
        <f t="shared" si="0"/>
        <v>2.1083333333333339E-2</v>
      </c>
      <c r="K34" s="383">
        <f t="shared" si="0"/>
        <v>2.1083333333333339E-2</v>
      </c>
      <c r="L34" s="383">
        <f t="shared" si="0"/>
        <v>2.1916666666666671E-2</v>
      </c>
      <c r="M34" s="383">
        <f t="shared" si="0"/>
        <v>2.1083333333333339E-2</v>
      </c>
      <c r="N34" s="387">
        <v>0.03</v>
      </c>
      <c r="O34" s="387">
        <v>0.05</v>
      </c>
      <c r="P34" s="384">
        <f>+SUM(D34:O34)</f>
        <v>0.29283333333333339</v>
      </c>
      <c r="Q34" s="845" t="s">
        <v>171</v>
      </c>
      <c r="R34" s="846"/>
      <c r="S34" s="846"/>
      <c r="T34" s="846" t="s">
        <v>172</v>
      </c>
      <c r="U34" s="846"/>
      <c r="V34" s="846"/>
      <c r="W34" s="848" t="s">
        <v>173</v>
      </c>
      <c r="X34" s="848"/>
      <c r="Y34" s="848"/>
      <c r="Z34" s="848"/>
      <c r="AA34" s="848" t="s">
        <v>174</v>
      </c>
      <c r="AB34" s="848"/>
      <c r="AC34" s="848"/>
      <c r="AD34" s="849"/>
      <c r="AG34" s="87"/>
      <c r="AH34" s="87"/>
      <c r="AI34" s="87"/>
      <c r="AJ34" s="87"/>
      <c r="AK34" s="87"/>
      <c r="AL34" s="87"/>
      <c r="AM34" s="87"/>
      <c r="AN34" s="87"/>
      <c r="AO34" s="87"/>
    </row>
    <row r="35" spans="1:41" ht="153" customHeight="1" thickBot="1" x14ac:dyDescent="0.25">
      <c r="A35" s="505"/>
      <c r="B35" s="507"/>
      <c r="C35" s="91" t="s">
        <v>72</v>
      </c>
      <c r="D35" s="385">
        <f>+D34</f>
        <v>2.1666666666666671E-2</v>
      </c>
      <c r="E35" s="385">
        <f t="shared" ref="E35:M35" si="1">+E34</f>
        <v>2.1666666666666671E-2</v>
      </c>
      <c r="F35" s="385">
        <f t="shared" si="1"/>
        <v>2.1083333333333339E-2</v>
      </c>
      <c r="G35" s="385">
        <f t="shared" si="1"/>
        <v>2.1083333333333339E-2</v>
      </c>
      <c r="H35" s="385">
        <f t="shared" si="1"/>
        <v>2.1083333333333339E-2</v>
      </c>
      <c r="I35" s="385">
        <f t="shared" si="1"/>
        <v>2.1083333333333339E-2</v>
      </c>
      <c r="J35" s="385">
        <f t="shared" si="1"/>
        <v>2.1083333333333339E-2</v>
      </c>
      <c r="K35" s="385">
        <f t="shared" si="1"/>
        <v>2.1083333333333339E-2</v>
      </c>
      <c r="L35" s="385">
        <f t="shared" si="1"/>
        <v>2.1916666666666671E-2</v>
      </c>
      <c r="M35" s="385">
        <f t="shared" si="1"/>
        <v>2.1083333333333339E-2</v>
      </c>
      <c r="N35" s="274">
        <v>0</v>
      </c>
      <c r="O35" s="274">
        <v>0</v>
      </c>
      <c r="P35" s="386">
        <f>+SUM(D35:O35)</f>
        <v>0.2128333333333334</v>
      </c>
      <c r="Q35" s="847"/>
      <c r="R35" s="642"/>
      <c r="S35" s="642"/>
      <c r="T35" s="642"/>
      <c r="U35" s="642"/>
      <c r="V35" s="642"/>
      <c r="W35" s="850"/>
      <c r="X35" s="850"/>
      <c r="Y35" s="850"/>
      <c r="Z35" s="850"/>
      <c r="AA35" s="850"/>
      <c r="AB35" s="850"/>
      <c r="AC35" s="850"/>
      <c r="AD35" s="851"/>
      <c r="AE35" s="49"/>
      <c r="AG35" s="87"/>
      <c r="AH35" s="87"/>
      <c r="AI35" s="87"/>
      <c r="AJ35" s="87"/>
      <c r="AK35" s="87"/>
      <c r="AL35" s="87"/>
      <c r="AM35" s="87"/>
      <c r="AN35" s="87"/>
      <c r="AO35" s="87"/>
    </row>
    <row r="36" spans="1:41" ht="26" customHeight="1" x14ac:dyDescent="0.2">
      <c r="A36" s="483" t="s">
        <v>73</v>
      </c>
      <c r="B36" s="718" t="s">
        <v>74</v>
      </c>
      <c r="C36" s="487" t="s">
        <v>75</v>
      </c>
      <c r="D36" s="718"/>
      <c r="E36" s="718"/>
      <c r="F36" s="718"/>
      <c r="G36" s="718"/>
      <c r="H36" s="718"/>
      <c r="I36" s="718"/>
      <c r="J36" s="718"/>
      <c r="K36" s="718"/>
      <c r="L36" s="718"/>
      <c r="M36" s="718"/>
      <c r="N36" s="718"/>
      <c r="O36" s="718"/>
      <c r="P36" s="684"/>
      <c r="Q36" s="686" t="s">
        <v>76</v>
      </c>
      <c r="R36" s="645"/>
      <c r="S36" s="645"/>
      <c r="T36" s="645"/>
      <c r="U36" s="645"/>
      <c r="V36" s="645"/>
      <c r="W36" s="645"/>
      <c r="X36" s="645"/>
      <c r="Y36" s="645"/>
      <c r="Z36" s="645"/>
      <c r="AA36" s="645"/>
      <c r="AB36" s="645"/>
      <c r="AC36" s="645"/>
      <c r="AD36" s="646"/>
      <c r="AG36" s="87"/>
      <c r="AH36" s="87"/>
      <c r="AI36" s="87"/>
      <c r="AJ36" s="87"/>
      <c r="AK36" s="87"/>
      <c r="AL36" s="87"/>
      <c r="AM36" s="87"/>
      <c r="AN36" s="87"/>
      <c r="AO36" s="87"/>
    </row>
    <row r="37" spans="1:41" ht="26" customHeight="1" thickBot="1" x14ac:dyDescent="0.25">
      <c r="A37" s="528"/>
      <c r="B37" s="529"/>
      <c r="C37" s="186" t="s">
        <v>77</v>
      </c>
      <c r="D37" s="88" t="s">
        <v>78</v>
      </c>
      <c r="E37" s="88" t="s">
        <v>79</v>
      </c>
      <c r="F37" s="88" t="s">
        <v>80</v>
      </c>
      <c r="G37" s="88" t="s">
        <v>81</v>
      </c>
      <c r="H37" s="88" t="s">
        <v>82</v>
      </c>
      <c r="I37" s="88" t="s">
        <v>83</v>
      </c>
      <c r="J37" s="88" t="s">
        <v>84</v>
      </c>
      <c r="K37" s="88" t="s">
        <v>85</v>
      </c>
      <c r="L37" s="88" t="s">
        <v>86</v>
      </c>
      <c r="M37" s="88" t="s">
        <v>87</v>
      </c>
      <c r="N37" s="88" t="s">
        <v>88</v>
      </c>
      <c r="O37" s="88" t="s">
        <v>89</v>
      </c>
      <c r="P37" s="185" t="s">
        <v>90</v>
      </c>
      <c r="Q37" s="854" t="s">
        <v>91</v>
      </c>
      <c r="R37" s="541"/>
      <c r="S37" s="541"/>
      <c r="T37" s="541"/>
      <c r="U37" s="541"/>
      <c r="V37" s="541"/>
      <c r="W37" s="541"/>
      <c r="X37" s="541"/>
      <c r="Y37" s="541"/>
      <c r="Z37" s="541"/>
      <c r="AA37" s="541"/>
      <c r="AB37" s="541"/>
      <c r="AC37" s="541"/>
      <c r="AD37" s="800"/>
      <c r="AG37" s="94"/>
      <c r="AH37" s="94"/>
      <c r="AI37" s="94"/>
      <c r="AJ37" s="94"/>
      <c r="AK37" s="94"/>
      <c r="AL37" s="94"/>
      <c r="AM37" s="94"/>
      <c r="AN37" s="94"/>
      <c r="AO37" s="94"/>
    </row>
    <row r="38" spans="1:41" ht="48.75" customHeight="1" x14ac:dyDescent="0.2">
      <c r="A38" s="649" t="s">
        <v>175</v>
      </c>
      <c r="B38" s="475">
        <v>0.1</v>
      </c>
      <c r="C38" s="188" t="s">
        <v>67</v>
      </c>
      <c r="D38" s="265">
        <v>0.09</v>
      </c>
      <c r="E38" s="266">
        <v>0.09</v>
      </c>
      <c r="F38" s="266">
        <v>8.5000000000000006E-2</v>
      </c>
      <c r="G38" s="266">
        <v>8.5000000000000006E-2</v>
      </c>
      <c r="H38" s="266">
        <v>8.5000000000000006E-2</v>
      </c>
      <c r="I38" s="266">
        <v>8.5000000000000006E-2</v>
      </c>
      <c r="J38" s="266">
        <v>8.5000000000000006E-2</v>
      </c>
      <c r="K38" s="266">
        <v>8.5000000000000006E-2</v>
      </c>
      <c r="L38" s="266">
        <v>0.09</v>
      </c>
      <c r="M38" s="266">
        <v>8.5000000000000006E-2</v>
      </c>
      <c r="N38" s="266">
        <v>8.5000000000000006E-2</v>
      </c>
      <c r="O38" s="266">
        <v>0.05</v>
      </c>
      <c r="P38" s="326">
        <f>SUM(D38:O38)</f>
        <v>0.99999999999999989</v>
      </c>
      <c r="Q38" s="852" t="s">
        <v>176</v>
      </c>
      <c r="R38" s="842"/>
      <c r="S38" s="842"/>
      <c r="T38" s="842"/>
      <c r="U38" s="842"/>
      <c r="V38" s="842"/>
      <c r="W38" s="842"/>
      <c r="X38" s="842"/>
      <c r="Y38" s="842"/>
      <c r="Z38" s="842"/>
      <c r="AA38" s="842"/>
      <c r="AB38" s="842"/>
      <c r="AC38" s="842"/>
      <c r="AD38" s="843"/>
      <c r="AE38" s="97"/>
      <c r="AG38" s="98"/>
      <c r="AH38" s="98"/>
      <c r="AI38" s="98"/>
      <c r="AJ38" s="98"/>
      <c r="AK38" s="98"/>
      <c r="AL38" s="98"/>
      <c r="AM38" s="98"/>
      <c r="AN38" s="98"/>
      <c r="AO38" s="98"/>
    </row>
    <row r="39" spans="1:41" ht="48.75" customHeight="1" x14ac:dyDescent="0.2">
      <c r="A39" s="855"/>
      <c r="B39" s="497"/>
      <c r="C39" s="189" t="s">
        <v>72</v>
      </c>
      <c r="D39" s="251">
        <v>0.09</v>
      </c>
      <c r="E39" s="252">
        <v>0.09</v>
      </c>
      <c r="F39" s="252">
        <v>8.5000000000000006E-2</v>
      </c>
      <c r="G39" s="252">
        <v>8.5000000000000006E-2</v>
      </c>
      <c r="H39" s="252">
        <v>8.5000000000000006E-2</v>
      </c>
      <c r="I39" s="252">
        <v>8.5000000000000006E-2</v>
      </c>
      <c r="J39" s="252">
        <v>8.5000000000000006E-2</v>
      </c>
      <c r="K39" s="252">
        <v>8.5000000000000006E-2</v>
      </c>
      <c r="L39" s="252">
        <v>0.09</v>
      </c>
      <c r="M39" s="328">
        <f>+M38</f>
        <v>8.5000000000000006E-2</v>
      </c>
      <c r="N39" s="252"/>
      <c r="O39" s="252"/>
      <c r="P39" s="327">
        <f>SUM(D39:O39)</f>
        <v>0.86499999999999988</v>
      </c>
      <c r="Q39" s="856"/>
      <c r="R39" s="719"/>
      <c r="S39" s="719"/>
      <c r="T39" s="719"/>
      <c r="U39" s="719"/>
      <c r="V39" s="719"/>
      <c r="W39" s="719"/>
      <c r="X39" s="719"/>
      <c r="Y39" s="719"/>
      <c r="Z39" s="719"/>
      <c r="AA39" s="719"/>
      <c r="AB39" s="719"/>
      <c r="AC39" s="719"/>
      <c r="AD39" s="720"/>
      <c r="AE39" s="97"/>
    </row>
    <row r="40" spans="1:41" ht="67.5" customHeight="1" x14ac:dyDescent="0.2">
      <c r="A40" s="649" t="s">
        <v>177</v>
      </c>
      <c r="B40" s="475">
        <v>0.05</v>
      </c>
      <c r="C40" s="190" t="s">
        <v>67</v>
      </c>
      <c r="D40" s="268">
        <v>0.08</v>
      </c>
      <c r="E40" s="250">
        <v>0.08</v>
      </c>
      <c r="F40" s="250">
        <v>8.3000000000000004E-2</v>
      </c>
      <c r="G40" s="250">
        <v>8.3000000000000004E-2</v>
      </c>
      <c r="H40" s="250">
        <v>8.3000000000000004E-2</v>
      </c>
      <c r="I40" s="250">
        <v>8.3000000000000004E-2</v>
      </c>
      <c r="J40" s="250">
        <v>8.3000000000000004E-2</v>
      </c>
      <c r="K40" s="250">
        <v>8.3000000000000004E-2</v>
      </c>
      <c r="L40" s="250">
        <v>8.3000000000000004E-2</v>
      </c>
      <c r="M40" s="250">
        <v>8.3000000000000004E-2</v>
      </c>
      <c r="N40" s="250">
        <v>8.3000000000000004E-2</v>
      </c>
      <c r="O40" s="250">
        <v>9.2999999999999999E-2</v>
      </c>
      <c r="P40" s="327">
        <f>SUM(D40:O40)</f>
        <v>0.99999999999999989</v>
      </c>
      <c r="Q40" s="852" t="s">
        <v>178</v>
      </c>
      <c r="R40" s="842"/>
      <c r="S40" s="842"/>
      <c r="T40" s="842"/>
      <c r="U40" s="842"/>
      <c r="V40" s="842"/>
      <c r="W40" s="842"/>
      <c r="X40" s="842"/>
      <c r="Y40" s="842"/>
      <c r="Z40" s="842"/>
      <c r="AA40" s="842"/>
      <c r="AB40" s="842"/>
      <c r="AC40" s="842"/>
      <c r="AD40" s="843"/>
      <c r="AE40" s="97"/>
    </row>
    <row r="41" spans="1:41" ht="67.5" customHeight="1" x14ac:dyDescent="0.2">
      <c r="A41" s="658"/>
      <c r="B41" s="476"/>
      <c r="C41" s="238" t="s">
        <v>72</v>
      </c>
      <c r="D41" s="253">
        <v>0.08</v>
      </c>
      <c r="E41" s="254">
        <v>0.08</v>
      </c>
      <c r="F41" s="254">
        <v>8.3000000000000004E-2</v>
      </c>
      <c r="G41" s="254">
        <v>8.3000000000000004E-2</v>
      </c>
      <c r="H41" s="254">
        <v>8.3000000000000004E-2</v>
      </c>
      <c r="I41" s="254">
        <v>8.3000000000000004E-2</v>
      </c>
      <c r="J41" s="254">
        <v>8.3000000000000004E-2</v>
      </c>
      <c r="K41" s="254">
        <v>8.3000000000000004E-2</v>
      </c>
      <c r="L41" s="254">
        <v>8.3000000000000004E-2</v>
      </c>
      <c r="M41" s="328">
        <f>+M40</f>
        <v>8.3000000000000004E-2</v>
      </c>
      <c r="N41" s="348" t="s">
        <v>48</v>
      </c>
      <c r="O41" s="348" t="s">
        <v>48</v>
      </c>
      <c r="P41" s="334">
        <f>SUM(D41:O41)</f>
        <v>0.82399999999999995</v>
      </c>
      <c r="Q41" s="853"/>
      <c r="R41" s="742"/>
      <c r="S41" s="742"/>
      <c r="T41" s="742"/>
      <c r="U41" s="742"/>
      <c r="V41" s="742"/>
      <c r="W41" s="742"/>
      <c r="X41" s="742"/>
      <c r="Y41" s="742"/>
      <c r="Z41" s="742"/>
      <c r="AA41" s="742"/>
      <c r="AB41" s="742"/>
      <c r="AC41" s="742"/>
      <c r="AD41" s="743"/>
      <c r="AE41" s="97"/>
    </row>
    <row r="42" spans="1:41" x14ac:dyDescent="0.2">
      <c r="A42" s="50" t="s">
        <v>96</v>
      </c>
    </row>
    <row r="55" spans="1:30" x14ac:dyDescent="0.2">
      <c r="A55" s="459" t="s">
        <v>97</v>
      </c>
      <c r="B55" s="461" t="s">
        <v>74</v>
      </c>
      <c r="C55" s="463" t="s">
        <v>75</v>
      </c>
      <c r="D55" s="464"/>
      <c r="E55" s="464"/>
      <c r="F55" s="464"/>
      <c r="G55" s="464"/>
      <c r="H55" s="464"/>
      <c r="I55" s="464"/>
      <c r="J55" s="464"/>
      <c r="K55" s="464"/>
      <c r="L55" s="464"/>
      <c r="M55" s="464"/>
      <c r="N55" s="464"/>
      <c r="O55" s="464"/>
      <c r="P55" s="465"/>
      <c r="Q55" s="191"/>
      <c r="R55" s="191"/>
      <c r="S55" s="192"/>
      <c r="T55" s="192"/>
      <c r="U55" s="192"/>
      <c r="V55" s="192"/>
      <c r="W55" s="192"/>
      <c r="X55" s="192"/>
      <c r="Y55" s="192"/>
      <c r="Z55" s="192"/>
      <c r="AA55" s="192"/>
      <c r="AB55" s="192"/>
      <c r="AC55" s="192"/>
      <c r="AD55" s="192"/>
    </row>
    <row r="56" spans="1:30" x14ac:dyDescent="0.2">
      <c r="A56" s="460"/>
      <c r="B56" s="462"/>
      <c r="C56" s="193" t="s">
        <v>77</v>
      </c>
      <c r="D56" s="193" t="s">
        <v>78</v>
      </c>
      <c r="E56" s="193" t="s">
        <v>79</v>
      </c>
      <c r="F56" s="193" t="s">
        <v>80</v>
      </c>
      <c r="G56" s="193" t="s">
        <v>81</v>
      </c>
      <c r="H56" s="193" t="s">
        <v>82</v>
      </c>
      <c r="I56" s="193" t="s">
        <v>83</v>
      </c>
      <c r="J56" s="193" t="s">
        <v>84</v>
      </c>
      <c r="K56" s="193" t="s">
        <v>85</v>
      </c>
      <c r="L56" s="193" t="s">
        <v>86</v>
      </c>
      <c r="M56" s="193" t="s">
        <v>87</v>
      </c>
      <c r="N56" s="193" t="s">
        <v>88</v>
      </c>
      <c r="O56" s="193" t="s">
        <v>89</v>
      </c>
      <c r="P56" s="193" t="s">
        <v>90</v>
      </c>
      <c r="Q56" s="191"/>
      <c r="R56" s="191"/>
      <c r="S56" s="192"/>
      <c r="T56" s="192"/>
      <c r="U56" s="192"/>
      <c r="V56" s="192"/>
      <c r="W56" s="192"/>
      <c r="X56" s="192"/>
      <c r="Y56" s="192"/>
      <c r="Z56" s="192"/>
      <c r="AA56" s="192"/>
      <c r="AB56" s="192"/>
      <c r="AC56" s="192"/>
      <c r="AD56" s="192"/>
    </row>
    <row r="57" spans="1:30" x14ac:dyDescent="0.2">
      <c r="A57" s="466" t="str">
        <f>A38</f>
        <v>16. Hacer seguimiento a la ejecución del Contrato No. 928 de 2022 cuyo objeto es: "Prestar los servicios requeridos para la operación y puesta en marcha de las Unidades Móviles en el marco de la implementación de la estrategia territorial del Sistema Distrital de Cuidado, de acuerdo con el anexo técnico"</v>
      </c>
      <c r="B57" s="468">
        <f>B38</f>
        <v>0.1</v>
      </c>
      <c r="C57" s="194" t="s">
        <v>67</v>
      </c>
      <c r="D57" s="195">
        <f>D38*$B$38/$P$38</f>
        <v>9.0000000000000011E-3</v>
      </c>
      <c r="E57" s="195">
        <f t="shared" ref="D57:O58" si="2">E38*$B$38/$P$38</f>
        <v>9.0000000000000011E-3</v>
      </c>
      <c r="F57" s="195">
        <f t="shared" si="2"/>
        <v>8.5000000000000023E-3</v>
      </c>
      <c r="G57" s="195">
        <f t="shared" si="2"/>
        <v>8.5000000000000023E-3</v>
      </c>
      <c r="H57" s="195">
        <f t="shared" si="2"/>
        <v>8.5000000000000023E-3</v>
      </c>
      <c r="I57" s="195">
        <f t="shared" si="2"/>
        <v>8.5000000000000023E-3</v>
      </c>
      <c r="J57" s="195">
        <f t="shared" si="2"/>
        <v>8.5000000000000023E-3</v>
      </c>
      <c r="K57" s="195">
        <f t="shared" si="2"/>
        <v>8.5000000000000023E-3</v>
      </c>
      <c r="L57" s="195">
        <f t="shared" si="2"/>
        <v>9.0000000000000011E-3</v>
      </c>
      <c r="M57" s="195">
        <f t="shared" si="2"/>
        <v>8.5000000000000023E-3</v>
      </c>
      <c r="N57" s="195">
        <f t="shared" si="2"/>
        <v>8.5000000000000023E-3</v>
      </c>
      <c r="O57" s="195">
        <f t="shared" si="2"/>
        <v>5.0000000000000018E-3</v>
      </c>
      <c r="P57" s="196">
        <f>SUM(D57:O57)</f>
        <v>0.10000000000000003</v>
      </c>
      <c r="Q57" s="197">
        <v>0.05</v>
      </c>
      <c r="R57" s="198">
        <f t="shared" ref="R57:R65" si="3">+P57-Q57</f>
        <v>5.0000000000000031E-2</v>
      </c>
      <c r="S57" s="192"/>
      <c r="T57" s="192"/>
      <c r="U57" s="192"/>
      <c r="V57" s="192"/>
      <c r="W57" s="192"/>
      <c r="X57" s="192"/>
      <c r="Y57" s="192"/>
      <c r="Z57" s="192"/>
      <c r="AA57" s="192"/>
      <c r="AB57" s="192"/>
      <c r="AC57" s="192"/>
      <c r="AD57" s="192"/>
    </row>
    <row r="58" spans="1:30" x14ac:dyDescent="0.2">
      <c r="A58" s="467"/>
      <c r="B58" s="469"/>
      <c r="C58" s="199" t="s">
        <v>72</v>
      </c>
      <c r="D58" s="200">
        <f t="shared" si="2"/>
        <v>9.0000000000000011E-3</v>
      </c>
      <c r="E58" s="200">
        <f t="shared" si="2"/>
        <v>9.0000000000000011E-3</v>
      </c>
      <c r="F58" s="200">
        <f t="shared" si="2"/>
        <v>8.5000000000000023E-3</v>
      </c>
      <c r="G58" s="200">
        <f t="shared" si="2"/>
        <v>8.5000000000000023E-3</v>
      </c>
      <c r="H58" s="200">
        <f t="shared" si="2"/>
        <v>8.5000000000000023E-3</v>
      </c>
      <c r="I58" s="200">
        <f t="shared" si="2"/>
        <v>8.5000000000000023E-3</v>
      </c>
      <c r="J58" s="200">
        <f t="shared" si="2"/>
        <v>8.5000000000000023E-3</v>
      </c>
      <c r="K58" s="200">
        <f t="shared" si="2"/>
        <v>8.5000000000000023E-3</v>
      </c>
      <c r="L58" s="200">
        <f t="shared" si="2"/>
        <v>9.0000000000000011E-3</v>
      </c>
      <c r="M58" s="200">
        <f t="shared" si="2"/>
        <v>8.5000000000000023E-3</v>
      </c>
      <c r="N58" s="200">
        <f t="shared" si="2"/>
        <v>0</v>
      </c>
      <c r="O58" s="200">
        <f t="shared" si="2"/>
        <v>0</v>
      </c>
      <c r="P58" s="201">
        <f>SUM(D58:O58)</f>
        <v>8.6500000000000021E-2</v>
      </c>
      <c r="Q58" s="202">
        <f>+P58</f>
        <v>8.6500000000000021E-2</v>
      </c>
      <c r="R58" s="198">
        <f t="shared" si="3"/>
        <v>0</v>
      </c>
      <c r="S58" s="192"/>
      <c r="T58" s="192"/>
      <c r="U58" s="192"/>
      <c r="V58" s="192"/>
      <c r="W58" s="192"/>
      <c r="X58" s="192"/>
      <c r="Y58" s="192"/>
      <c r="Z58" s="192"/>
      <c r="AA58" s="192"/>
      <c r="AB58" s="192"/>
      <c r="AC58" s="192"/>
      <c r="AD58" s="192"/>
    </row>
    <row r="59" spans="1:30" x14ac:dyDescent="0.2">
      <c r="A59" s="466" t="str">
        <f>A40</f>
        <v>17. Convocar y gestionar las sesiones de las Mesa de Unidades Móviles de Servicios del Cuidado</v>
      </c>
      <c r="B59" s="471">
        <f>B40</f>
        <v>0.05</v>
      </c>
      <c r="C59" s="194" t="s">
        <v>67</v>
      </c>
      <c r="D59" s="195">
        <f t="shared" ref="D59:O60" si="4">D40*$B$40/$P$40</f>
        <v>4.000000000000001E-3</v>
      </c>
      <c r="E59" s="195">
        <f t="shared" si="4"/>
        <v>4.000000000000001E-3</v>
      </c>
      <c r="F59" s="195">
        <f t="shared" si="4"/>
        <v>4.1500000000000009E-3</v>
      </c>
      <c r="G59" s="195">
        <f t="shared" si="4"/>
        <v>4.1500000000000009E-3</v>
      </c>
      <c r="H59" s="195">
        <f t="shared" si="4"/>
        <v>4.1500000000000009E-3</v>
      </c>
      <c r="I59" s="195">
        <f t="shared" si="4"/>
        <v>4.1500000000000009E-3</v>
      </c>
      <c r="J59" s="195">
        <f t="shared" si="4"/>
        <v>4.1500000000000009E-3</v>
      </c>
      <c r="K59" s="195">
        <f t="shared" si="4"/>
        <v>4.1500000000000009E-3</v>
      </c>
      <c r="L59" s="195">
        <f t="shared" si="4"/>
        <v>4.1500000000000009E-3</v>
      </c>
      <c r="M59" s="195">
        <f t="shared" si="4"/>
        <v>4.1500000000000009E-3</v>
      </c>
      <c r="N59" s="195">
        <f t="shared" si="4"/>
        <v>4.1500000000000009E-3</v>
      </c>
      <c r="O59" s="195">
        <f t="shared" si="4"/>
        <v>4.6500000000000014E-3</v>
      </c>
      <c r="P59" s="196">
        <f>SUM(D59:O59)</f>
        <v>5.000000000000001E-2</v>
      </c>
      <c r="Q59" s="197">
        <v>2.5000000000000001E-2</v>
      </c>
      <c r="R59" s="198">
        <f t="shared" si="3"/>
        <v>2.5000000000000008E-2</v>
      </c>
      <c r="S59" s="192"/>
      <c r="T59" s="192"/>
      <c r="U59" s="192"/>
      <c r="V59" s="192"/>
      <c r="W59" s="192"/>
      <c r="X59" s="192"/>
      <c r="Y59" s="192"/>
      <c r="Z59" s="192"/>
      <c r="AA59" s="192"/>
      <c r="AB59" s="192"/>
      <c r="AC59" s="192"/>
      <c r="AD59" s="192"/>
    </row>
    <row r="60" spans="1:30" x14ac:dyDescent="0.2">
      <c r="A60" s="470"/>
      <c r="B60" s="472"/>
      <c r="C60" s="203" t="s">
        <v>72</v>
      </c>
      <c r="D60" s="200">
        <f t="shared" si="4"/>
        <v>4.000000000000001E-3</v>
      </c>
      <c r="E60" s="200">
        <f t="shared" si="4"/>
        <v>4.000000000000001E-3</v>
      </c>
      <c r="F60" s="200">
        <f t="shared" si="4"/>
        <v>4.1500000000000009E-3</v>
      </c>
      <c r="G60" s="200">
        <f t="shared" si="4"/>
        <v>4.1500000000000009E-3</v>
      </c>
      <c r="H60" s="200">
        <f t="shared" si="4"/>
        <v>4.1500000000000009E-3</v>
      </c>
      <c r="I60" s="200">
        <f t="shared" si="4"/>
        <v>4.1500000000000009E-3</v>
      </c>
      <c r="J60" s="200">
        <f t="shared" si="4"/>
        <v>4.1500000000000009E-3</v>
      </c>
      <c r="K60" s="200">
        <f t="shared" si="4"/>
        <v>4.1500000000000009E-3</v>
      </c>
      <c r="L60" s="200">
        <f t="shared" si="4"/>
        <v>4.1500000000000009E-3</v>
      </c>
      <c r="M60" s="200">
        <f t="shared" si="4"/>
        <v>4.1500000000000009E-3</v>
      </c>
      <c r="N60" s="200" t="e">
        <f t="shared" si="4"/>
        <v>#VALUE!</v>
      </c>
      <c r="O60" s="200" t="e">
        <f t="shared" si="4"/>
        <v>#VALUE!</v>
      </c>
      <c r="P60" s="201" t="e">
        <f>SUM(D60:O60)</f>
        <v>#VALUE!</v>
      </c>
      <c r="Q60" s="202" t="e">
        <f>+P60</f>
        <v>#VALUE!</v>
      </c>
      <c r="R60" s="198" t="e">
        <f t="shared" si="3"/>
        <v>#VALUE!</v>
      </c>
      <c r="S60" s="192"/>
      <c r="T60" s="192"/>
      <c r="U60" s="192"/>
      <c r="V60" s="192"/>
      <c r="W60" s="192"/>
      <c r="X60" s="192"/>
      <c r="Y60" s="192"/>
      <c r="Z60" s="192"/>
      <c r="AA60" s="192"/>
      <c r="AB60" s="192"/>
      <c r="AC60" s="192"/>
      <c r="AD60" s="192"/>
    </row>
    <row r="61" spans="1:30" x14ac:dyDescent="0.2">
      <c r="A61" s="455"/>
      <c r="B61" s="457"/>
      <c r="C61" s="206"/>
      <c r="D61" s="195"/>
      <c r="E61" s="195"/>
      <c r="F61" s="195"/>
      <c r="G61" s="195"/>
      <c r="H61" s="195"/>
      <c r="I61" s="195"/>
      <c r="J61" s="195"/>
      <c r="K61" s="195"/>
      <c r="L61" s="195"/>
      <c r="M61" s="195"/>
      <c r="N61" s="195"/>
      <c r="O61" s="195"/>
      <c r="P61" s="207"/>
      <c r="Q61" s="197"/>
      <c r="R61" s="198"/>
      <c r="S61" s="192"/>
      <c r="T61" s="192"/>
      <c r="U61" s="192"/>
      <c r="V61" s="192"/>
      <c r="W61" s="192"/>
      <c r="X61" s="192"/>
      <c r="Y61" s="192"/>
      <c r="Z61" s="192"/>
      <c r="AA61" s="192"/>
      <c r="AB61" s="192"/>
      <c r="AC61" s="192"/>
      <c r="AD61" s="192"/>
    </row>
    <row r="62" spans="1:30" x14ac:dyDescent="0.2">
      <c r="A62" s="456"/>
      <c r="B62" s="458"/>
      <c r="C62" s="206"/>
      <c r="D62" s="210"/>
      <c r="E62" s="210"/>
      <c r="F62" s="210"/>
      <c r="G62" s="210"/>
      <c r="H62" s="210"/>
      <c r="I62" s="210"/>
      <c r="J62" s="210"/>
      <c r="K62" s="210"/>
      <c r="L62" s="210"/>
      <c r="M62" s="210"/>
      <c r="N62" s="210"/>
      <c r="O62" s="210"/>
      <c r="P62" s="207"/>
      <c r="Q62" s="202"/>
      <c r="R62" s="198"/>
      <c r="S62" s="192"/>
      <c r="T62" s="192"/>
      <c r="U62" s="192"/>
      <c r="V62" s="192"/>
      <c r="W62" s="192"/>
      <c r="X62" s="192"/>
      <c r="Y62" s="192"/>
      <c r="Z62" s="192"/>
      <c r="AA62" s="192"/>
      <c r="AB62" s="192"/>
      <c r="AC62" s="192"/>
      <c r="AD62" s="192"/>
    </row>
    <row r="63" spans="1:30" x14ac:dyDescent="0.2">
      <c r="A63" s="204"/>
      <c r="B63" s="205"/>
      <c r="C63" s="206"/>
      <c r="D63" s="195"/>
      <c r="E63" s="195"/>
      <c r="F63" s="195"/>
      <c r="G63" s="195"/>
      <c r="H63" s="195"/>
      <c r="I63" s="195"/>
      <c r="J63" s="195"/>
      <c r="K63" s="195"/>
      <c r="L63" s="195"/>
      <c r="M63" s="195"/>
      <c r="N63" s="195"/>
      <c r="O63" s="195"/>
      <c r="P63" s="207"/>
      <c r="Q63" s="197"/>
      <c r="R63" s="198"/>
      <c r="S63" s="192"/>
      <c r="T63" s="192"/>
      <c r="U63" s="192"/>
      <c r="V63" s="192"/>
      <c r="W63" s="192"/>
      <c r="X63" s="192"/>
      <c r="Y63" s="192"/>
      <c r="Z63" s="192"/>
      <c r="AA63" s="192"/>
      <c r="AB63" s="192"/>
      <c r="AC63" s="192"/>
      <c r="AD63" s="192"/>
    </row>
    <row r="64" spans="1:30" x14ac:dyDescent="0.2">
      <c r="A64" s="208"/>
      <c r="B64" s="209"/>
      <c r="C64" s="206"/>
      <c r="D64" s="210"/>
      <c r="E64" s="210"/>
      <c r="F64" s="210"/>
      <c r="G64" s="210"/>
      <c r="H64" s="210"/>
      <c r="I64" s="210"/>
      <c r="J64" s="210"/>
      <c r="K64" s="210"/>
      <c r="L64" s="210"/>
      <c r="M64" s="210"/>
      <c r="N64" s="210"/>
      <c r="O64" s="210"/>
      <c r="P64" s="207"/>
      <c r="Q64" s="202"/>
      <c r="R64" s="198"/>
      <c r="S64" s="192"/>
      <c r="T64" s="192"/>
      <c r="U64" s="192"/>
      <c r="V64" s="192"/>
      <c r="W64" s="192"/>
      <c r="X64" s="192"/>
      <c r="Y64" s="192"/>
      <c r="Z64" s="192"/>
      <c r="AA64" s="192"/>
      <c r="AB64" s="192"/>
      <c r="AC64" s="192"/>
      <c r="AD64" s="192"/>
    </row>
    <row r="65" spans="1:30" x14ac:dyDescent="0.2">
      <c r="A65" s="191"/>
      <c r="B65" s="211"/>
      <c r="C65" s="212"/>
      <c r="D65" s="213">
        <f>D58+D60</f>
        <v>1.3000000000000001E-2</v>
      </c>
      <c r="E65" s="213">
        <f t="shared" ref="E65:O65" si="5">E58+E60</f>
        <v>1.3000000000000001E-2</v>
      </c>
      <c r="F65" s="213">
        <f t="shared" si="5"/>
        <v>1.2650000000000003E-2</v>
      </c>
      <c r="G65" s="213">
        <f t="shared" si="5"/>
        <v>1.2650000000000003E-2</v>
      </c>
      <c r="H65" s="213">
        <f t="shared" si="5"/>
        <v>1.2650000000000003E-2</v>
      </c>
      <c r="I65" s="213">
        <f t="shared" si="5"/>
        <v>1.2650000000000003E-2</v>
      </c>
      <c r="J65" s="213">
        <f t="shared" si="5"/>
        <v>1.2650000000000003E-2</v>
      </c>
      <c r="K65" s="213">
        <f t="shared" si="5"/>
        <v>1.2650000000000003E-2</v>
      </c>
      <c r="L65" s="213">
        <f t="shared" si="5"/>
        <v>1.3150000000000002E-2</v>
      </c>
      <c r="M65" s="213">
        <f t="shared" si="5"/>
        <v>1.2650000000000003E-2</v>
      </c>
      <c r="N65" s="213" t="e">
        <f t="shared" si="5"/>
        <v>#VALUE!</v>
      </c>
      <c r="O65" s="213" t="e">
        <f t="shared" si="5"/>
        <v>#VALUE!</v>
      </c>
      <c r="P65" s="213" t="e">
        <f>P58+P60+P62</f>
        <v>#VALUE!</v>
      </c>
      <c r="Q65" s="191"/>
      <c r="R65" s="198" t="e">
        <f t="shared" si="3"/>
        <v>#VALUE!</v>
      </c>
      <c r="S65" s="192"/>
      <c r="T65" s="192"/>
      <c r="U65" s="192"/>
      <c r="V65" s="192"/>
      <c r="W65" s="192"/>
      <c r="X65" s="192"/>
      <c r="Y65" s="192"/>
      <c r="Z65" s="192"/>
      <c r="AA65" s="192"/>
      <c r="AB65" s="192"/>
      <c r="AC65" s="192"/>
      <c r="AD65" s="192"/>
    </row>
    <row r="66" spans="1:30" x14ac:dyDescent="0.2">
      <c r="A66" s="191"/>
      <c r="B66" s="214"/>
      <c r="C66" s="215" t="s">
        <v>72</v>
      </c>
      <c r="D66" s="216">
        <f>D65*$W$17/$B$34</f>
        <v>2.1666666666666671E-2</v>
      </c>
      <c r="E66" s="216">
        <f t="shared" ref="E66:O66" si="6">E65*$W$17/$B$34</f>
        <v>2.1666666666666671E-2</v>
      </c>
      <c r="F66" s="216">
        <f t="shared" si="6"/>
        <v>2.1083333333333339E-2</v>
      </c>
      <c r="G66" s="216">
        <f t="shared" si="6"/>
        <v>2.1083333333333339E-2</v>
      </c>
      <c r="H66" s="216">
        <f t="shared" si="6"/>
        <v>2.1083333333333339E-2</v>
      </c>
      <c r="I66" s="216">
        <f t="shared" si="6"/>
        <v>2.1083333333333339E-2</v>
      </c>
      <c r="J66" s="216">
        <f t="shared" si="6"/>
        <v>2.1083333333333339E-2</v>
      </c>
      <c r="K66" s="216">
        <f t="shared" si="6"/>
        <v>2.1083333333333339E-2</v>
      </c>
      <c r="L66" s="216">
        <f t="shared" si="6"/>
        <v>2.1916666666666671E-2</v>
      </c>
      <c r="M66" s="216">
        <f t="shared" si="6"/>
        <v>2.1083333333333339E-2</v>
      </c>
      <c r="N66" s="216" t="e">
        <f t="shared" si="6"/>
        <v>#VALUE!</v>
      </c>
      <c r="O66" s="216" t="e">
        <f t="shared" si="6"/>
        <v>#VALUE!</v>
      </c>
      <c r="P66" s="217" t="e">
        <f>SUM(D66:O66)</f>
        <v>#VALUE!</v>
      </c>
      <c r="Q66" s="218"/>
      <c r="R66" s="191"/>
      <c r="S66" s="192"/>
      <c r="T66" s="192"/>
      <c r="U66" s="192"/>
      <c r="V66" s="192"/>
      <c r="W66" s="192"/>
      <c r="X66" s="192"/>
      <c r="Y66" s="192"/>
      <c r="Z66" s="192"/>
      <c r="AA66" s="192"/>
      <c r="AB66" s="192"/>
      <c r="AC66" s="192"/>
      <c r="AD66" s="192"/>
    </row>
    <row r="67" spans="1:30" x14ac:dyDescent="0.2">
      <c r="A67" s="218"/>
      <c r="B67" s="219"/>
      <c r="C67" s="219"/>
      <c r="D67" s="219"/>
      <c r="E67" s="219"/>
      <c r="F67" s="219"/>
      <c r="G67" s="219"/>
      <c r="H67" s="219"/>
      <c r="I67" s="219"/>
      <c r="J67" s="219"/>
      <c r="K67" s="219"/>
      <c r="L67" s="219"/>
      <c r="M67" s="219"/>
      <c r="N67" s="219"/>
      <c r="O67" s="219"/>
      <c r="P67" s="219"/>
      <c r="Q67" s="218"/>
      <c r="R67" s="218"/>
      <c r="S67" s="192"/>
      <c r="T67" s="192"/>
      <c r="U67" s="192"/>
      <c r="V67" s="192"/>
      <c r="W67" s="192"/>
      <c r="X67" s="192"/>
      <c r="Y67" s="192"/>
      <c r="Z67" s="192"/>
      <c r="AA67" s="192"/>
      <c r="AB67" s="192"/>
      <c r="AC67" s="192"/>
      <c r="AD67" s="192"/>
    </row>
    <row r="68" spans="1:30" x14ac:dyDescent="0.2">
      <c r="A68" s="197"/>
      <c r="B68" s="108"/>
      <c r="C68" s="108"/>
      <c r="D68" s="213">
        <f>+D57+D59</f>
        <v>1.3000000000000001E-2</v>
      </c>
      <c r="E68" s="213">
        <f t="shared" ref="E68:O68" si="7">+E57+E59</f>
        <v>1.3000000000000001E-2</v>
      </c>
      <c r="F68" s="213">
        <f t="shared" si="7"/>
        <v>1.2650000000000003E-2</v>
      </c>
      <c r="G68" s="213">
        <f t="shared" si="7"/>
        <v>1.2650000000000003E-2</v>
      </c>
      <c r="H68" s="213">
        <f t="shared" si="7"/>
        <v>1.2650000000000003E-2</v>
      </c>
      <c r="I68" s="213">
        <f t="shared" si="7"/>
        <v>1.2650000000000003E-2</v>
      </c>
      <c r="J68" s="213">
        <f t="shared" si="7"/>
        <v>1.2650000000000003E-2</v>
      </c>
      <c r="K68" s="213">
        <f t="shared" si="7"/>
        <v>1.2650000000000003E-2</v>
      </c>
      <c r="L68" s="213">
        <f t="shared" si="7"/>
        <v>1.3150000000000002E-2</v>
      </c>
      <c r="M68" s="213">
        <f t="shared" si="7"/>
        <v>1.2650000000000003E-2</v>
      </c>
      <c r="N68" s="213">
        <f t="shared" si="7"/>
        <v>1.2650000000000003E-2</v>
      </c>
      <c r="O68" s="213">
        <f t="shared" si="7"/>
        <v>9.6500000000000023E-3</v>
      </c>
      <c r="P68" s="213">
        <f>+P57+P59+P61</f>
        <v>0.15000000000000005</v>
      </c>
      <c r="Q68" s="197"/>
      <c r="R68" s="197"/>
      <c r="S68" s="192"/>
      <c r="T68" s="192"/>
      <c r="U68" s="192"/>
      <c r="V68" s="192"/>
      <c r="W68" s="192"/>
      <c r="X68" s="192"/>
      <c r="Y68" s="192"/>
      <c r="Z68" s="192"/>
      <c r="AA68" s="192"/>
      <c r="AB68" s="192"/>
      <c r="AC68" s="192"/>
      <c r="AD68" s="192"/>
    </row>
    <row r="69" spans="1:30" x14ac:dyDescent="0.2">
      <c r="A69" s="197"/>
      <c r="B69" s="108"/>
      <c r="C69" s="215" t="s">
        <v>67</v>
      </c>
      <c r="D69" s="216">
        <f>D68*$W$17/$B$34</f>
        <v>2.1666666666666671E-2</v>
      </c>
      <c r="E69" s="216">
        <f t="shared" ref="E69:O69" si="8">E68*$W$17/$B$34</f>
        <v>2.1666666666666671E-2</v>
      </c>
      <c r="F69" s="216">
        <f t="shared" si="8"/>
        <v>2.1083333333333339E-2</v>
      </c>
      <c r="G69" s="216">
        <f t="shared" si="8"/>
        <v>2.1083333333333339E-2</v>
      </c>
      <c r="H69" s="216">
        <f t="shared" si="8"/>
        <v>2.1083333333333339E-2</v>
      </c>
      <c r="I69" s="216">
        <f t="shared" si="8"/>
        <v>2.1083333333333339E-2</v>
      </c>
      <c r="J69" s="216">
        <f t="shared" si="8"/>
        <v>2.1083333333333339E-2</v>
      </c>
      <c r="K69" s="216">
        <f t="shared" si="8"/>
        <v>2.1083333333333339E-2</v>
      </c>
      <c r="L69" s="216">
        <f t="shared" si="8"/>
        <v>2.1916666666666671E-2</v>
      </c>
      <c r="M69" s="216">
        <f t="shared" si="8"/>
        <v>2.1083333333333339E-2</v>
      </c>
      <c r="N69" s="216">
        <f t="shared" si="8"/>
        <v>2.1083333333333339E-2</v>
      </c>
      <c r="O69" s="216">
        <f t="shared" si="8"/>
        <v>1.6083333333333338E-2</v>
      </c>
      <c r="P69" s="217">
        <f>SUM(D69:O69)</f>
        <v>0.25000000000000011</v>
      </c>
      <c r="Q69" s="197"/>
      <c r="R69" s="197"/>
      <c r="S69" s="192"/>
      <c r="T69" s="192"/>
      <c r="U69" s="192"/>
      <c r="V69" s="192"/>
      <c r="W69" s="192"/>
      <c r="X69" s="192"/>
      <c r="Y69" s="192"/>
      <c r="Z69" s="192"/>
      <c r="AA69" s="192"/>
      <c r="AB69" s="192"/>
      <c r="AC69" s="192"/>
      <c r="AD69" s="192"/>
    </row>
    <row r="70" spans="1:30" x14ac:dyDescent="0.2">
      <c r="A70" s="192"/>
      <c r="Q70" s="192"/>
      <c r="R70" s="192"/>
      <c r="S70" s="192"/>
      <c r="T70" s="192"/>
      <c r="U70" s="192"/>
      <c r="V70" s="192"/>
      <c r="W70" s="192"/>
      <c r="X70" s="192"/>
      <c r="Y70" s="192"/>
      <c r="Z70" s="192"/>
      <c r="AA70" s="192"/>
      <c r="AB70" s="192"/>
      <c r="AC70" s="192"/>
      <c r="AD70" s="192"/>
    </row>
    <row r="71" spans="1:30" x14ac:dyDescent="0.2">
      <c r="A71" s="192"/>
      <c r="Q71" s="192"/>
      <c r="R71" s="192"/>
      <c r="S71" s="192"/>
      <c r="T71" s="192"/>
      <c r="U71" s="192"/>
      <c r="V71" s="192"/>
      <c r="W71" s="192"/>
      <c r="X71" s="192"/>
      <c r="Y71" s="192"/>
      <c r="Z71" s="192"/>
      <c r="AA71" s="192"/>
      <c r="AB71" s="192"/>
      <c r="AC71" s="192"/>
      <c r="AD71" s="192"/>
    </row>
    <row r="72" spans="1:30" x14ac:dyDescent="0.2">
      <c r="A72" s="192"/>
      <c r="Q72" s="192"/>
      <c r="R72" s="192"/>
      <c r="S72" s="192"/>
      <c r="T72" s="192"/>
      <c r="U72" s="192"/>
      <c r="V72" s="192"/>
      <c r="W72" s="192"/>
      <c r="X72" s="192"/>
      <c r="Y72" s="192"/>
      <c r="Z72" s="192"/>
      <c r="AA72" s="192"/>
      <c r="AB72" s="192"/>
      <c r="AC72" s="192"/>
      <c r="AD72" s="192"/>
    </row>
    <row r="73" spans="1:30" x14ac:dyDescent="0.2">
      <c r="A73" s="192"/>
      <c r="Q73" s="192"/>
      <c r="R73" s="192"/>
      <c r="S73" s="192"/>
      <c r="T73" s="192"/>
      <c r="U73" s="192"/>
      <c r="V73" s="192"/>
      <c r="W73" s="192"/>
      <c r="X73" s="192"/>
      <c r="Y73" s="192"/>
      <c r="Z73" s="192"/>
      <c r="AA73" s="192"/>
      <c r="AB73" s="192"/>
      <c r="AC73" s="192"/>
      <c r="AD73" s="192"/>
    </row>
    <row r="74" spans="1:30" x14ac:dyDescent="0.2">
      <c r="A74" s="192"/>
      <c r="Q74" s="192"/>
      <c r="R74" s="192"/>
      <c r="S74" s="192"/>
      <c r="T74" s="192"/>
      <c r="U74" s="192"/>
      <c r="V74" s="192"/>
      <c r="W74" s="192"/>
      <c r="X74" s="192"/>
      <c r="Y74" s="192"/>
      <c r="Z74" s="192"/>
      <c r="AA74" s="192"/>
      <c r="AB74" s="192"/>
      <c r="AC74" s="192"/>
      <c r="AD74" s="192"/>
    </row>
    <row r="75" spans="1:30" x14ac:dyDescent="0.2">
      <c r="A75" s="192"/>
      <c r="Q75" s="192"/>
      <c r="R75" s="192"/>
      <c r="S75" s="192"/>
      <c r="T75" s="192"/>
      <c r="U75" s="192"/>
      <c r="V75" s="192"/>
      <c r="W75" s="192"/>
      <c r="X75" s="192"/>
      <c r="Y75" s="192"/>
      <c r="Z75" s="192"/>
      <c r="AA75" s="192"/>
      <c r="AB75" s="192"/>
      <c r="AC75" s="192"/>
      <c r="AD75" s="192"/>
    </row>
    <row r="76" spans="1:30" x14ac:dyDescent="0.2">
      <c r="A76" s="192"/>
      <c r="Q76" s="192"/>
      <c r="R76" s="192"/>
      <c r="S76" s="192"/>
      <c r="T76" s="192"/>
      <c r="U76" s="192"/>
      <c r="V76" s="192"/>
      <c r="W76" s="192"/>
      <c r="X76" s="192"/>
      <c r="Y76" s="192"/>
      <c r="Z76" s="192"/>
      <c r="AA76" s="192"/>
      <c r="AB76" s="192"/>
      <c r="AC76" s="192"/>
      <c r="AD76" s="192"/>
    </row>
    <row r="77" spans="1:30" x14ac:dyDescent="0.2">
      <c r="A77" s="192"/>
      <c r="Q77" s="192"/>
      <c r="R77" s="192"/>
      <c r="S77" s="192"/>
      <c r="T77" s="192"/>
      <c r="U77" s="192"/>
      <c r="V77" s="192"/>
      <c r="W77" s="192"/>
      <c r="X77" s="192"/>
      <c r="Y77" s="192"/>
      <c r="Z77" s="192"/>
      <c r="AA77" s="192"/>
      <c r="AB77" s="192"/>
      <c r="AC77" s="192"/>
      <c r="AD77" s="192"/>
    </row>
  </sheetData>
  <mergeCells count="86">
    <mergeCell ref="AF22:AM25"/>
    <mergeCell ref="A40:A41"/>
    <mergeCell ref="B40:B41"/>
    <mergeCell ref="Q40:AD41"/>
    <mergeCell ref="A36:A37"/>
    <mergeCell ref="B36:B37"/>
    <mergeCell ref="C36:P36"/>
    <mergeCell ref="Q36:AD36"/>
    <mergeCell ref="Q37:AD37"/>
    <mergeCell ref="A38:A39"/>
    <mergeCell ref="B38:B39"/>
    <mergeCell ref="Q38:AD39"/>
    <mergeCell ref="W34:Z35"/>
    <mergeCell ref="B30:C30"/>
    <mergeCell ref="T33:V33"/>
    <mergeCell ref="W33:Z33"/>
    <mergeCell ref="Q34:S35"/>
    <mergeCell ref="T34:V35"/>
    <mergeCell ref="AA34:AD35"/>
    <mergeCell ref="A34:A35"/>
    <mergeCell ref="B34:B35"/>
    <mergeCell ref="A28:A29"/>
    <mergeCell ref="B28:C29"/>
    <mergeCell ref="D28:O28"/>
    <mergeCell ref="P28:P29"/>
    <mergeCell ref="Q28:AD29"/>
    <mergeCell ref="Q30:AD30"/>
    <mergeCell ref="A31:AD31"/>
    <mergeCell ref="A32:A33"/>
    <mergeCell ref="B32:B33"/>
    <mergeCell ref="C32:C33"/>
    <mergeCell ref="D32:P32"/>
    <mergeCell ref="Q32:AD32"/>
    <mergeCell ref="Q33:S33"/>
    <mergeCell ref="AA33:AD33"/>
    <mergeCell ref="Q20:AD20"/>
    <mergeCell ref="A22:B22"/>
    <mergeCell ref="A23:B23"/>
    <mergeCell ref="A25:B25"/>
    <mergeCell ref="A27:AD27"/>
    <mergeCell ref="A24:B24"/>
    <mergeCell ref="R17:V17"/>
    <mergeCell ref="W17:X17"/>
    <mergeCell ref="Y17:AB17"/>
    <mergeCell ref="AC17:AD17"/>
    <mergeCell ref="A15:B15"/>
    <mergeCell ref="C15:K15"/>
    <mergeCell ref="L15:Q15"/>
    <mergeCell ref="R15:X15"/>
    <mergeCell ref="Y15:Z15"/>
    <mergeCell ref="A19:AD19"/>
    <mergeCell ref="C20:P20"/>
    <mergeCell ref="A11:B13"/>
    <mergeCell ref="C11:AD13"/>
    <mergeCell ref="A7:B9"/>
    <mergeCell ref="C7:C9"/>
    <mergeCell ref="D7:H9"/>
    <mergeCell ref="O7:P7"/>
    <mergeCell ref="M8:N8"/>
    <mergeCell ref="O8:P8"/>
    <mergeCell ref="M9:N9"/>
    <mergeCell ref="O9:P9"/>
    <mergeCell ref="AA15:AD15"/>
    <mergeCell ref="C16:AB16"/>
    <mergeCell ref="A17:B17"/>
    <mergeCell ref="C17:Q17"/>
    <mergeCell ref="AB4:AD4"/>
    <mergeCell ref="I7:J9"/>
    <mergeCell ref="K7:L9"/>
    <mergeCell ref="M7:N7"/>
    <mergeCell ref="A1:A4"/>
    <mergeCell ref="B1:AA1"/>
    <mergeCell ref="AB1:AD1"/>
    <mergeCell ref="B2:AA2"/>
    <mergeCell ref="AB2:AD2"/>
    <mergeCell ref="B3:AA4"/>
    <mergeCell ref="AB3:AD3"/>
    <mergeCell ref="A61:A62"/>
    <mergeCell ref="B61:B62"/>
    <mergeCell ref="A55:A56"/>
    <mergeCell ref="B55:B56"/>
    <mergeCell ref="C55:P55"/>
    <mergeCell ref="A57:A58"/>
    <mergeCell ref="B57:B58"/>
    <mergeCell ref="A59:A60"/>
    <mergeCell ref="B59:B60"/>
  </mergeCells>
  <dataValidations count="3">
    <dataValidation type="list" allowBlank="1" showInputMessage="1" showErrorMessage="1" sqref="C7:C9" xr:uid="{15FA0424-2C18-47E5-BD53-1286DBC6EC08}"/>
    <dataValidation type="textLength" operator="lessThanOrEqual" allowBlank="1" showInputMessage="1" showErrorMessage="1" errorTitle="Máximo 2.000 caracteres" error="Máximo 2.000 caracteres" promptTitle="2.000 caracteres" sqref="Q30:AD30" xr:uid="{00000000-0002-0000-0600-000001000000}">
      <formula1>2000</formula1>
    </dataValidation>
    <dataValidation type="textLength" operator="lessThanOrEqual" allowBlank="1" showInputMessage="1" showErrorMessage="1" errorTitle="Máximo 2.000 caracteres" error="Máximo 2.000 caracteres" sqref="AA34 Q34 W34 Q38:AD41" xr:uid="{00000000-0002-0000-0600-000002000000}">
      <formula1>2000</formula1>
    </dataValidation>
  </dataValidations>
  <pageMargins left="0.25" right="0.25" top="0.75" bottom="0.75" header="0.3" footer="0.3"/>
  <pageSetup scale="21" orientation="landscape"/>
  <ignoredErrors>
    <ignoredError sqref="W24" formula="1"/>
  </ignoredErrors>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tint="0.79998168889431442"/>
    <pageSetUpPr fitToPage="1"/>
  </sheetPr>
  <dimension ref="A1:BF27"/>
  <sheetViews>
    <sheetView tabSelected="1" topLeftCell="AS15" zoomScale="137" zoomScaleNormal="137" zoomScaleSheetLayoutView="150" workbookViewId="0">
      <selection activeCell="BB16" sqref="BB16"/>
    </sheetView>
  </sheetViews>
  <sheetFormatPr baseColWidth="10" defaultColWidth="10.83203125" defaultRowHeight="14" x14ac:dyDescent="0.2"/>
  <cols>
    <col min="1" max="1" width="10.1640625" style="108" customWidth="1"/>
    <col min="2" max="2" width="10" style="108" customWidth="1"/>
    <col min="3" max="3" width="17.33203125" style="108" customWidth="1"/>
    <col min="4" max="4" width="8.33203125" style="108" customWidth="1"/>
    <col min="5" max="5" width="10.1640625" style="108" customWidth="1"/>
    <col min="6" max="6" width="8.33203125" style="108" customWidth="1"/>
    <col min="7" max="8" width="14.6640625" style="108" customWidth="1"/>
    <col min="9" max="10" width="29.33203125" style="108" customWidth="1"/>
    <col min="11" max="11" width="16.83203125" style="108" customWidth="1"/>
    <col min="12" max="13" width="15.33203125" style="108" customWidth="1"/>
    <col min="14" max="14" width="21.1640625" style="108" customWidth="1"/>
    <col min="15" max="19" width="8.6640625" style="121" customWidth="1"/>
    <col min="20" max="20" width="22.33203125" style="108" customWidth="1"/>
    <col min="21" max="21" width="17" style="108" customWidth="1"/>
    <col min="22" max="45" width="7.5" style="108" customWidth="1"/>
    <col min="46" max="46" width="17.1640625" style="108" customWidth="1"/>
    <col min="47" max="47" width="15.83203125" style="175" customWidth="1"/>
    <col min="48" max="48" width="34.83203125" style="108" customWidth="1"/>
    <col min="49" max="49" width="87.5" style="108" customWidth="1"/>
    <col min="50" max="50" width="40.6640625" style="108" customWidth="1"/>
    <col min="51" max="51" width="24.5" style="108" customWidth="1"/>
    <col min="52" max="16384" width="10.83203125" style="108"/>
  </cols>
  <sheetData>
    <row r="1" spans="1:58" ht="16" customHeight="1" x14ac:dyDescent="0.2">
      <c r="A1" s="885" t="s">
        <v>0</v>
      </c>
      <c r="B1" s="886"/>
      <c r="C1" s="886"/>
      <c r="D1" s="886"/>
      <c r="E1" s="886"/>
      <c r="F1" s="886"/>
      <c r="G1" s="886"/>
      <c r="H1" s="886"/>
      <c r="I1" s="886"/>
      <c r="J1" s="886"/>
      <c r="K1" s="886"/>
      <c r="L1" s="886"/>
      <c r="M1" s="886"/>
      <c r="N1" s="886"/>
      <c r="O1" s="886"/>
      <c r="P1" s="886"/>
      <c r="Q1" s="886"/>
      <c r="R1" s="886"/>
      <c r="S1" s="886"/>
      <c r="T1" s="886"/>
      <c r="U1" s="886"/>
      <c r="V1" s="886"/>
      <c r="W1" s="886"/>
      <c r="X1" s="886"/>
      <c r="Y1" s="886"/>
      <c r="Z1" s="886"/>
      <c r="AA1" s="886"/>
      <c r="AB1" s="886"/>
      <c r="AC1" s="886"/>
      <c r="AD1" s="886"/>
      <c r="AE1" s="886"/>
      <c r="AF1" s="886"/>
      <c r="AG1" s="886"/>
      <c r="AH1" s="886"/>
      <c r="AI1" s="886"/>
      <c r="AJ1" s="886"/>
      <c r="AK1" s="886"/>
      <c r="AL1" s="886"/>
      <c r="AM1" s="886"/>
      <c r="AN1" s="886"/>
      <c r="AO1" s="886"/>
      <c r="AP1" s="886"/>
      <c r="AQ1" s="886"/>
      <c r="AR1" s="886"/>
      <c r="AS1" s="886"/>
      <c r="AT1" s="886"/>
      <c r="AU1" s="886"/>
      <c r="AV1" s="886"/>
      <c r="AW1" s="887"/>
      <c r="AX1" s="822" t="s">
        <v>1</v>
      </c>
      <c r="AY1" s="823"/>
    </row>
    <row r="2" spans="1:58" ht="16" customHeight="1" x14ac:dyDescent="0.2">
      <c r="A2" s="888" t="s">
        <v>2</v>
      </c>
      <c r="B2" s="889"/>
      <c r="C2" s="889"/>
      <c r="D2" s="889"/>
      <c r="E2" s="889"/>
      <c r="F2" s="889"/>
      <c r="G2" s="889"/>
      <c r="H2" s="889"/>
      <c r="I2" s="889"/>
      <c r="J2" s="889"/>
      <c r="K2" s="889"/>
      <c r="L2" s="889"/>
      <c r="M2" s="889"/>
      <c r="N2" s="889"/>
      <c r="O2" s="889"/>
      <c r="P2" s="889"/>
      <c r="Q2" s="889"/>
      <c r="R2" s="889"/>
      <c r="S2" s="889"/>
      <c r="T2" s="889"/>
      <c r="U2" s="889"/>
      <c r="V2" s="889"/>
      <c r="W2" s="889"/>
      <c r="X2" s="889"/>
      <c r="Y2" s="889"/>
      <c r="Z2" s="889"/>
      <c r="AA2" s="889"/>
      <c r="AB2" s="889"/>
      <c r="AC2" s="889"/>
      <c r="AD2" s="889"/>
      <c r="AE2" s="889"/>
      <c r="AF2" s="889"/>
      <c r="AG2" s="889"/>
      <c r="AH2" s="889"/>
      <c r="AI2" s="889"/>
      <c r="AJ2" s="889"/>
      <c r="AK2" s="889"/>
      <c r="AL2" s="889"/>
      <c r="AM2" s="889"/>
      <c r="AN2" s="889"/>
      <c r="AO2" s="889"/>
      <c r="AP2" s="889"/>
      <c r="AQ2" s="889"/>
      <c r="AR2" s="889"/>
      <c r="AS2" s="889"/>
      <c r="AT2" s="889"/>
      <c r="AU2" s="889"/>
      <c r="AV2" s="889"/>
      <c r="AW2" s="890"/>
      <c r="AX2" s="882" t="s">
        <v>3</v>
      </c>
      <c r="AY2" s="883"/>
    </row>
    <row r="3" spans="1:58" ht="15" customHeight="1" x14ac:dyDescent="0.2">
      <c r="A3" s="891" t="s">
        <v>179</v>
      </c>
      <c r="B3" s="892"/>
      <c r="C3" s="892"/>
      <c r="D3" s="892"/>
      <c r="E3" s="892"/>
      <c r="F3" s="892"/>
      <c r="G3" s="892"/>
      <c r="H3" s="892"/>
      <c r="I3" s="892"/>
      <c r="J3" s="892"/>
      <c r="K3" s="892"/>
      <c r="L3" s="892"/>
      <c r="M3" s="892"/>
      <c r="N3" s="892"/>
      <c r="O3" s="892"/>
      <c r="P3" s="892"/>
      <c r="Q3" s="892"/>
      <c r="R3" s="892"/>
      <c r="S3" s="892"/>
      <c r="T3" s="892"/>
      <c r="U3" s="892"/>
      <c r="V3" s="892"/>
      <c r="W3" s="892"/>
      <c r="X3" s="892"/>
      <c r="Y3" s="892"/>
      <c r="Z3" s="892"/>
      <c r="AA3" s="892"/>
      <c r="AB3" s="892"/>
      <c r="AC3" s="892"/>
      <c r="AD3" s="892"/>
      <c r="AE3" s="892"/>
      <c r="AF3" s="892"/>
      <c r="AG3" s="892"/>
      <c r="AH3" s="892"/>
      <c r="AI3" s="892"/>
      <c r="AJ3" s="892"/>
      <c r="AK3" s="892"/>
      <c r="AL3" s="892"/>
      <c r="AM3" s="892"/>
      <c r="AN3" s="892"/>
      <c r="AO3" s="892"/>
      <c r="AP3" s="892"/>
      <c r="AQ3" s="892"/>
      <c r="AR3" s="892"/>
      <c r="AS3" s="892"/>
      <c r="AT3" s="892"/>
      <c r="AU3" s="892"/>
      <c r="AV3" s="892"/>
      <c r="AW3" s="893"/>
      <c r="AX3" s="882" t="s">
        <v>5</v>
      </c>
      <c r="AY3" s="883"/>
    </row>
    <row r="4" spans="1:58" ht="16" customHeight="1" x14ac:dyDescent="0.2">
      <c r="A4" s="885"/>
      <c r="B4" s="886"/>
      <c r="C4" s="886"/>
      <c r="D4" s="886"/>
      <c r="E4" s="886"/>
      <c r="F4" s="886"/>
      <c r="G4" s="886"/>
      <c r="H4" s="886"/>
      <c r="I4" s="886"/>
      <c r="J4" s="886"/>
      <c r="K4" s="886"/>
      <c r="L4" s="886"/>
      <c r="M4" s="886"/>
      <c r="N4" s="886"/>
      <c r="O4" s="886"/>
      <c r="P4" s="886"/>
      <c r="Q4" s="886"/>
      <c r="R4" s="886"/>
      <c r="S4" s="886"/>
      <c r="T4" s="886"/>
      <c r="U4" s="886"/>
      <c r="V4" s="886"/>
      <c r="W4" s="886"/>
      <c r="X4" s="886"/>
      <c r="Y4" s="886"/>
      <c r="Z4" s="886"/>
      <c r="AA4" s="886"/>
      <c r="AB4" s="886"/>
      <c r="AC4" s="886"/>
      <c r="AD4" s="886"/>
      <c r="AE4" s="886"/>
      <c r="AF4" s="886"/>
      <c r="AG4" s="886"/>
      <c r="AH4" s="886"/>
      <c r="AI4" s="886"/>
      <c r="AJ4" s="886"/>
      <c r="AK4" s="886"/>
      <c r="AL4" s="886"/>
      <c r="AM4" s="886"/>
      <c r="AN4" s="886"/>
      <c r="AO4" s="886"/>
      <c r="AP4" s="886"/>
      <c r="AQ4" s="886"/>
      <c r="AR4" s="886"/>
      <c r="AS4" s="886"/>
      <c r="AT4" s="886"/>
      <c r="AU4" s="886"/>
      <c r="AV4" s="886"/>
      <c r="AW4" s="887"/>
      <c r="AX4" s="884" t="s">
        <v>180</v>
      </c>
      <c r="AY4" s="884"/>
    </row>
    <row r="5" spans="1:58" ht="15" customHeight="1" x14ac:dyDescent="0.2">
      <c r="A5" s="857" t="s">
        <v>181</v>
      </c>
      <c r="B5" s="858"/>
      <c r="C5" s="858"/>
      <c r="D5" s="858"/>
      <c r="E5" s="858"/>
      <c r="F5" s="858"/>
      <c r="G5" s="858"/>
      <c r="H5" s="858"/>
      <c r="I5" s="858"/>
      <c r="J5" s="858"/>
      <c r="K5" s="858"/>
      <c r="L5" s="858"/>
      <c r="M5" s="858"/>
      <c r="N5" s="858"/>
      <c r="O5" s="858"/>
      <c r="P5" s="858"/>
      <c r="Q5" s="858"/>
      <c r="R5" s="858"/>
      <c r="S5" s="858"/>
      <c r="T5" s="858"/>
      <c r="U5" s="858"/>
      <c r="V5" s="858"/>
      <c r="W5" s="858"/>
      <c r="X5" s="858"/>
      <c r="Y5" s="858"/>
      <c r="Z5" s="858"/>
      <c r="AA5" s="858"/>
      <c r="AB5" s="858"/>
      <c r="AC5" s="858"/>
      <c r="AD5" s="858"/>
      <c r="AE5" s="858"/>
      <c r="AF5" s="858"/>
      <c r="AG5" s="859"/>
      <c r="AH5" s="863" t="s">
        <v>13</v>
      </c>
      <c r="AI5" s="878"/>
      <c r="AJ5" s="878"/>
      <c r="AK5" s="878"/>
      <c r="AL5" s="878"/>
      <c r="AM5" s="878"/>
      <c r="AN5" s="878"/>
      <c r="AO5" s="878"/>
      <c r="AP5" s="878"/>
      <c r="AQ5" s="878"/>
      <c r="AR5" s="878"/>
      <c r="AS5" s="878"/>
      <c r="AT5" s="878"/>
      <c r="AU5" s="864"/>
      <c r="AV5" s="871" t="s">
        <v>182</v>
      </c>
      <c r="AW5" s="871" t="s">
        <v>183</v>
      </c>
      <c r="AX5" s="871" t="s">
        <v>184</v>
      </c>
      <c r="AY5" s="871" t="s">
        <v>185</v>
      </c>
    </row>
    <row r="6" spans="1:58" ht="15" customHeight="1" x14ac:dyDescent="0.2">
      <c r="A6" s="860" t="s">
        <v>9</v>
      </c>
      <c r="B6" s="860"/>
      <c r="C6" s="860"/>
      <c r="D6" s="861">
        <v>45233</v>
      </c>
      <c r="E6" s="862"/>
      <c r="F6" s="863" t="s">
        <v>10</v>
      </c>
      <c r="G6" s="864"/>
      <c r="H6" s="874" t="s">
        <v>11</v>
      </c>
      <c r="I6" s="874"/>
      <c r="J6" s="237"/>
      <c r="K6" s="863"/>
      <c r="L6" s="878"/>
      <c r="M6" s="878"/>
      <c r="N6" s="878"/>
      <c r="O6" s="878"/>
      <c r="P6" s="878"/>
      <c r="Q6" s="878"/>
      <c r="R6" s="878"/>
      <c r="S6" s="878"/>
      <c r="T6" s="878"/>
      <c r="U6" s="878"/>
      <c r="V6" s="109"/>
      <c r="W6" s="109"/>
      <c r="X6" s="109"/>
      <c r="Y6" s="109"/>
      <c r="Z6" s="109"/>
      <c r="AA6" s="109"/>
      <c r="AB6" s="109"/>
      <c r="AC6" s="109"/>
      <c r="AD6" s="109"/>
      <c r="AE6" s="109"/>
      <c r="AF6" s="109"/>
      <c r="AG6" s="110"/>
      <c r="AH6" s="865"/>
      <c r="AI6" s="879"/>
      <c r="AJ6" s="879"/>
      <c r="AK6" s="879"/>
      <c r="AL6" s="879"/>
      <c r="AM6" s="879"/>
      <c r="AN6" s="879"/>
      <c r="AO6" s="879"/>
      <c r="AP6" s="879"/>
      <c r="AQ6" s="879"/>
      <c r="AR6" s="879"/>
      <c r="AS6" s="879"/>
      <c r="AT6" s="879"/>
      <c r="AU6" s="866"/>
      <c r="AV6" s="881"/>
      <c r="AW6" s="881"/>
      <c r="AX6" s="881"/>
      <c r="AY6" s="881"/>
    </row>
    <row r="7" spans="1:58" ht="15" customHeight="1" x14ac:dyDescent="0.2">
      <c r="A7" s="860"/>
      <c r="B7" s="860"/>
      <c r="C7" s="860"/>
      <c r="D7" s="862"/>
      <c r="E7" s="862"/>
      <c r="F7" s="865"/>
      <c r="G7" s="866"/>
      <c r="H7" s="874" t="s">
        <v>12</v>
      </c>
      <c r="I7" s="874"/>
      <c r="J7" s="237"/>
      <c r="K7" s="865"/>
      <c r="L7" s="879"/>
      <c r="M7" s="879"/>
      <c r="N7" s="879"/>
      <c r="O7" s="879"/>
      <c r="P7" s="879"/>
      <c r="Q7" s="879"/>
      <c r="R7" s="879"/>
      <c r="S7" s="879"/>
      <c r="T7" s="879"/>
      <c r="U7" s="879"/>
      <c r="V7" s="111"/>
      <c r="W7" s="111"/>
      <c r="X7" s="111"/>
      <c r="Y7" s="111"/>
      <c r="Z7" s="111"/>
      <c r="AA7" s="111"/>
      <c r="AB7" s="111"/>
      <c r="AC7" s="111"/>
      <c r="AD7" s="111"/>
      <c r="AE7" s="111"/>
      <c r="AF7" s="111"/>
      <c r="AG7" s="112"/>
      <c r="AH7" s="865"/>
      <c r="AI7" s="879"/>
      <c r="AJ7" s="879"/>
      <c r="AK7" s="879"/>
      <c r="AL7" s="879"/>
      <c r="AM7" s="879"/>
      <c r="AN7" s="879"/>
      <c r="AO7" s="879"/>
      <c r="AP7" s="879"/>
      <c r="AQ7" s="879"/>
      <c r="AR7" s="879"/>
      <c r="AS7" s="879"/>
      <c r="AT7" s="879"/>
      <c r="AU7" s="866"/>
      <c r="AV7" s="881"/>
      <c r="AW7" s="881"/>
      <c r="AX7" s="881"/>
      <c r="AY7" s="881"/>
    </row>
    <row r="8" spans="1:58" ht="15" customHeight="1" x14ac:dyDescent="0.2">
      <c r="A8" s="860"/>
      <c r="B8" s="860"/>
      <c r="C8" s="860"/>
      <c r="D8" s="862"/>
      <c r="E8" s="862"/>
      <c r="F8" s="867"/>
      <c r="G8" s="868"/>
      <c r="H8" s="874" t="s">
        <v>13</v>
      </c>
      <c r="I8" s="874"/>
      <c r="J8" s="118" t="s">
        <v>14</v>
      </c>
      <c r="K8" s="867"/>
      <c r="L8" s="880"/>
      <c r="M8" s="880"/>
      <c r="N8" s="880"/>
      <c r="O8" s="880"/>
      <c r="P8" s="880"/>
      <c r="Q8" s="880"/>
      <c r="R8" s="880"/>
      <c r="S8" s="880"/>
      <c r="T8" s="880"/>
      <c r="U8" s="880"/>
      <c r="V8" s="113"/>
      <c r="W8" s="113"/>
      <c r="X8" s="113"/>
      <c r="Y8" s="113"/>
      <c r="Z8" s="113"/>
      <c r="AA8" s="113"/>
      <c r="AB8" s="113"/>
      <c r="AC8" s="113"/>
      <c r="AD8" s="113"/>
      <c r="AE8" s="113"/>
      <c r="AF8" s="113"/>
      <c r="AG8" s="114"/>
      <c r="AH8" s="865"/>
      <c r="AI8" s="879"/>
      <c r="AJ8" s="879"/>
      <c r="AK8" s="879"/>
      <c r="AL8" s="879"/>
      <c r="AM8" s="879"/>
      <c r="AN8" s="879"/>
      <c r="AO8" s="879"/>
      <c r="AP8" s="879"/>
      <c r="AQ8" s="879"/>
      <c r="AR8" s="879"/>
      <c r="AS8" s="879"/>
      <c r="AT8" s="879"/>
      <c r="AU8" s="866"/>
      <c r="AV8" s="881"/>
      <c r="AW8" s="881"/>
      <c r="AX8" s="881"/>
      <c r="AY8" s="881"/>
    </row>
    <row r="9" spans="1:58" ht="15" customHeight="1" x14ac:dyDescent="0.2">
      <c r="A9" s="875" t="s">
        <v>186</v>
      </c>
      <c r="B9" s="876"/>
      <c r="C9" s="877"/>
      <c r="D9" s="897" t="s">
        <v>22</v>
      </c>
      <c r="E9" s="898"/>
      <c r="F9" s="898"/>
      <c r="G9" s="898"/>
      <c r="H9" s="898"/>
      <c r="I9" s="898"/>
      <c r="J9" s="898"/>
      <c r="K9" s="899"/>
      <c r="L9" s="899"/>
      <c r="M9" s="899"/>
      <c r="N9" s="899"/>
      <c r="O9" s="899"/>
      <c r="P9" s="899"/>
      <c r="Q9" s="899"/>
      <c r="R9" s="899"/>
      <c r="S9" s="899"/>
      <c r="T9" s="899"/>
      <c r="U9" s="899"/>
      <c r="V9" s="899"/>
      <c r="W9" s="899"/>
      <c r="X9" s="899"/>
      <c r="Y9" s="899"/>
      <c r="Z9" s="899"/>
      <c r="AA9" s="899"/>
      <c r="AB9" s="899"/>
      <c r="AC9" s="899"/>
      <c r="AD9" s="899"/>
      <c r="AE9" s="899"/>
      <c r="AF9" s="899"/>
      <c r="AG9" s="900"/>
      <c r="AH9" s="865"/>
      <c r="AI9" s="879"/>
      <c r="AJ9" s="879"/>
      <c r="AK9" s="879"/>
      <c r="AL9" s="879"/>
      <c r="AM9" s="879"/>
      <c r="AN9" s="879"/>
      <c r="AO9" s="879"/>
      <c r="AP9" s="879"/>
      <c r="AQ9" s="879"/>
      <c r="AR9" s="879"/>
      <c r="AS9" s="879"/>
      <c r="AT9" s="879"/>
      <c r="AU9" s="866"/>
      <c r="AV9" s="881"/>
      <c r="AW9" s="881"/>
      <c r="AX9" s="881"/>
      <c r="AY9" s="881"/>
    </row>
    <row r="10" spans="1:58" ht="15" customHeight="1" x14ac:dyDescent="0.2">
      <c r="A10" s="894" t="s">
        <v>187</v>
      </c>
      <c r="B10" s="895"/>
      <c r="C10" s="896"/>
      <c r="D10" s="901" t="s">
        <v>188</v>
      </c>
      <c r="E10" s="899"/>
      <c r="F10" s="899"/>
      <c r="G10" s="899"/>
      <c r="H10" s="899"/>
      <c r="I10" s="899"/>
      <c r="J10" s="899"/>
      <c r="K10" s="899"/>
      <c r="L10" s="899"/>
      <c r="M10" s="899"/>
      <c r="N10" s="899"/>
      <c r="O10" s="899"/>
      <c r="P10" s="899"/>
      <c r="Q10" s="899"/>
      <c r="R10" s="899"/>
      <c r="S10" s="899"/>
      <c r="T10" s="899"/>
      <c r="U10" s="899"/>
      <c r="V10" s="899"/>
      <c r="W10" s="899"/>
      <c r="X10" s="899"/>
      <c r="Y10" s="899"/>
      <c r="Z10" s="899"/>
      <c r="AA10" s="899"/>
      <c r="AB10" s="899"/>
      <c r="AC10" s="899"/>
      <c r="AD10" s="899"/>
      <c r="AE10" s="899"/>
      <c r="AF10" s="899"/>
      <c r="AG10" s="900"/>
      <c r="AH10" s="867"/>
      <c r="AI10" s="880"/>
      <c r="AJ10" s="880"/>
      <c r="AK10" s="880"/>
      <c r="AL10" s="880"/>
      <c r="AM10" s="880"/>
      <c r="AN10" s="880"/>
      <c r="AO10" s="880"/>
      <c r="AP10" s="880"/>
      <c r="AQ10" s="880"/>
      <c r="AR10" s="880"/>
      <c r="AS10" s="880"/>
      <c r="AT10" s="880"/>
      <c r="AU10" s="868"/>
      <c r="AV10" s="881"/>
      <c r="AW10" s="881"/>
      <c r="AX10" s="881"/>
      <c r="AY10" s="881"/>
    </row>
    <row r="11" spans="1:58" ht="40" customHeight="1" x14ac:dyDescent="0.2">
      <c r="A11" s="869" t="s">
        <v>189</v>
      </c>
      <c r="B11" s="873"/>
      <c r="C11" s="873"/>
      <c r="D11" s="873"/>
      <c r="E11" s="873"/>
      <c r="F11" s="870"/>
      <c r="G11" s="869" t="s">
        <v>190</v>
      </c>
      <c r="H11" s="870"/>
      <c r="I11" s="871" t="s">
        <v>191</v>
      </c>
      <c r="J11" s="871" t="s">
        <v>192</v>
      </c>
      <c r="K11" s="871" t="s">
        <v>193</v>
      </c>
      <c r="L11" s="871" t="s">
        <v>194</v>
      </c>
      <c r="M11" s="871" t="s">
        <v>195</v>
      </c>
      <c r="N11" s="871" t="s">
        <v>196</v>
      </c>
      <c r="O11" s="869" t="s">
        <v>197</v>
      </c>
      <c r="P11" s="873"/>
      <c r="Q11" s="873"/>
      <c r="R11" s="873"/>
      <c r="S11" s="870"/>
      <c r="T11" s="871" t="s">
        <v>198</v>
      </c>
      <c r="U11" s="871" t="s">
        <v>199</v>
      </c>
      <c r="V11" s="857" t="s">
        <v>200</v>
      </c>
      <c r="W11" s="858"/>
      <c r="X11" s="858"/>
      <c r="Y11" s="858"/>
      <c r="Z11" s="858"/>
      <c r="AA11" s="858"/>
      <c r="AB11" s="858"/>
      <c r="AC11" s="858"/>
      <c r="AD11" s="858"/>
      <c r="AE11" s="858"/>
      <c r="AF11" s="858"/>
      <c r="AG11" s="859"/>
      <c r="AH11" s="857" t="s">
        <v>201</v>
      </c>
      <c r="AI11" s="858"/>
      <c r="AJ11" s="858"/>
      <c r="AK11" s="858"/>
      <c r="AL11" s="858"/>
      <c r="AM11" s="858"/>
      <c r="AN11" s="858"/>
      <c r="AO11" s="858"/>
      <c r="AP11" s="858"/>
      <c r="AQ11" s="858"/>
      <c r="AR11" s="858"/>
      <c r="AS11" s="859"/>
      <c r="AT11" s="869" t="s">
        <v>41</v>
      </c>
      <c r="AU11" s="870"/>
      <c r="AV11" s="881"/>
      <c r="AW11" s="881"/>
      <c r="AX11" s="881"/>
      <c r="AY11" s="881"/>
    </row>
    <row r="12" spans="1:58" ht="30" x14ac:dyDescent="0.2">
      <c r="A12" s="115" t="s">
        <v>202</v>
      </c>
      <c r="B12" s="115" t="s">
        <v>203</v>
      </c>
      <c r="C12" s="115" t="s">
        <v>204</v>
      </c>
      <c r="D12" s="115" t="s">
        <v>205</v>
      </c>
      <c r="E12" s="115" t="s">
        <v>206</v>
      </c>
      <c r="F12" s="115" t="s">
        <v>207</v>
      </c>
      <c r="G12" s="115" t="s">
        <v>208</v>
      </c>
      <c r="H12" s="115" t="s">
        <v>209</v>
      </c>
      <c r="I12" s="872"/>
      <c r="J12" s="872"/>
      <c r="K12" s="872"/>
      <c r="L12" s="872"/>
      <c r="M12" s="872"/>
      <c r="N12" s="872"/>
      <c r="O12" s="115">
        <v>2020</v>
      </c>
      <c r="P12" s="115">
        <v>2021</v>
      </c>
      <c r="Q12" s="115">
        <v>2022</v>
      </c>
      <c r="R12" s="115">
        <v>2023</v>
      </c>
      <c r="S12" s="115">
        <v>2024</v>
      </c>
      <c r="T12" s="872"/>
      <c r="U12" s="872"/>
      <c r="V12" s="119" t="s">
        <v>30</v>
      </c>
      <c r="W12" s="119" t="s">
        <v>31</v>
      </c>
      <c r="X12" s="119" t="s">
        <v>32</v>
      </c>
      <c r="Y12" s="119" t="s">
        <v>33</v>
      </c>
      <c r="Z12" s="119" t="s">
        <v>34</v>
      </c>
      <c r="AA12" s="119" t="s">
        <v>35</v>
      </c>
      <c r="AB12" s="119" t="s">
        <v>36</v>
      </c>
      <c r="AC12" s="119" t="s">
        <v>37</v>
      </c>
      <c r="AD12" s="119" t="s">
        <v>38</v>
      </c>
      <c r="AE12" s="119" t="s">
        <v>8</v>
      </c>
      <c r="AF12" s="119" t="s">
        <v>39</v>
      </c>
      <c r="AG12" s="119" t="s">
        <v>40</v>
      </c>
      <c r="AH12" s="119" t="s">
        <v>30</v>
      </c>
      <c r="AI12" s="119" t="s">
        <v>31</v>
      </c>
      <c r="AJ12" s="119" t="s">
        <v>32</v>
      </c>
      <c r="AK12" s="119" t="s">
        <v>33</v>
      </c>
      <c r="AL12" s="119" t="s">
        <v>34</v>
      </c>
      <c r="AM12" s="119" t="s">
        <v>35</v>
      </c>
      <c r="AN12" s="119" t="s">
        <v>36</v>
      </c>
      <c r="AO12" s="119" t="s">
        <v>37</v>
      </c>
      <c r="AP12" s="119" t="s">
        <v>38</v>
      </c>
      <c r="AQ12" s="119" t="s">
        <v>8</v>
      </c>
      <c r="AR12" s="119" t="s">
        <v>39</v>
      </c>
      <c r="AS12" s="119" t="s">
        <v>40</v>
      </c>
      <c r="AT12" s="115" t="s">
        <v>210</v>
      </c>
      <c r="AU12" s="349" t="s">
        <v>211</v>
      </c>
      <c r="AV12" s="872"/>
      <c r="AW12" s="872"/>
      <c r="AX12" s="872"/>
      <c r="AY12" s="872"/>
    </row>
    <row r="13" spans="1:58" ht="41.25" customHeight="1" x14ac:dyDescent="0.2">
      <c r="A13" s="397">
        <v>52</v>
      </c>
      <c r="B13" s="398"/>
      <c r="C13" s="398"/>
      <c r="D13" s="398"/>
      <c r="E13" s="398"/>
      <c r="F13" s="398"/>
      <c r="G13" s="399"/>
      <c r="H13" s="399"/>
      <c r="I13" s="398" t="s">
        <v>212</v>
      </c>
      <c r="J13" s="398" t="s">
        <v>213</v>
      </c>
      <c r="K13" s="398" t="s">
        <v>214</v>
      </c>
      <c r="L13" s="398">
        <v>1</v>
      </c>
      <c r="M13" s="398" t="s">
        <v>215</v>
      </c>
      <c r="N13" s="398" t="s">
        <v>216</v>
      </c>
      <c r="O13" s="400">
        <v>0.3</v>
      </c>
      <c r="P13" s="400">
        <v>0.7</v>
      </c>
      <c r="Q13" s="400">
        <v>1</v>
      </c>
      <c r="R13" s="400">
        <v>1</v>
      </c>
      <c r="S13" s="400">
        <v>1</v>
      </c>
      <c r="T13" s="401" t="s">
        <v>217</v>
      </c>
      <c r="U13" s="402" t="s">
        <v>218</v>
      </c>
      <c r="V13" s="403"/>
      <c r="W13" s="404"/>
      <c r="X13" s="404">
        <v>1</v>
      </c>
      <c r="Y13" s="404"/>
      <c r="Z13" s="404"/>
      <c r="AA13" s="404">
        <v>1</v>
      </c>
      <c r="AB13" s="404"/>
      <c r="AC13" s="404"/>
      <c r="AD13" s="404">
        <v>1</v>
      </c>
      <c r="AE13" s="404"/>
      <c r="AF13" s="404"/>
      <c r="AG13" s="405">
        <v>1</v>
      </c>
      <c r="AH13" s="406">
        <v>0</v>
      </c>
      <c r="AI13" s="407">
        <v>0</v>
      </c>
      <c r="AJ13" s="407">
        <v>1</v>
      </c>
      <c r="AK13" s="407">
        <v>0</v>
      </c>
      <c r="AL13" s="407">
        <v>0</v>
      </c>
      <c r="AM13" s="407">
        <v>1</v>
      </c>
      <c r="AN13" s="406">
        <v>0</v>
      </c>
      <c r="AO13" s="406">
        <v>0</v>
      </c>
      <c r="AP13" s="406">
        <v>1</v>
      </c>
      <c r="AQ13" s="406">
        <v>0</v>
      </c>
      <c r="AR13" s="406" t="s">
        <v>48</v>
      </c>
      <c r="AS13" s="406" t="s">
        <v>48</v>
      </c>
      <c r="AT13" s="406">
        <v>1</v>
      </c>
      <c r="AU13" s="408">
        <f t="shared" ref="AU13:AU19" si="0">+AT13/R13</f>
        <v>1</v>
      </c>
      <c r="AV13" s="409" t="s">
        <v>219</v>
      </c>
      <c r="AW13" s="410" t="s">
        <v>220</v>
      </c>
      <c r="AX13" s="409" t="s">
        <v>221</v>
      </c>
      <c r="AY13" s="409" t="s">
        <v>221</v>
      </c>
    </row>
    <row r="14" spans="1:58" ht="51.75" customHeight="1" x14ac:dyDescent="0.2">
      <c r="A14" s="397">
        <v>53</v>
      </c>
      <c r="B14" s="398"/>
      <c r="C14" s="398"/>
      <c r="D14" s="398"/>
      <c r="E14" s="398"/>
      <c r="F14" s="398"/>
      <c r="G14" s="399"/>
      <c r="H14" s="399"/>
      <c r="I14" s="398" t="s">
        <v>222</v>
      </c>
      <c r="J14" s="398" t="s">
        <v>223</v>
      </c>
      <c r="K14" s="398" t="s">
        <v>224</v>
      </c>
      <c r="L14" s="398">
        <v>100</v>
      </c>
      <c r="M14" s="398" t="s">
        <v>225</v>
      </c>
      <c r="N14" s="398" t="s">
        <v>226</v>
      </c>
      <c r="O14" s="411">
        <v>7</v>
      </c>
      <c r="P14" s="411">
        <v>17.91</v>
      </c>
      <c r="Q14" s="412">
        <v>25.09</v>
      </c>
      <c r="R14" s="411">
        <v>25</v>
      </c>
      <c r="S14" s="411">
        <v>25</v>
      </c>
      <c r="T14" s="413" t="s">
        <v>217</v>
      </c>
      <c r="U14" s="402" t="s">
        <v>218</v>
      </c>
      <c r="V14" s="414"/>
      <c r="W14" s="414"/>
      <c r="X14" s="414">
        <v>6.25</v>
      </c>
      <c r="Y14" s="414"/>
      <c r="Z14" s="414"/>
      <c r="AA14" s="414">
        <v>6.25</v>
      </c>
      <c r="AB14" s="414"/>
      <c r="AC14" s="414"/>
      <c r="AD14" s="414">
        <v>6.25</v>
      </c>
      <c r="AE14" s="414"/>
      <c r="AF14" s="414"/>
      <c r="AG14" s="414">
        <v>6.25</v>
      </c>
      <c r="AH14" s="415">
        <v>0</v>
      </c>
      <c r="AI14" s="415">
        <v>0</v>
      </c>
      <c r="AJ14" s="416">
        <v>6.25</v>
      </c>
      <c r="AK14" s="416">
        <v>0</v>
      </c>
      <c r="AL14" s="416">
        <v>0</v>
      </c>
      <c r="AM14" s="416">
        <v>6.25</v>
      </c>
      <c r="AN14" s="415">
        <v>0</v>
      </c>
      <c r="AO14" s="415">
        <v>0</v>
      </c>
      <c r="AP14" s="415">
        <v>6.25</v>
      </c>
      <c r="AQ14" s="415">
        <v>0</v>
      </c>
      <c r="AR14" s="415" t="s">
        <v>48</v>
      </c>
      <c r="AS14" s="415" t="s">
        <v>48</v>
      </c>
      <c r="AT14" s="415">
        <f>+SUM(AH14:AS14)</f>
        <v>18.75</v>
      </c>
      <c r="AU14" s="408">
        <f t="shared" si="0"/>
        <v>0.75</v>
      </c>
      <c r="AV14" s="409" t="s">
        <v>219</v>
      </c>
      <c r="AW14" s="410" t="s">
        <v>227</v>
      </c>
      <c r="AX14" s="409" t="s">
        <v>221</v>
      </c>
      <c r="AY14" s="409" t="s">
        <v>221</v>
      </c>
    </row>
    <row r="15" spans="1:58" ht="87.75" customHeight="1" x14ac:dyDescent="0.2">
      <c r="A15" s="397">
        <v>56</v>
      </c>
      <c r="B15" s="398"/>
      <c r="C15" s="398"/>
      <c r="D15" s="398"/>
      <c r="E15" s="398"/>
      <c r="F15" s="398"/>
      <c r="G15" s="399"/>
      <c r="H15" s="399"/>
      <c r="I15" s="398" t="s">
        <v>228</v>
      </c>
      <c r="J15" s="398" t="s">
        <v>229</v>
      </c>
      <c r="K15" s="398" t="s">
        <v>224</v>
      </c>
      <c r="L15" s="398">
        <v>2</v>
      </c>
      <c r="M15" s="398" t="s">
        <v>215</v>
      </c>
      <c r="N15" s="398" t="s">
        <v>230</v>
      </c>
      <c r="O15" s="400">
        <v>0.1</v>
      </c>
      <c r="P15" s="417">
        <v>0.49</v>
      </c>
      <c r="Q15" s="418">
        <v>0.51</v>
      </c>
      <c r="R15" s="419">
        <f>0.5+0.01</f>
        <v>0.51</v>
      </c>
      <c r="S15" s="400">
        <f>0.4-0.01</f>
        <v>0.39</v>
      </c>
      <c r="T15" s="401" t="s">
        <v>217</v>
      </c>
      <c r="U15" s="420" t="s">
        <v>231</v>
      </c>
      <c r="V15" s="421"/>
      <c r="W15" s="421"/>
      <c r="X15" s="422">
        <f>0.5/4</f>
        <v>0.125</v>
      </c>
      <c r="Y15" s="422"/>
      <c r="Z15" s="422"/>
      <c r="AA15" s="422">
        <f>0.5/4</f>
        <v>0.125</v>
      </c>
      <c r="AB15" s="422"/>
      <c r="AC15" s="422"/>
      <c r="AD15" s="422">
        <f>0.5/4</f>
        <v>0.125</v>
      </c>
      <c r="AE15" s="422"/>
      <c r="AF15" s="422"/>
      <c r="AG15" s="422">
        <f>(0.5/4)+0.01</f>
        <v>0.13500000000000001</v>
      </c>
      <c r="AH15" s="415">
        <v>0</v>
      </c>
      <c r="AI15" s="415">
        <v>0</v>
      </c>
      <c r="AJ15" s="415">
        <v>0.125</v>
      </c>
      <c r="AK15" s="416">
        <v>0</v>
      </c>
      <c r="AL15" s="416">
        <v>0</v>
      </c>
      <c r="AM15" s="416">
        <v>0.13</v>
      </c>
      <c r="AN15" s="415">
        <v>0</v>
      </c>
      <c r="AO15" s="415">
        <v>0</v>
      </c>
      <c r="AP15" s="415">
        <v>0.125</v>
      </c>
      <c r="AQ15" s="415">
        <v>0</v>
      </c>
      <c r="AR15" s="415" t="s">
        <v>48</v>
      </c>
      <c r="AS15" s="415" t="s">
        <v>48</v>
      </c>
      <c r="AT15" s="423">
        <f>+SUM(AH15:AS15)</f>
        <v>0.38</v>
      </c>
      <c r="AU15" s="408">
        <f t="shared" si="0"/>
        <v>0.74509803921568629</v>
      </c>
      <c r="AV15" s="409" t="s">
        <v>219</v>
      </c>
      <c r="AW15" s="424" t="s">
        <v>563</v>
      </c>
      <c r="AX15" s="409" t="s">
        <v>221</v>
      </c>
      <c r="AY15" s="409" t="s">
        <v>221</v>
      </c>
    </row>
    <row r="16" spans="1:58" ht="195" customHeight="1" x14ac:dyDescent="0.2">
      <c r="A16" s="398"/>
      <c r="B16" s="398"/>
      <c r="C16" s="398"/>
      <c r="D16" s="397">
        <v>43</v>
      </c>
      <c r="E16" s="398"/>
      <c r="F16" s="398"/>
      <c r="G16" s="399"/>
      <c r="H16" s="399"/>
      <c r="I16" s="398"/>
      <c r="J16" s="398" t="s">
        <v>232</v>
      </c>
      <c r="K16" s="398" t="s">
        <v>224</v>
      </c>
      <c r="L16" s="425">
        <v>12000</v>
      </c>
      <c r="M16" s="398" t="s">
        <v>233</v>
      </c>
      <c r="N16" s="398" t="s">
        <v>234</v>
      </c>
      <c r="O16" s="400">
        <v>0</v>
      </c>
      <c r="P16" s="426">
        <v>3000</v>
      </c>
      <c r="Q16" s="427">
        <v>4000</v>
      </c>
      <c r="R16" s="426">
        <v>4000</v>
      </c>
      <c r="S16" s="426">
        <v>1000</v>
      </c>
      <c r="T16" s="398" t="s">
        <v>235</v>
      </c>
      <c r="U16" s="428" t="s">
        <v>236</v>
      </c>
      <c r="V16" s="117">
        <v>0</v>
      </c>
      <c r="W16" s="117">
        <v>400</v>
      </c>
      <c r="X16" s="117">
        <v>400</v>
      </c>
      <c r="Y16" s="117">
        <v>400</v>
      </c>
      <c r="Z16" s="117">
        <v>400</v>
      </c>
      <c r="AA16" s="117">
        <v>400</v>
      </c>
      <c r="AB16" s="117">
        <v>400</v>
      </c>
      <c r="AC16" s="117">
        <v>400</v>
      </c>
      <c r="AD16" s="117">
        <v>400</v>
      </c>
      <c r="AE16" s="117">
        <v>400</v>
      </c>
      <c r="AF16" s="117">
        <v>400</v>
      </c>
      <c r="AG16" s="117">
        <v>0</v>
      </c>
      <c r="AH16" s="415">
        <v>0</v>
      </c>
      <c r="AI16" s="415">
        <v>0</v>
      </c>
      <c r="AJ16" s="415">
        <v>220</v>
      </c>
      <c r="AK16" s="415">
        <v>297</v>
      </c>
      <c r="AL16" s="415">
        <v>596</v>
      </c>
      <c r="AM16" s="415">
        <v>371</v>
      </c>
      <c r="AN16" s="415">
        <v>218</v>
      </c>
      <c r="AO16" s="415">
        <v>355</v>
      </c>
      <c r="AP16" s="415">
        <v>385</v>
      </c>
      <c r="AQ16" s="415">
        <f>496+87</f>
        <v>583</v>
      </c>
      <c r="AR16" s="415" t="s">
        <v>48</v>
      </c>
      <c r="AS16" s="415" t="s">
        <v>48</v>
      </c>
      <c r="AT16" s="429">
        <f>+SUM(AH16:AS16)</f>
        <v>3025</v>
      </c>
      <c r="AU16" s="408">
        <f t="shared" si="0"/>
        <v>0.75624999999999998</v>
      </c>
      <c r="AV16" s="430" t="s">
        <v>573</v>
      </c>
      <c r="AW16" s="431" t="s">
        <v>574</v>
      </c>
      <c r="AX16" s="432" t="s">
        <v>237</v>
      </c>
      <c r="AY16" s="432" t="s">
        <v>238</v>
      </c>
      <c r="AZ16" s="108">
        <f>+SUM(V16:AE16)</f>
        <v>3600</v>
      </c>
      <c r="BA16" s="350">
        <f>+AT16/AZ16</f>
        <v>0.84027777777777779</v>
      </c>
      <c r="BB16" s="108">
        <f>+SUM(W16:AF16)</f>
        <v>4000</v>
      </c>
      <c r="BC16" s="961">
        <f>+BB16-AT16</f>
        <v>975</v>
      </c>
      <c r="BD16" s="108">
        <f>+MEDIAN(AJ16:AQ16)*2</f>
        <v>726</v>
      </c>
      <c r="BE16" s="961">
        <f>+BD16+AT16</f>
        <v>3751</v>
      </c>
      <c r="BF16" s="962">
        <f>+BE16/BB16</f>
        <v>0.93774999999999997</v>
      </c>
    </row>
    <row r="17" spans="1:55" ht="97" customHeight="1" x14ac:dyDescent="0.2">
      <c r="A17" s="398"/>
      <c r="B17" s="398"/>
      <c r="C17" s="398"/>
      <c r="D17" s="397">
        <v>46</v>
      </c>
      <c r="E17" s="433"/>
      <c r="F17" s="398"/>
      <c r="G17" s="399"/>
      <c r="H17" s="399"/>
      <c r="I17" s="398"/>
      <c r="J17" s="398" t="s">
        <v>239</v>
      </c>
      <c r="K17" s="398" t="s">
        <v>224</v>
      </c>
      <c r="L17" s="425">
        <v>16500</v>
      </c>
      <c r="M17" s="398" t="s">
        <v>240</v>
      </c>
      <c r="N17" s="398" t="s">
        <v>241</v>
      </c>
      <c r="O17" s="400">
        <v>0</v>
      </c>
      <c r="P17" s="426">
        <v>4000</v>
      </c>
      <c r="Q17" s="426">
        <v>5000</v>
      </c>
      <c r="R17" s="426">
        <v>5000</v>
      </c>
      <c r="S17" s="426">
        <v>2000</v>
      </c>
      <c r="T17" s="398" t="s">
        <v>235</v>
      </c>
      <c r="U17" s="428" t="s">
        <v>236</v>
      </c>
      <c r="V17" s="117">
        <v>0</v>
      </c>
      <c r="W17" s="117">
        <v>500</v>
      </c>
      <c r="X17" s="117">
        <v>500</v>
      </c>
      <c r="Y17" s="117">
        <v>500</v>
      </c>
      <c r="Z17" s="117">
        <v>500</v>
      </c>
      <c r="AA17" s="117">
        <v>500</v>
      </c>
      <c r="AB17" s="117">
        <v>500</v>
      </c>
      <c r="AC17" s="117">
        <v>500</v>
      </c>
      <c r="AD17" s="117">
        <v>500</v>
      </c>
      <c r="AE17" s="117">
        <v>500</v>
      </c>
      <c r="AF17" s="117">
        <v>500</v>
      </c>
      <c r="AG17" s="117">
        <v>0</v>
      </c>
      <c r="AH17" s="415" t="s">
        <v>48</v>
      </c>
      <c r="AI17" s="415">
        <v>134</v>
      </c>
      <c r="AJ17" s="415">
        <v>542</v>
      </c>
      <c r="AK17" s="415">
        <v>789</v>
      </c>
      <c r="AL17" s="415">
        <v>790</v>
      </c>
      <c r="AM17" s="415">
        <v>454</v>
      </c>
      <c r="AN17" s="415">
        <v>517</v>
      </c>
      <c r="AO17" s="415">
        <v>743</v>
      </c>
      <c r="AP17" s="415">
        <v>879</v>
      </c>
      <c r="AQ17" s="415">
        <v>811</v>
      </c>
      <c r="AR17" s="415" t="s">
        <v>48</v>
      </c>
      <c r="AS17" s="415" t="s">
        <v>48</v>
      </c>
      <c r="AT17" s="429">
        <f>+SUM(AH17:AS17)</f>
        <v>5659</v>
      </c>
      <c r="AU17" s="408">
        <f t="shared" si="0"/>
        <v>1.1317999999999999</v>
      </c>
      <c r="AV17" s="430" t="s">
        <v>570</v>
      </c>
      <c r="AW17" s="434" t="s">
        <v>571</v>
      </c>
      <c r="AX17" s="409" t="s">
        <v>221</v>
      </c>
      <c r="AY17" s="409" t="s">
        <v>221</v>
      </c>
    </row>
    <row r="18" spans="1:55" ht="79.5" customHeight="1" x14ac:dyDescent="0.15">
      <c r="A18" s="399">
        <v>56</v>
      </c>
      <c r="B18" s="399"/>
      <c r="C18" s="399"/>
      <c r="D18" s="399"/>
      <c r="E18" s="399"/>
      <c r="F18" s="399"/>
      <c r="G18" s="399"/>
      <c r="H18" s="399"/>
      <c r="I18" s="399"/>
      <c r="J18" s="399" t="s">
        <v>242</v>
      </c>
      <c r="K18" s="435" t="s">
        <v>224</v>
      </c>
      <c r="L18" s="436">
        <v>19</v>
      </c>
      <c r="M18" s="399" t="s">
        <v>243</v>
      </c>
      <c r="N18" s="399" t="s">
        <v>244</v>
      </c>
      <c r="O18" s="437">
        <v>2</v>
      </c>
      <c r="P18" s="437">
        <v>5</v>
      </c>
      <c r="Q18" s="437">
        <v>7</v>
      </c>
      <c r="R18" s="437">
        <v>5</v>
      </c>
      <c r="S18" s="437">
        <v>0</v>
      </c>
      <c r="T18" s="399" t="s">
        <v>235</v>
      </c>
      <c r="U18" s="438" t="s">
        <v>236</v>
      </c>
      <c r="V18" s="439">
        <v>0</v>
      </c>
      <c r="W18" s="439">
        <v>1</v>
      </c>
      <c r="X18" s="439">
        <v>1</v>
      </c>
      <c r="Y18" s="439">
        <v>1</v>
      </c>
      <c r="Z18" s="439">
        <v>0</v>
      </c>
      <c r="AA18" s="439">
        <v>0</v>
      </c>
      <c r="AB18" s="439">
        <v>1</v>
      </c>
      <c r="AC18" s="439">
        <v>0</v>
      </c>
      <c r="AD18" s="439">
        <v>1</v>
      </c>
      <c r="AE18" s="439">
        <v>0</v>
      </c>
      <c r="AF18" s="439">
        <v>0</v>
      </c>
      <c r="AG18" s="439">
        <v>0</v>
      </c>
      <c r="AH18" s="440">
        <v>0</v>
      </c>
      <c r="AI18" s="440">
        <v>1</v>
      </c>
      <c r="AJ18" s="440">
        <v>1</v>
      </c>
      <c r="AK18" s="415">
        <v>0</v>
      </c>
      <c r="AL18" s="440">
        <v>2</v>
      </c>
      <c r="AM18" s="440" t="s">
        <v>245</v>
      </c>
      <c r="AN18" s="440">
        <v>0</v>
      </c>
      <c r="AO18" s="440">
        <v>0</v>
      </c>
      <c r="AP18" s="440">
        <v>1</v>
      </c>
      <c r="AQ18" s="415">
        <v>0</v>
      </c>
      <c r="AR18" s="440" t="s">
        <v>48</v>
      </c>
      <c r="AS18" s="440" t="s">
        <v>48</v>
      </c>
      <c r="AT18" s="429">
        <f>+SUM(AH18:AS18)</f>
        <v>5</v>
      </c>
      <c r="AU18" s="408">
        <f t="shared" si="0"/>
        <v>1</v>
      </c>
      <c r="AV18" s="441" t="s">
        <v>121</v>
      </c>
      <c r="AW18" s="442" t="s">
        <v>246</v>
      </c>
      <c r="AX18" s="443" t="s">
        <v>247</v>
      </c>
      <c r="AY18" s="443" t="s">
        <v>247</v>
      </c>
    </row>
    <row r="19" spans="1:55" ht="117" customHeight="1" x14ac:dyDescent="0.15">
      <c r="A19" s="402"/>
      <c r="B19" s="402"/>
      <c r="C19" s="402"/>
      <c r="D19" s="402"/>
      <c r="E19" s="402"/>
      <c r="F19" s="402"/>
      <c r="G19" s="402" t="s">
        <v>248</v>
      </c>
      <c r="H19" s="444" t="s">
        <v>249</v>
      </c>
      <c r="I19" s="402" t="s">
        <v>250</v>
      </c>
      <c r="J19" s="402" t="s">
        <v>251</v>
      </c>
      <c r="K19" s="402" t="s">
        <v>252</v>
      </c>
      <c r="L19" s="445">
        <v>1</v>
      </c>
      <c r="M19" s="402" t="s">
        <v>253</v>
      </c>
      <c r="N19" s="402" t="s">
        <v>254</v>
      </c>
      <c r="O19" s="446">
        <v>0</v>
      </c>
      <c r="P19" s="446">
        <v>0</v>
      </c>
      <c r="Q19" s="446">
        <v>0</v>
      </c>
      <c r="R19" s="447">
        <v>1</v>
      </c>
      <c r="S19" s="447">
        <v>1</v>
      </c>
      <c r="T19" s="402" t="s">
        <v>235</v>
      </c>
      <c r="U19" s="402" t="s">
        <v>255</v>
      </c>
      <c r="V19" s="448">
        <v>1</v>
      </c>
      <c r="W19" s="448">
        <v>1</v>
      </c>
      <c r="X19" s="448">
        <v>1</v>
      </c>
      <c r="Y19" s="448">
        <v>1</v>
      </c>
      <c r="Z19" s="448">
        <v>1</v>
      </c>
      <c r="AA19" s="448">
        <v>1</v>
      </c>
      <c r="AB19" s="448">
        <v>1</v>
      </c>
      <c r="AC19" s="448">
        <v>1</v>
      </c>
      <c r="AD19" s="448">
        <v>1</v>
      </c>
      <c r="AE19" s="448">
        <v>1</v>
      </c>
      <c r="AF19" s="448">
        <v>1</v>
      </c>
      <c r="AG19" s="448">
        <v>1</v>
      </c>
      <c r="AH19" s="449">
        <v>0.84</v>
      </c>
      <c r="AI19" s="449">
        <v>0.42</v>
      </c>
      <c r="AJ19" s="449">
        <v>1.98</v>
      </c>
      <c r="AK19" s="450">
        <v>1.3</v>
      </c>
      <c r="AL19" s="449">
        <v>1.84</v>
      </c>
      <c r="AM19" s="406">
        <v>1.46</v>
      </c>
      <c r="AN19" s="449">
        <v>1.1599999999999999</v>
      </c>
      <c r="AO19" s="449">
        <v>1.1499999999999999</v>
      </c>
      <c r="AP19" s="449">
        <v>0.88</v>
      </c>
      <c r="AQ19" s="449">
        <v>1.82</v>
      </c>
      <c r="AR19" s="406" t="s">
        <v>48</v>
      </c>
      <c r="AS19" s="406" t="s">
        <v>48</v>
      </c>
      <c r="AT19" s="451">
        <f>+AVERAGE(AH19:AS19)</f>
        <v>1.2850000000000001</v>
      </c>
      <c r="AU19" s="452">
        <f t="shared" si="0"/>
        <v>1.2850000000000001</v>
      </c>
      <c r="AV19" s="453" t="s">
        <v>256</v>
      </c>
      <c r="AW19" s="453" t="s">
        <v>257</v>
      </c>
      <c r="AX19" s="454" t="s">
        <v>247</v>
      </c>
      <c r="AY19" s="454" t="s">
        <v>247</v>
      </c>
    </row>
    <row r="20" spans="1:55" x14ac:dyDescent="0.2">
      <c r="A20" s="901" t="s">
        <v>96</v>
      </c>
      <c r="B20" s="899"/>
      <c r="C20" s="899"/>
      <c r="D20" s="899"/>
      <c r="E20" s="899"/>
      <c r="F20" s="899"/>
      <c r="G20" s="899"/>
      <c r="H20" s="899"/>
      <c r="I20" s="899"/>
      <c r="J20" s="899"/>
      <c r="K20" s="899"/>
      <c r="L20" s="899"/>
      <c r="M20" s="899"/>
      <c r="N20" s="899"/>
      <c r="O20" s="899"/>
      <c r="P20" s="899"/>
      <c r="Q20" s="899"/>
      <c r="R20" s="899"/>
      <c r="S20" s="899"/>
      <c r="T20" s="899"/>
      <c r="U20" s="899"/>
      <c r="V20" s="899"/>
      <c r="W20" s="899"/>
      <c r="X20" s="899"/>
      <c r="Y20" s="899"/>
      <c r="Z20" s="899"/>
      <c r="AA20" s="899"/>
      <c r="AB20" s="899"/>
      <c r="AC20" s="899"/>
      <c r="AD20" s="899"/>
      <c r="AE20" s="899"/>
      <c r="AF20" s="899"/>
      <c r="AG20" s="899"/>
      <c r="AH20" s="899"/>
      <c r="AI20" s="899"/>
      <c r="AJ20" s="899"/>
      <c r="AK20" s="899"/>
      <c r="AL20" s="899"/>
      <c r="AM20" s="899"/>
      <c r="AN20" s="899"/>
      <c r="AO20" s="899"/>
      <c r="AP20" s="899"/>
      <c r="AQ20" s="899"/>
      <c r="AR20" s="899"/>
      <c r="AS20" s="899"/>
      <c r="AT20" s="899"/>
      <c r="AU20" s="899"/>
      <c r="AV20" s="899"/>
      <c r="AW20" s="899"/>
      <c r="AX20" s="899"/>
      <c r="AY20" s="900"/>
    </row>
    <row r="21" spans="1:55" ht="31.5" customHeight="1" x14ac:dyDescent="0.15">
      <c r="A21" s="915" t="s">
        <v>258</v>
      </c>
      <c r="B21" s="916"/>
      <c r="C21" s="917"/>
      <c r="D21" s="913" t="s">
        <v>259</v>
      </c>
      <c r="E21" s="913"/>
      <c r="F21" s="913"/>
      <c r="G21" s="913"/>
      <c r="H21" s="913"/>
      <c r="I21" s="914"/>
      <c r="J21" s="902" t="s">
        <v>260</v>
      </c>
      <c r="K21" s="903"/>
      <c r="L21" s="903"/>
      <c r="M21" s="903"/>
      <c r="N21" s="903"/>
      <c r="O21" s="904"/>
      <c r="P21" s="913" t="s">
        <v>261</v>
      </c>
      <c r="Q21" s="913"/>
      <c r="R21" s="913"/>
      <c r="S21" s="913"/>
      <c r="T21" s="913"/>
      <c r="U21" s="914"/>
      <c r="V21" s="913" t="s">
        <v>261</v>
      </c>
      <c r="W21" s="913"/>
      <c r="X21" s="913"/>
      <c r="Y21" s="913"/>
      <c r="Z21" s="913"/>
      <c r="AA21" s="913"/>
      <c r="AB21" s="913"/>
      <c r="AC21" s="914"/>
      <c r="AD21" s="913" t="s">
        <v>261</v>
      </c>
      <c r="AE21" s="913"/>
      <c r="AF21" s="913"/>
      <c r="AG21" s="913"/>
      <c r="AH21" s="913"/>
      <c r="AI21" s="913"/>
      <c r="AJ21" s="913"/>
      <c r="AK21" s="913"/>
      <c r="AL21" s="913"/>
      <c r="AM21" s="913"/>
      <c r="AN21" s="913"/>
      <c r="AO21" s="914"/>
      <c r="AP21" s="902" t="s">
        <v>262</v>
      </c>
      <c r="AQ21" s="903"/>
      <c r="AR21" s="903"/>
      <c r="AS21" s="904"/>
      <c r="AT21" s="913" t="s">
        <v>263</v>
      </c>
      <c r="AU21" s="913"/>
      <c r="AV21" s="913"/>
      <c r="AW21" s="913"/>
      <c r="AX21" s="913"/>
      <c r="AY21" s="914"/>
      <c r="AZ21" s="272"/>
      <c r="BA21" s="273"/>
      <c r="BB21" s="272"/>
      <c r="BC21" s="272"/>
    </row>
    <row r="22" spans="1:55" ht="101.25" customHeight="1" x14ac:dyDescent="0.15">
      <c r="A22" s="918"/>
      <c r="B22" s="919"/>
      <c r="C22" s="920"/>
      <c r="D22" s="911" t="s">
        <v>264</v>
      </c>
      <c r="E22" s="911"/>
      <c r="F22" s="911"/>
      <c r="G22" s="911"/>
      <c r="H22" s="911"/>
      <c r="I22" s="912"/>
      <c r="J22" s="905"/>
      <c r="K22" s="906"/>
      <c r="L22" s="906"/>
      <c r="M22" s="906"/>
      <c r="N22" s="906"/>
      <c r="O22" s="907"/>
      <c r="P22" s="911" t="s">
        <v>265</v>
      </c>
      <c r="Q22" s="911"/>
      <c r="R22" s="911"/>
      <c r="S22" s="911"/>
      <c r="T22" s="911"/>
      <c r="U22" s="912"/>
      <c r="V22" s="911" t="s">
        <v>266</v>
      </c>
      <c r="W22" s="911"/>
      <c r="X22" s="911"/>
      <c r="Y22" s="911"/>
      <c r="Z22" s="911"/>
      <c r="AA22" s="911"/>
      <c r="AB22" s="911"/>
      <c r="AC22" s="912"/>
      <c r="AD22" s="911" t="s">
        <v>267</v>
      </c>
      <c r="AE22" s="911"/>
      <c r="AF22" s="911"/>
      <c r="AG22" s="911"/>
      <c r="AH22" s="911"/>
      <c r="AI22" s="911"/>
      <c r="AJ22" s="911"/>
      <c r="AK22" s="911"/>
      <c r="AL22" s="911"/>
      <c r="AM22" s="911"/>
      <c r="AN22" s="911"/>
      <c r="AO22" s="912"/>
      <c r="AP22" s="905"/>
      <c r="AQ22" s="906"/>
      <c r="AR22" s="906"/>
      <c r="AS22" s="907"/>
      <c r="AT22" s="911" t="s">
        <v>268</v>
      </c>
      <c r="AU22" s="911"/>
      <c r="AV22" s="911"/>
      <c r="AW22" s="911"/>
      <c r="AX22" s="911"/>
      <c r="AY22" s="912"/>
      <c r="AZ22" s="272"/>
      <c r="BA22" s="272"/>
      <c r="BB22" s="272"/>
      <c r="BC22" s="272"/>
    </row>
    <row r="23" spans="1:55" ht="28.5" customHeight="1" x14ac:dyDescent="0.15">
      <c r="A23" s="921"/>
      <c r="B23" s="922"/>
      <c r="C23" s="923"/>
      <c r="D23" s="911" t="s">
        <v>269</v>
      </c>
      <c r="E23" s="911"/>
      <c r="F23" s="911"/>
      <c r="G23" s="911"/>
      <c r="H23" s="911"/>
      <c r="I23" s="912"/>
      <c r="J23" s="908"/>
      <c r="K23" s="909"/>
      <c r="L23" s="909"/>
      <c r="M23" s="909"/>
      <c r="N23" s="909"/>
      <c r="O23" s="910"/>
      <c r="P23" s="911" t="s">
        <v>270</v>
      </c>
      <c r="Q23" s="911"/>
      <c r="R23" s="911"/>
      <c r="S23" s="911"/>
      <c r="T23" s="911"/>
      <c r="U23" s="912"/>
      <c r="V23" s="911" t="s">
        <v>271</v>
      </c>
      <c r="W23" s="911"/>
      <c r="X23" s="911"/>
      <c r="Y23" s="911"/>
      <c r="Z23" s="911"/>
      <c r="AA23" s="911"/>
      <c r="AB23" s="911"/>
      <c r="AC23" s="912"/>
      <c r="AD23" s="911" t="s">
        <v>272</v>
      </c>
      <c r="AE23" s="911"/>
      <c r="AF23" s="911"/>
      <c r="AG23" s="911"/>
      <c r="AH23" s="911"/>
      <c r="AI23" s="911"/>
      <c r="AJ23" s="911"/>
      <c r="AK23" s="911"/>
      <c r="AL23" s="911"/>
      <c r="AM23" s="911"/>
      <c r="AN23" s="911"/>
      <c r="AO23" s="912"/>
      <c r="AP23" s="908"/>
      <c r="AQ23" s="909"/>
      <c r="AR23" s="909"/>
      <c r="AS23" s="910"/>
      <c r="AT23" s="911" t="s">
        <v>273</v>
      </c>
      <c r="AU23" s="911"/>
      <c r="AV23" s="911"/>
      <c r="AW23" s="911"/>
      <c r="AX23" s="911"/>
      <c r="AY23" s="912"/>
      <c r="AZ23" s="272"/>
      <c r="BA23" s="272"/>
      <c r="BB23" s="272"/>
      <c r="BC23" s="272"/>
    </row>
    <row r="24" spans="1:55" x14ac:dyDescent="0.15">
      <c r="A24" s="272"/>
      <c r="B24" s="272"/>
      <c r="C24" s="272"/>
      <c r="D24" s="272"/>
      <c r="E24" s="272"/>
      <c r="F24" s="272"/>
      <c r="G24" s="272"/>
      <c r="H24" s="272"/>
      <c r="I24" s="272"/>
      <c r="J24" s="272"/>
      <c r="K24" s="272"/>
      <c r="L24" s="272"/>
      <c r="M24" s="272"/>
      <c r="N24" s="272"/>
      <c r="O24" s="396"/>
      <c r="P24" s="396"/>
      <c r="Q24" s="396"/>
      <c r="R24" s="396"/>
      <c r="S24" s="396"/>
      <c r="T24" s="272"/>
      <c r="U24" s="272"/>
      <c r="V24" s="272"/>
      <c r="W24" s="272"/>
      <c r="X24" s="272"/>
      <c r="Y24" s="272"/>
      <c r="Z24" s="272"/>
      <c r="AA24" s="272"/>
      <c r="AB24" s="272"/>
      <c r="AC24" s="272"/>
      <c r="AD24" s="272"/>
      <c r="AE24" s="272"/>
      <c r="AF24" s="272"/>
      <c r="AG24" s="272"/>
      <c r="AH24" s="272"/>
      <c r="AI24" s="272"/>
      <c r="AJ24" s="272"/>
      <c r="AK24" s="272"/>
      <c r="AL24" s="272"/>
      <c r="AM24" s="272"/>
      <c r="AN24" s="272"/>
      <c r="AO24" s="272"/>
      <c r="AP24" s="272"/>
      <c r="AQ24" s="272"/>
      <c r="AR24" s="272"/>
      <c r="AS24" s="272"/>
      <c r="AT24" s="272"/>
      <c r="AU24" s="272"/>
      <c r="AV24" s="272"/>
      <c r="AW24" s="272"/>
      <c r="AX24" s="272"/>
      <c r="AY24" s="272"/>
      <c r="AZ24" s="272"/>
      <c r="BA24" s="272"/>
      <c r="BB24" s="272"/>
      <c r="BC24" s="272"/>
    </row>
    <row r="25" spans="1:55" x14ac:dyDescent="0.2">
      <c r="AT25" s="350">
        <f>+SUM(V19:AE19)</f>
        <v>10</v>
      </c>
      <c r="AU25" s="175">
        <f>+AVERAGE(V19:AE19)</f>
        <v>1</v>
      </c>
    </row>
    <row r="26" spans="1:55" x14ac:dyDescent="0.2">
      <c r="AT26" s="350">
        <f>+SUM(AH19:AS19)</f>
        <v>12.850000000000001</v>
      </c>
      <c r="AU26" s="175">
        <f>+AVERAGE(AH19:AQ19)</f>
        <v>1.2850000000000001</v>
      </c>
    </row>
    <row r="27" spans="1:55" x14ac:dyDescent="0.2">
      <c r="AT27" s="175">
        <f>+AT26/AT25</f>
        <v>1.2850000000000001</v>
      </c>
    </row>
  </sheetData>
  <mergeCells count="57">
    <mergeCell ref="D23:I23"/>
    <mergeCell ref="V22:AC22"/>
    <mergeCell ref="V23:AC23"/>
    <mergeCell ref="AD21:AO21"/>
    <mergeCell ref="AD22:AO22"/>
    <mergeCell ref="AD23:AO23"/>
    <mergeCell ref="J21:O23"/>
    <mergeCell ref="P22:U22"/>
    <mergeCell ref="P23:U23"/>
    <mergeCell ref="V21:AC21"/>
    <mergeCell ref="D21:I21"/>
    <mergeCell ref="D22:I22"/>
    <mergeCell ref="P21:U21"/>
    <mergeCell ref="AP21:AS23"/>
    <mergeCell ref="J11:J12"/>
    <mergeCell ref="K11:K12"/>
    <mergeCell ref="V11:AG11"/>
    <mergeCell ref="A20:AY20"/>
    <mergeCell ref="AT22:AY22"/>
    <mergeCell ref="AT21:AY21"/>
    <mergeCell ref="G11:H11"/>
    <mergeCell ref="M11:M12"/>
    <mergeCell ref="I11:I12"/>
    <mergeCell ref="A21:C23"/>
    <mergeCell ref="AT23:AY23"/>
    <mergeCell ref="U11:U12"/>
    <mergeCell ref="O11:S11"/>
    <mergeCell ref="AV5:AV12"/>
    <mergeCell ref="AY5:AY12"/>
    <mergeCell ref="AX5:AX12"/>
    <mergeCell ref="AH11:AS11"/>
    <mergeCell ref="AW5:AW12"/>
    <mergeCell ref="AH5:AU10"/>
    <mergeCell ref="AX1:AY1"/>
    <mergeCell ref="AX2:AY2"/>
    <mergeCell ref="AX3:AY3"/>
    <mergeCell ref="AX4:AY4"/>
    <mergeCell ref="A1:AW1"/>
    <mergeCell ref="A2:AW2"/>
    <mergeCell ref="A3:AW4"/>
    <mergeCell ref="H6:I6"/>
    <mergeCell ref="A10:C10"/>
    <mergeCell ref="D9:AG9"/>
    <mergeCell ref="D10:AG10"/>
    <mergeCell ref="L11:L12"/>
    <mergeCell ref="A5:AG5"/>
    <mergeCell ref="A6:C8"/>
    <mergeCell ref="D6:E8"/>
    <mergeCell ref="F6:G8"/>
    <mergeCell ref="AT11:AU11"/>
    <mergeCell ref="T11:T12"/>
    <mergeCell ref="N11:N12"/>
    <mergeCell ref="A11:F11"/>
    <mergeCell ref="H7:I7"/>
    <mergeCell ref="H8:I8"/>
    <mergeCell ref="A9:C9"/>
    <mergeCell ref="K6:U8"/>
  </mergeCells>
  <pageMargins left="0.7" right="0.7" top="0.75" bottom="0.75" header="0.3" footer="0.3"/>
  <pageSetup scale="16" orientation="landscape"/>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D341F55659C9A4985F05E4B957308E7" ma:contentTypeVersion="18" ma:contentTypeDescription="Crear nuevo documento." ma:contentTypeScope="" ma:versionID="19f09a357c6aa4575519426b6e1b12f5">
  <xsd:schema xmlns:xsd="http://www.w3.org/2001/XMLSchema" xmlns:xs="http://www.w3.org/2001/XMLSchema" xmlns:p="http://schemas.microsoft.com/office/2006/metadata/properties" xmlns:ns2="bfb5676e-0d71-42df-8fc5-13002709b90b" xmlns:ns3="f5e60779-6af5-4dde-a1c8-ebb5582c629e" targetNamespace="http://schemas.microsoft.com/office/2006/metadata/properties" ma:root="true" ma:fieldsID="ff187832e29258bde48f2b50cdaf9b0f" ns2:_="" ns3:_="">
    <xsd:import namespace="bfb5676e-0d71-42df-8fc5-13002709b90b"/>
    <xsd:import namespace="f5e60779-6af5-4dde-a1c8-ebb5582c629e"/>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AutoKeyPoints" minOccurs="0"/>
                <xsd:element ref="ns2:MediaServiceKeyPoints" minOccurs="0"/>
                <xsd:element ref="ns2:MediaServiceLocation"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b5676e-0d71-42df-8fc5-13002709b90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5e60779-6af5-4dde-a1c8-ebb5582c629e" elementFormDefault="qualified">
    <xsd:import namespace="http://schemas.microsoft.com/office/2006/documentManagement/types"/>
    <xsd:import namespace="http://schemas.microsoft.com/office/infopath/2007/PartnerControls"/>
    <xsd:element name="SharedWithUsers" ma:index="1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6691ca9c-6b0b-4471-b295-8a95b19cc813}" ma:internalName="TaxCatchAll" ma:showField="CatchAllData" ma:web="f5e60779-6af5-4dde-a1c8-ebb5582c629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7968C9-3991-48EF-9253-E38F54A9C8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b5676e-0d71-42df-8fc5-13002709b90b"/>
    <ds:schemaRef ds:uri="f5e60779-6af5-4dde-a1c8-ebb5582c62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A3D759-A891-49B9-8713-B8BEE339638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14</vt:i4>
      </vt:variant>
      <vt:variant>
        <vt:lpstr>Rangos con nombre</vt:lpstr>
      </vt:variant>
      <vt:variant>
        <vt:i4>8</vt:i4>
      </vt:variant>
    </vt:vector>
  </HeadingPairs>
  <TitlesOfParts>
    <vt:vector size="22" baseType="lpstr">
      <vt:lpstr>Meta 1</vt:lpstr>
      <vt:lpstr>Meta 2</vt:lpstr>
      <vt:lpstr>Meta 3</vt:lpstr>
      <vt:lpstr>Meta 4</vt:lpstr>
      <vt:lpstr>Meta 5</vt:lpstr>
      <vt:lpstr>Meta 1..n</vt:lpstr>
      <vt:lpstr>Meta 6</vt:lpstr>
      <vt:lpstr>Meta 7</vt:lpstr>
      <vt:lpstr>Indicadores PA</vt:lpstr>
      <vt:lpstr>Territorialización PA</vt:lpstr>
      <vt:lpstr>Instructivo</vt:lpstr>
      <vt:lpstr>Generalidades</vt:lpstr>
      <vt:lpstr>Hoja13</vt:lpstr>
      <vt:lpstr>Hoja1</vt:lpstr>
      <vt:lpstr>'Indicadores PA'!Área_de_impresión</vt:lpstr>
      <vt:lpstr>'Meta 1'!Área_de_impresión</vt:lpstr>
      <vt:lpstr>'Meta 2'!Área_de_impresión</vt:lpstr>
      <vt:lpstr>'Meta 3'!Área_de_impresión</vt:lpstr>
      <vt:lpstr>'Meta 4'!Área_de_impresión</vt:lpstr>
      <vt:lpstr>'Meta 5'!Área_de_impresión</vt:lpstr>
      <vt:lpstr>'Meta 6'!Área_de_impresión</vt:lpstr>
      <vt:lpstr>'Meta 7'!Área_de_impresión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fhinestroza</dc:creator>
  <cp:keywords/>
  <dc:description/>
  <cp:lastModifiedBy>Rafael Ronderos</cp:lastModifiedBy>
  <cp:revision/>
  <dcterms:created xsi:type="dcterms:W3CDTF">2011-04-26T22:16:52Z</dcterms:created>
  <dcterms:modified xsi:type="dcterms:W3CDTF">2023-11-15T18:29:37Z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0x010100CD66EF4D399EC643B805E1B81FD7DB08</vt:lpwstr>
  </property>
</Properties>
</file>