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drawings/drawing5.xml" ContentType="application/vnd.openxmlformats-officedocument.drawing+xml"/>
  <Override PartName="/xl/comments5.xml" ContentType="application/vnd.openxmlformats-officedocument.spreadsheetml.comments+xml"/>
  <Override PartName="/xl/drawings/drawing6.xml" ContentType="application/vnd.openxmlformats-officedocument.drawing+xml"/>
  <Override PartName="/xl/comments6.xml" ContentType="application/vnd.openxmlformats-officedocument.spreadsheetml.comments+xml"/>
  <Override PartName="/xl/drawings/drawing7.xml" ContentType="application/vnd.openxmlformats-officedocument.drawing+xml"/>
  <Override PartName="/xl/comments7.xml" ContentType="application/vnd.openxmlformats-officedocument.spreadsheetml.comments+xml"/>
  <Override PartName="/xl/drawings/drawing8.xml" ContentType="application/vnd.openxmlformats-officedocument.drawing+xml"/>
  <Override PartName="/xl/comments8.xml" ContentType="application/vnd.openxmlformats-officedocument.spreadsheetml.comments+xml"/>
  <Override PartName="/xl/comments9.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924"/>
  <workbookPr/>
  <mc:AlternateContent xmlns:mc="http://schemas.openxmlformats.org/markup-compatibility/2006">
    <mc:Choice Requires="x15">
      <x15ac:absPath xmlns:x15ac="http://schemas.microsoft.com/office/spreadsheetml/2010/11/ac" url="https://d.docs.live.net/4741d8437d87abd1/Documentos/SDMujer/Proyectos/7671/Plan de acción/Octubre/"/>
    </mc:Choice>
  </mc:AlternateContent>
  <xr:revisionPtr revIDLastSave="2" documentId="8_{FA3F5C5F-06F4-4703-B467-E985B72D2C68}" xr6:coauthVersionLast="47" xr6:coauthVersionMax="47" xr10:uidLastSave="{FE9F5C0E-0B9A-462B-81C6-DB3A65C1BD1C}"/>
  <bookViews>
    <workbookView xWindow="-108" yWindow="-108" windowWidth="23256" windowHeight="12456" tabRatio="734" activeTab="8" xr2:uid="{00000000-000D-0000-FFFF-FFFF00000000}"/>
  </bookViews>
  <sheets>
    <sheet name="Meta 1" sheetId="40" r:id="rId1"/>
    <sheet name="Meta 1..n" sheetId="1" state="hidden" r:id="rId2"/>
    <sheet name="Meta 2" sheetId="41" r:id="rId3"/>
    <sheet name="Meta 3" sheetId="42" r:id="rId4"/>
    <sheet name="Meta 4" sheetId="43" r:id="rId5"/>
    <sheet name="Meta 5" sheetId="47" r:id="rId6"/>
    <sheet name="Meta 6" sheetId="48" r:id="rId7"/>
    <sheet name="Meta 7" sheetId="46" r:id="rId8"/>
    <sheet name="Indicadores PA" sheetId="36" r:id="rId9"/>
    <sheet name="Territorialización PA" sheetId="37" r:id="rId10"/>
    <sheet name="Instructivo" sheetId="39" r:id="rId11"/>
    <sheet name="Generalidades" sheetId="38" r:id="rId12"/>
    <sheet name="Hoja13" sheetId="32" state="hidden" r:id="rId13"/>
    <sheet name="Hoja1" sheetId="20" state="hidden" r:id="rId14"/>
  </sheets>
  <definedNames>
    <definedName name="_xlnm._FilterDatabase" localSheetId="8" hidden="1">'Indicadores PA'!$A$12:$AY$23</definedName>
    <definedName name="_xlnm.Print_Area" localSheetId="8">'Indicadores PA'!$A$1:$AY$23</definedName>
    <definedName name="_xlnm.Print_Area" localSheetId="0">'Meta 1'!$A$1:$AD$49</definedName>
    <definedName name="_xlnm.Print_Area" localSheetId="2">'Meta 2'!$A$1:$AD$57</definedName>
    <definedName name="_xlnm.Print_Area" localSheetId="3">'Meta 3'!$A$1:$AD$45</definedName>
    <definedName name="_xlnm.Print_Area" localSheetId="4">'Meta 4'!$A$1:$AD$43</definedName>
    <definedName name="_xlnm.Print_Area" localSheetId="5">'Meta 5'!$A$1:$AD$39</definedName>
    <definedName name="_xlnm.Print_Area" localSheetId="6">'Meta 6'!$A$1:$AD$51</definedName>
    <definedName name="_xlnm.Print_Area" localSheetId="7">'Meta 7'!$A$1:$AD$41</definedName>
    <definedName name="_xlnm.Print_Area" localSheetId="9">'Territorialización PA'!$A$1:$BK$58</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AB24" i="46" l="1"/>
  <c r="AA24" i="46"/>
  <c r="Z24" i="46"/>
  <c r="AB24" i="48"/>
  <c r="AB24" i="47"/>
  <c r="AA24" i="47"/>
  <c r="Z24" i="47"/>
  <c r="AB24" i="43"/>
  <c r="AB24" i="42"/>
  <c r="AA24" i="42"/>
  <c r="Z24" i="42"/>
  <c r="Z22" i="42"/>
  <c r="AB24" i="41"/>
  <c r="AA24" i="41"/>
  <c r="Z24" i="41"/>
  <c r="AB24" i="40"/>
  <c r="AA24" i="40"/>
  <c r="Z24" i="40"/>
  <c r="P38" i="46"/>
  <c r="D58" i="46"/>
  <c r="P40" i="46"/>
  <c r="D60" i="46"/>
  <c r="F58" i="46"/>
  <c r="G58" i="46"/>
  <c r="H60" i="46"/>
  <c r="I58" i="46"/>
  <c r="I60" i="46"/>
  <c r="K58" i="46"/>
  <c r="L60" i="46"/>
  <c r="R25" i="46"/>
  <c r="R25" i="48"/>
  <c r="S25" i="48"/>
  <c r="R25" i="43"/>
  <c r="S25" i="43"/>
  <c r="Q25" i="42"/>
  <c r="R25" i="41"/>
  <c r="S25" i="41"/>
  <c r="R25" i="40"/>
  <c r="Y24" i="47"/>
  <c r="X24" i="47"/>
  <c r="Y24" i="42"/>
  <c r="X24" i="42"/>
  <c r="Y24" i="41"/>
  <c r="X24" i="41"/>
  <c r="C25" i="42"/>
  <c r="R23" i="46"/>
  <c r="S23" i="46"/>
  <c r="Q23" i="43"/>
  <c r="R23" i="42"/>
  <c r="Q23" i="41"/>
  <c r="Q23" i="40"/>
  <c r="P41" i="41"/>
  <c r="AC24" i="48"/>
  <c r="Q23" i="47"/>
  <c r="G24" i="42"/>
  <c r="C25" i="40"/>
  <c r="D25" i="40"/>
  <c r="D25" i="41"/>
  <c r="C24" i="41"/>
  <c r="AC22" i="46"/>
  <c r="AC22" i="42"/>
  <c r="D25" i="46"/>
  <c r="E25" i="46"/>
  <c r="F25" i="46"/>
  <c r="G25" i="46"/>
  <c r="O25" i="46"/>
  <c r="R25" i="47"/>
  <c r="B69" i="48"/>
  <c r="A69" i="48"/>
  <c r="B67" i="48"/>
  <c r="A67" i="48"/>
  <c r="B65" i="48"/>
  <c r="A65" i="48"/>
  <c r="B63" i="48"/>
  <c r="A63" i="48"/>
  <c r="B61" i="48"/>
  <c r="A61" i="48"/>
  <c r="B59" i="48"/>
  <c r="A59" i="48"/>
  <c r="B57" i="48"/>
  <c r="A57" i="48"/>
  <c r="P51" i="48"/>
  <c r="P50" i="48"/>
  <c r="P49" i="48"/>
  <c r="P48" i="48"/>
  <c r="P47" i="48"/>
  <c r="P46" i="48"/>
  <c r="O66" i="48"/>
  <c r="P45" i="48"/>
  <c r="P44" i="48"/>
  <c r="K63" i="48"/>
  <c r="P38" i="48"/>
  <c r="P40" i="48"/>
  <c r="P42" i="48"/>
  <c r="K61" i="48"/>
  <c r="P43" i="48"/>
  <c r="P41" i="48"/>
  <c r="P39" i="48"/>
  <c r="P39" i="47"/>
  <c r="P38" i="47"/>
  <c r="A34" i="47"/>
  <c r="P30" i="47"/>
  <c r="A30" i="47"/>
  <c r="O22" i="47"/>
  <c r="AC22" i="47"/>
  <c r="O23" i="47"/>
  <c r="P23" i="47"/>
  <c r="O24" i="47"/>
  <c r="AC24" i="47"/>
  <c r="O25" i="47"/>
  <c r="P25" i="47"/>
  <c r="A57" i="47"/>
  <c r="B57" i="47"/>
  <c r="C24" i="40"/>
  <c r="D24" i="40"/>
  <c r="Q24" i="42"/>
  <c r="R24" i="42"/>
  <c r="Q23" i="48"/>
  <c r="R23" i="48"/>
  <c r="AC22" i="40"/>
  <c r="F24" i="42"/>
  <c r="Q68" i="42"/>
  <c r="R68" i="42"/>
  <c r="R67" i="42"/>
  <c r="Q66" i="42"/>
  <c r="R66" i="42"/>
  <c r="R65" i="42"/>
  <c r="B63" i="42"/>
  <c r="A63" i="42"/>
  <c r="B61" i="42"/>
  <c r="A61" i="42"/>
  <c r="B59" i="42"/>
  <c r="A59" i="42"/>
  <c r="B57" i="42"/>
  <c r="A57" i="42"/>
  <c r="B61" i="43"/>
  <c r="A61" i="43"/>
  <c r="B59" i="43"/>
  <c r="A59" i="43"/>
  <c r="B57" i="43"/>
  <c r="A57" i="43"/>
  <c r="B59" i="46"/>
  <c r="A59" i="46"/>
  <c r="B57" i="46"/>
  <c r="A57" i="46"/>
  <c r="B67" i="40"/>
  <c r="A67" i="40"/>
  <c r="P46" i="40"/>
  <c r="L65" i="40"/>
  <c r="B65" i="40"/>
  <c r="A65" i="40"/>
  <c r="B63" i="40"/>
  <c r="A63" i="40"/>
  <c r="B61" i="40"/>
  <c r="A61" i="40"/>
  <c r="B59" i="40"/>
  <c r="A59" i="40"/>
  <c r="B57" i="40"/>
  <c r="A57" i="40"/>
  <c r="B82" i="41"/>
  <c r="A82" i="41"/>
  <c r="B80" i="41"/>
  <c r="A80" i="41"/>
  <c r="B78" i="41"/>
  <c r="A78" i="41"/>
  <c r="B76" i="41"/>
  <c r="A76" i="41"/>
  <c r="B74" i="41"/>
  <c r="A74" i="41"/>
  <c r="B72" i="41"/>
  <c r="A72" i="41"/>
  <c r="B70" i="41"/>
  <c r="A70" i="41"/>
  <c r="B68" i="41"/>
  <c r="A68" i="41"/>
  <c r="B66" i="41"/>
  <c r="A66" i="41"/>
  <c r="B64" i="41"/>
  <c r="A64" i="41"/>
  <c r="C24" i="46"/>
  <c r="O24" i="46"/>
  <c r="O24" i="41"/>
  <c r="P49" i="40"/>
  <c r="P48" i="40"/>
  <c r="P47" i="40"/>
  <c r="P45" i="40"/>
  <c r="P44" i="40"/>
  <c r="E64" i="40"/>
  <c r="O25" i="48"/>
  <c r="P25" i="48"/>
  <c r="O24" i="48"/>
  <c r="O23" i="48"/>
  <c r="P23" i="48"/>
  <c r="AC22" i="48"/>
  <c r="O22" i="48"/>
  <c r="A30" i="48"/>
  <c r="P30" i="48"/>
  <c r="P57" i="41"/>
  <c r="P56" i="41"/>
  <c r="H82" i="41"/>
  <c r="P55" i="41"/>
  <c r="P54" i="41"/>
  <c r="E80" i="41"/>
  <c r="P53" i="41"/>
  <c r="P52" i="41"/>
  <c r="P51" i="41"/>
  <c r="P50" i="41"/>
  <c r="N77" i="41"/>
  <c r="P49" i="41"/>
  <c r="P48" i="41"/>
  <c r="N75" i="41"/>
  <c r="P47" i="41"/>
  <c r="P46" i="41"/>
  <c r="H73" i="41"/>
  <c r="P41" i="46"/>
  <c r="P39" i="46"/>
  <c r="P30" i="46"/>
  <c r="AC24" i="46"/>
  <c r="O23" i="46"/>
  <c r="P23" i="46"/>
  <c r="O22" i="46"/>
  <c r="AC24" i="43"/>
  <c r="AC22" i="43"/>
  <c r="P43" i="43"/>
  <c r="P42" i="43"/>
  <c r="G61" i="43"/>
  <c r="P41" i="43"/>
  <c r="P40" i="43"/>
  <c r="P39" i="43"/>
  <c r="P38" i="43"/>
  <c r="J57" i="43"/>
  <c r="P30" i="43"/>
  <c r="O25" i="43"/>
  <c r="P25" i="43"/>
  <c r="O24" i="43"/>
  <c r="O23" i="43"/>
  <c r="P23" i="43"/>
  <c r="O22" i="43"/>
  <c r="D24" i="42"/>
  <c r="O24" i="42"/>
  <c r="P45" i="42"/>
  <c r="P44" i="42"/>
  <c r="O63" i="42"/>
  <c r="P38" i="42"/>
  <c r="P40" i="42"/>
  <c r="D59" i="42"/>
  <c r="P42" i="42"/>
  <c r="J61" i="42"/>
  <c r="P43" i="42"/>
  <c r="P41" i="42"/>
  <c r="P39" i="42"/>
  <c r="P30" i="42"/>
  <c r="O23" i="42"/>
  <c r="P23" i="42"/>
  <c r="O22" i="42"/>
  <c r="W24" i="41"/>
  <c r="V24" i="41"/>
  <c r="U24" i="41"/>
  <c r="T24" i="41"/>
  <c r="S24" i="41"/>
  <c r="R24" i="41"/>
  <c r="P45" i="41"/>
  <c r="P44" i="41"/>
  <c r="K70" i="41"/>
  <c r="P43" i="41"/>
  <c r="P42" i="41"/>
  <c r="H68" i="41"/>
  <c r="P40" i="41"/>
  <c r="L67" i="41"/>
  <c r="P39" i="41"/>
  <c r="P38" i="41"/>
  <c r="J65" i="41"/>
  <c r="P30" i="41"/>
  <c r="O23" i="41"/>
  <c r="P23" i="41"/>
  <c r="AC22" i="41"/>
  <c r="O22" i="41"/>
  <c r="Y24" i="40"/>
  <c r="X24" i="40"/>
  <c r="W24" i="40"/>
  <c r="V24" i="40"/>
  <c r="U24" i="40"/>
  <c r="R24" i="40"/>
  <c r="S24" i="40"/>
  <c r="T24" i="40"/>
  <c r="BK58" i="37"/>
  <c r="BJ58" i="37"/>
  <c r="BI58" i="37"/>
  <c r="BH58" i="37"/>
  <c r="BG58" i="37"/>
  <c r="BF58" i="37"/>
  <c r="BE58" i="37"/>
  <c r="BD58" i="37"/>
  <c r="BC58" i="37"/>
  <c r="BB58" i="37"/>
  <c r="BA58" i="37"/>
  <c r="AZ58" i="37"/>
  <c r="AW58" i="37"/>
  <c r="AV58" i="37"/>
  <c r="AU58" i="37"/>
  <c r="AT58" i="37"/>
  <c r="AS58" i="37"/>
  <c r="AR58" i="37"/>
  <c r="AQ58" i="37"/>
  <c r="AP58" i="37"/>
  <c r="AO58" i="37"/>
  <c r="AN58" i="37"/>
  <c r="AM58" i="37"/>
  <c r="AL58" i="37"/>
  <c r="AK58" i="37"/>
  <c r="AJ58" i="37"/>
  <c r="AI58" i="37"/>
  <c r="AH58" i="37"/>
  <c r="AE58" i="37"/>
  <c r="AD58" i="37"/>
  <c r="AC58" i="37"/>
  <c r="AB58" i="37"/>
  <c r="AA58" i="37"/>
  <c r="Z58" i="37"/>
  <c r="Y58" i="37"/>
  <c r="X58" i="37"/>
  <c r="W58" i="37"/>
  <c r="V58" i="37"/>
  <c r="U58" i="37"/>
  <c r="T58" i="37"/>
  <c r="Q58" i="37"/>
  <c r="P58" i="37"/>
  <c r="O58" i="37"/>
  <c r="N58" i="37"/>
  <c r="M58" i="37"/>
  <c r="L58" i="37"/>
  <c r="K58" i="37"/>
  <c r="J58" i="37"/>
  <c r="I58" i="37"/>
  <c r="H58" i="37"/>
  <c r="G58" i="37"/>
  <c r="F58" i="37"/>
  <c r="E58" i="37"/>
  <c r="D58" i="37"/>
  <c r="C58" i="37"/>
  <c r="B58" i="37"/>
  <c r="AY57" i="37"/>
  <c r="AX57" i="37"/>
  <c r="S57" i="37"/>
  <c r="R57" i="37"/>
  <c r="AY56" i="37"/>
  <c r="AX56" i="37"/>
  <c r="S56" i="37"/>
  <c r="R56" i="37"/>
  <c r="AY55" i="37"/>
  <c r="AX55" i="37"/>
  <c r="S55" i="37"/>
  <c r="R55" i="37"/>
  <c r="AY54" i="37"/>
  <c r="AX54" i="37"/>
  <c r="S54" i="37"/>
  <c r="R54" i="37"/>
  <c r="AY53" i="37"/>
  <c r="AX53" i="37"/>
  <c r="S53" i="37"/>
  <c r="R53" i="37"/>
  <c r="AY52" i="37"/>
  <c r="AX52" i="37"/>
  <c r="S52" i="37"/>
  <c r="R52" i="37"/>
  <c r="AY51" i="37"/>
  <c r="AX51" i="37"/>
  <c r="S51" i="37"/>
  <c r="R51" i="37"/>
  <c r="AY50" i="37"/>
  <c r="AX50" i="37"/>
  <c r="S50" i="37"/>
  <c r="R50" i="37"/>
  <c r="AY49" i="37"/>
  <c r="AX49" i="37"/>
  <c r="S49" i="37"/>
  <c r="R49" i="37"/>
  <c r="AY48" i="37"/>
  <c r="AX48" i="37"/>
  <c r="S48" i="37"/>
  <c r="R48" i="37"/>
  <c r="AY47" i="37"/>
  <c r="AX47" i="37"/>
  <c r="S47" i="37"/>
  <c r="R47" i="37"/>
  <c r="AY46" i="37"/>
  <c r="AX46" i="37"/>
  <c r="S46" i="37"/>
  <c r="R46" i="37"/>
  <c r="AY45" i="37"/>
  <c r="AX45" i="37"/>
  <c r="S45" i="37"/>
  <c r="R45" i="37"/>
  <c r="AY44" i="37"/>
  <c r="AX44" i="37"/>
  <c r="S44" i="37"/>
  <c r="R44" i="37"/>
  <c r="AY43" i="37"/>
  <c r="AX43" i="37"/>
  <c r="S43" i="37"/>
  <c r="R43" i="37"/>
  <c r="AY42" i="37"/>
  <c r="AX42" i="37"/>
  <c r="S42" i="37"/>
  <c r="R42" i="37"/>
  <c r="AY41" i="37"/>
  <c r="AX41" i="37"/>
  <c r="S41" i="37"/>
  <c r="R41" i="37"/>
  <c r="AY40" i="37"/>
  <c r="AX40" i="37"/>
  <c r="S40" i="37"/>
  <c r="S37" i="37"/>
  <c r="S38" i="37"/>
  <c r="S58" i="37"/>
  <c r="S39" i="37"/>
  <c r="R40" i="37"/>
  <c r="R37" i="37"/>
  <c r="R38" i="37"/>
  <c r="R39" i="37"/>
  <c r="AY39" i="37"/>
  <c r="AX39" i="37"/>
  <c r="AY38" i="37"/>
  <c r="AY58" i="37"/>
  <c r="AX38" i="37"/>
  <c r="AX37" i="37"/>
  <c r="AX58" i="37"/>
  <c r="AY37" i="37"/>
  <c r="AW32" i="37"/>
  <c r="AV32" i="37"/>
  <c r="AU32" i="37"/>
  <c r="AT32" i="37"/>
  <c r="AS32" i="37"/>
  <c r="AR32" i="37"/>
  <c r="AQ32" i="37"/>
  <c r="AP32" i="37"/>
  <c r="AO32" i="37"/>
  <c r="AN32" i="37"/>
  <c r="AM32" i="37"/>
  <c r="AL32" i="37"/>
  <c r="AK32" i="37"/>
  <c r="AJ32" i="37"/>
  <c r="AI32" i="37"/>
  <c r="AH32" i="37"/>
  <c r="Q32" i="37"/>
  <c r="M32" i="37"/>
  <c r="I32" i="37"/>
  <c r="E32" i="37"/>
  <c r="AY12" i="37"/>
  <c r="AY11" i="37"/>
  <c r="AY13" i="37"/>
  <c r="AY14" i="37"/>
  <c r="AY15" i="37"/>
  <c r="AY16" i="37"/>
  <c r="AY17" i="37"/>
  <c r="AY18" i="37"/>
  <c r="AY19" i="37"/>
  <c r="AY20" i="37"/>
  <c r="AY21" i="37"/>
  <c r="AY22" i="37"/>
  <c r="AY23" i="37"/>
  <c r="AY24" i="37"/>
  <c r="AY25" i="37"/>
  <c r="AY26" i="37"/>
  <c r="AY27" i="37"/>
  <c r="AY28" i="37"/>
  <c r="AY29" i="37"/>
  <c r="AY30" i="37"/>
  <c r="AY31" i="37"/>
  <c r="S12" i="37"/>
  <c r="S11" i="37"/>
  <c r="S13" i="37"/>
  <c r="S14" i="37"/>
  <c r="S15" i="37"/>
  <c r="S16" i="37"/>
  <c r="S17" i="37"/>
  <c r="S18" i="37"/>
  <c r="S19" i="37"/>
  <c r="S20" i="37"/>
  <c r="S21" i="37"/>
  <c r="S22" i="37"/>
  <c r="S23" i="37"/>
  <c r="S24" i="37"/>
  <c r="S25" i="37"/>
  <c r="S26" i="37"/>
  <c r="S27" i="37"/>
  <c r="S28" i="37"/>
  <c r="S29" i="37"/>
  <c r="S30" i="37"/>
  <c r="S31" i="37"/>
  <c r="J32" i="37"/>
  <c r="K32" i="37"/>
  <c r="L32" i="37"/>
  <c r="AX14" i="37"/>
  <c r="AX15" i="37"/>
  <c r="AX16" i="37"/>
  <c r="AX17" i="37"/>
  <c r="AX18" i="37"/>
  <c r="AX19" i="37"/>
  <c r="AX20" i="37"/>
  <c r="AX21" i="37"/>
  <c r="AX22" i="37"/>
  <c r="AT14" i="36"/>
  <c r="AU14" i="36"/>
  <c r="AT15" i="36"/>
  <c r="AU15" i="36"/>
  <c r="AT16" i="36"/>
  <c r="AU16" i="36"/>
  <c r="AT17" i="36"/>
  <c r="AU17" i="36"/>
  <c r="AT18" i="36"/>
  <c r="AU18" i="36"/>
  <c r="AT19" i="36"/>
  <c r="AU19" i="36"/>
  <c r="AT13" i="36"/>
  <c r="AU13" i="36"/>
  <c r="O23" i="40"/>
  <c r="P23" i="40"/>
  <c r="T32" i="37"/>
  <c r="U32" i="37"/>
  <c r="V32" i="37"/>
  <c r="W32" i="37"/>
  <c r="X32" i="37"/>
  <c r="AZ32" i="37"/>
  <c r="BA32" i="37"/>
  <c r="BB32" i="37"/>
  <c r="BC32" i="37"/>
  <c r="BD32" i="37"/>
  <c r="BE32" i="37"/>
  <c r="O22" i="40"/>
  <c r="P43" i="40"/>
  <c r="P42" i="40"/>
  <c r="K62" i="40"/>
  <c r="P41" i="40"/>
  <c r="P40" i="40"/>
  <c r="F60" i="40"/>
  <c r="P39" i="40"/>
  <c r="P38" i="40"/>
  <c r="K57" i="40"/>
  <c r="P30" i="40"/>
  <c r="P28" i="1"/>
  <c r="P24" i="1"/>
  <c r="AX12" i="37"/>
  <c r="AX11" i="37"/>
  <c r="AX13" i="37"/>
  <c r="AX23" i="37"/>
  <c r="AX24" i="37"/>
  <c r="AX25" i="37"/>
  <c r="AX26" i="37"/>
  <c r="AX27" i="37"/>
  <c r="AX28" i="37"/>
  <c r="AX29" i="37"/>
  <c r="AX30" i="37"/>
  <c r="AX31" i="37"/>
  <c r="R12" i="37"/>
  <c r="R13" i="37"/>
  <c r="R14" i="37"/>
  <c r="R15" i="37"/>
  <c r="R16" i="37"/>
  <c r="R17" i="37"/>
  <c r="R18" i="37"/>
  <c r="R19" i="37"/>
  <c r="R11" i="37"/>
  <c r="R20" i="37"/>
  <c r="R21" i="37"/>
  <c r="R22" i="37"/>
  <c r="R23" i="37"/>
  <c r="R24" i="37"/>
  <c r="R25" i="37"/>
  <c r="R26" i="37"/>
  <c r="R27" i="37"/>
  <c r="R28" i="37"/>
  <c r="R29" i="37"/>
  <c r="R30" i="37"/>
  <c r="R31" i="37"/>
  <c r="C32" i="37"/>
  <c r="D32" i="37"/>
  <c r="F32" i="37"/>
  <c r="G32" i="37"/>
  <c r="H32" i="37"/>
  <c r="N32" i="37"/>
  <c r="O32" i="37"/>
  <c r="P32" i="37"/>
  <c r="Y32" i="37"/>
  <c r="Z32" i="37"/>
  <c r="AA32" i="37"/>
  <c r="AB32" i="37"/>
  <c r="AC32" i="37"/>
  <c r="AD32" i="37"/>
  <c r="AE32" i="37"/>
  <c r="B32" i="37"/>
  <c r="BK32" i="37"/>
  <c r="BJ32" i="37"/>
  <c r="BI32" i="37"/>
  <c r="BH32" i="37"/>
  <c r="BG32" i="37"/>
  <c r="BF32" i="37"/>
  <c r="P29" i="1"/>
  <c r="P32" i="1"/>
  <c r="P34" i="1"/>
  <c r="P35" i="1"/>
  <c r="P36" i="1"/>
  <c r="P37" i="1"/>
  <c r="P38" i="1"/>
  <c r="P39" i="1"/>
  <c r="N4" i="20"/>
  <c r="N3" i="20"/>
  <c r="F8" i="20"/>
  <c r="F7" i="20"/>
  <c r="J7" i="20"/>
  <c r="J6" i="20"/>
  <c r="J5" i="20"/>
  <c r="J4" i="20"/>
  <c r="J3" i="20"/>
  <c r="F6" i="20"/>
  <c r="F5" i="20"/>
  <c r="F4" i="20"/>
  <c r="F3" i="20"/>
  <c r="P33" i="1"/>
  <c r="G79" i="41"/>
  <c r="N68" i="40"/>
  <c r="O67" i="40"/>
  <c r="J67" i="40"/>
  <c r="M67" i="40"/>
  <c r="F68" i="40"/>
  <c r="M68" i="40"/>
  <c r="E62" i="42"/>
  <c r="N57" i="48"/>
  <c r="E57" i="48"/>
  <c r="F60" i="48"/>
  <c r="F64" i="48"/>
  <c r="F68" i="48"/>
  <c r="J61" i="48"/>
  <c r="M59" i="48"/>
  <c r="L66" i="48"/>
  <c r="G70" i="48"/>
  <c r="K67" i="48"/>
  <c r="H65" i="48"/>
  <c r="F57" i="48"/>
  <c r="F67" i="48"/>
  <c r="L60" i="48"/>
  <c r="D68" i="48"/>
  <c r="O59" i="48"/>
  <c r="G60" i="48"/>
  <c r="M60" i="48"/>
  <c r="O60" i="48"/>
  <c r="I60" i="48"/>
  <c r="I68" i="48"/>
  <c r="K68" i="48"/>
  <c r="H59" i="48"/>
  <c r="I59" i="48"/>
  <c r="I67" i="48"/>
  <c r="O78" i="41"/>
  <c r="H78" i="41"/>
  <c r="F78" i="41"/>
  <c r="E78" i="41"/>
  <c r="D79" i="41"/>
  <c r="K79" i="41"/>
  <c r="M79" i="41"/>
  <c r="J78" i="41"/>
  <c r="F71" i="41"/>
  <c r="J58" i="43"/>
  <c r="E63" i="48"/>
  <c r="N64" i="48"/>
  <c r="I57" i="48"/>
  <c r="O58" i="48"/>
  <c r="L58" i="48"/>
  <c r="M68" i="48"/>
  <c r="J60" i="43"/>
  <c r="H83" i="41"/>
  <c r="N67" i="40"/>
  <c r="H67" i="40"/>
  <c r="E57" i="46"/>
  <c r="D57" i="46"/>
  <c r="L69" i="41"/>
  <c r="I72" i="41"/>
  <c r="E65" i="41"/>
  <c r="G82" i="41"/>
  <c r="E60" i="48"/>
  <c r="E68" i="48"/>
  <c r="L68" i="48"/>
  <c r="G67" i="48"/>
  <c r="O67" i="48"/>
  <c r="J67" i="48"/>
  <c r="L67" i="48"/>
  <c r="G68" i="48"/>
  <c r="J68" i="48"/>
  <c r="E67" i="48"/>
  <c r="H67" i="48"/>
  <c r="N67" i="48"/>
  <c r="H57" i="47"/>
  <c r="H68" i="47"/>
  <c r="H69" i="47"/>
  <c r="H34" i="47"/>
  <c r="J57" i="47"/>
  <c r="J68" i="47"/>
  <c r="J69" i="47"/>
  <c r="J34" i="47"/>
  <c r="F57" i="47"/>
  <c r="F68" i="47"/>
  <c r="F69" i="47"/>
  <c r="F34" i="47"/>
  <c r="L57" i="47"/>
  <c r="L68" i="47"/>
  <c r="L69" i="47"/>
  <c r="L34" i="47"/>
  <c r="H58" i="47"/>
  <c r="K57" i="47"/>
  <c r="K68" i="47"/>
  <c r="K69" i="47"/>
  <c r="K34" i="47"/>
  <c r="L58" i="47"/>
  <c r="L65" i="47"/>
  <c r="L66" i="47"/>
  <c r="L35" i="47"/>
  <c r="N69" i="48"/>
  <c r="L57" i="43"/>
  <c r="H60" i="48"/>
  <c r="H64" i="48"/>
  <c r="D60" i="48"/>
  <c r="N59" i="48"/>
  <c r="F66" i="40"/>
  <c r="J59" i="48"/>
  <c r="J60" i="48"/>
  <c r="D67" i="48"/>
  <c r="G64" i="40"/>
  <c r="J64" i="40"/>
  <c r="I64" i="40"/>
  <c r="F63" i="40"/>
  <c r="O63" i="40"/>
  <c r="O64" i="41"/>
  <c r="D61" i="42"/>
  <c r="O62" i="42"/>
  <c r="M62" i="42"/>
  <c r="H63" i="48"/>
  <c r="D62" i="48"/>
  <c r="M64" i="48"/>
  <c r="I64" i="48"/>
  <c r="D64" i="48"/>
  <c r="E64" i="48"/>
  <c r="P64" i="48"/>
  <c r="G64" i="48"/>
  <c r="J64" i="48"/>
  <c r="K64" i="48"/>
  <c r="L64" i="48"/>
  <c r="O64" i="48"/>
  <c r="F63" i="48"/>
  <c r="G62" i="48"/>
  <c r="M62" i="48"/>
  <c r="D76" i="41"/>
  <c r="E57" i="42"/>
  <c r="F73" i="41"/>
  <c r="I63" i="48"/>
  <c r="O61" i="48"/>
  <c r="G77" i="41"/>
  <c r="G63" i="48"/>
  <c r="M62" i="43"/>
  <c r="N63" i="48"/>
  <c r="O63" i="48"/>
  <c r="N76" i="41"/>
  <c r="M63" i="48"/>
  <c r="O77" i="41"/>
  <c r="L63" i="48"/>
  <c r="D63" i="48"/>
  <c r="O65" i="40"/>
  <c r="J63" i="48"/>
  <c r="O57" i="43"/>
  <c r="H57" i="46"/>
  <c r="L77" i="41"/>
  <c r="F76" i="41"/>
  <c r="I77" i="41"/>
  <c r="E63" i="40"/>
  <c r="I61" i="42"/>
  <c r="G66" i="40"/>
  <c r="M66" i="40"/>
  <c r="N68" i="41"/>
  <c r="I64" i="41"/>
  <c r="F64" i="41"/>
  <c r="K67" i="40"/>
  <c r="I68" i="40"/>
  <c r="H68" i="40"/>
  <c r="D68" i="40"/>
  <c r="E68" i="40"/>
  <c r="L68" i="40"/>
  <c r="L67" i="40"/>
  <c r="D67" i="40"/>
  <c r="E67" i="40"/>
  <c r="I61" i="48"/>
  <c r="O62" i="48"/>
  <c r="J62" i="48"/>
  <c r="H62" i="48"/>
  <c r="F59" i="48"/>
  <c r="E59" i="48"/>
  <c r="L69" i="48"/>
  <c r="G69" i="48"/>
  <c r="O57" i="42"/>
  <c r="H61" i="48"/>
  <c r="N61" i="48"/>
  <c r="H66" i="40"/>
  <c r="H58" i="48"/>
  <c r="J57" i="48"/>
  <c r="L62" i="48"/>
  <c r="G61" i="48"/>
  <c r="I78" i="41"/>
  <c r="N63" i="40"/>
  <c r="D57" i="47"/>
  <c r="N57" i="47"/>
  <c r="N68" i="47"/>
  <c r="N69" i="47"/>
  <c r="N34" i="47"/>
  <c r="O57" i="47"/>
  <c r="O68" i="47"/>
  <c r="O69" i="47"/>
  <c r="O34" i="47"/>
  <c r="M58" i="42"/>
  <c r="E62" i="48"/>
  <c r="K62" i="48"/>
  <c r="F61" i="48"/>
  <c r="F62" i="48"/>
  <c r="G73" i="41"/>
  <c r="I58" i="42"/>
  <c r="D61" i="48"/>
  <c r="P61" i="48"/>
  <c r="R61" i="48"/>
  <c r="E61" i="48"/>
  <c r="E81" i="41"/>
  <c r="F81" i="41"/>
  <c r="G66" i="48"/>
  <c r="H66" i="48"/>
  <c r="N62" i="48"/>
  <c r="M61" i="48"/>
  <c r="N65" i="41"/>
  <c r="J58" i="47"/>
  <c r="J65" i="47"/>
  <c r="J66" i="47"/>
  <c r="J35" i="47"/>
  <c r="I62" i="48"/>
  <c r="L61" i="48"/>
  <c r="G62" i="42"/>
  <c r="H62" i="42"/>
  <c r="E61" i="42"/>
  <c r="O68" i="48"/>
  <c r="M67" i="48"/>
  <c r="N68" i="48"/>
  <c r="H68" i="48"/>
  <c r="K58" i="43"/>
  <c r="G58" i="43"/>
  <c r="J57" i="46"/>
  <c r="O57" i="46"/>
  <c r="F57" i="46"/>
  <c r="L57" i="46"/>
  <c r="N72" i="41"/>
  <c r="H72" i="41"/>
  <c r="G60" i="43"/>
  <c r="F59" i="43"/>
  <c r="I59" i="46"/>
  <c r="E59" i="46"/>
  <c r="N59" i="46"/>
  <c r="K59" i="46"/>
  <c r="D68" i="47"/>
  <c r="D69" i="47"/>
  <c r="D34" i="47"/>
  <c r="K63" i="42"/>
  <c r="O64" i="42"/>
  <c r="D63" i="42"/>
  <c r="L59" i="46"/>
  <c r="O60" i="46"/>
  <c r="H59" i="46"/>
  <c r="H68" i="46"/>
  <c r="H69" i="46"/>
  <c r="H34" i="46"/>
  <c r="O59" i="46"/>
  <c r="M60" i="46"/>
  <c r="D59" i="46"/>
  <c r="G59" i="46"/>
  <c r="G68" i="46"/>
  <c r="G69" i="46"/>
  <c r="G34" i="46"/>
  <c r="K62" i="43"/>
  <c r="L61" i="43"/>
  <c r="H61" i="43"/>
  <c r="I62" i="43"/>
  <c r="J61" i="43"/>
  <c r="K61" i="43"/>
  <c r="N61" i="43"/>
  <c r="O61" i="43"/>
  <c r="M77" i="41"/>
  <c r="G76" i="41"/>
  <c r="L76" i="41"/>
  <c r="I76" i="41"/>
  <c r="E76" i="41"/>
  <c r="J77" i="41"/>
  <c r="K77" i="41"/>
  <c r="M76" i="41"/>
  <c r="H77" i="41"/>
  <c r="N65" i="48"/>
  <c r="M65" i="48"/>
  <c r="E66" i="48"/>
  <c r="D66" i="48"/>
  <c r="K66" i="48"/>
  <c r="L65" i="48"/>
  <c r="O65" i="48"/>
  <c r="J65" i="48"/>
  <c r="J69" i="48"/>
  <c r="I65" i="48"/>
  <c r="J66" i="48"/>
  <c r="M66" i="48"/>
  <c r="G65" i="48"/>
  <c r="F65" i="48"/>
  <c r="F69" i="48"/>
  <c r="E65" i="48"/>
  <c r="D65" i="48"/>
  <c r="N66" i="48"/>
  <c r="I70" i="48"/>
  <c r="K70" i="48"/>
  <c r="O69" i="48"/>
  <c r="D69" i="48"/>
  <c r="F70" i="48"/>
  <c r="M69" i="48"/>
  <c r="K69" i="48"/>
  <c r="O70" i="48"/>
  <c r="E69" i="48"/>
  <c r="D70" i="48"/>
  <c r="E70" i="48"/>
  <c r="N70" i="48"/>
  <c r="L70" i="48"/>
  <c r="M70" i="48"/>
  <c r="H69" i="48"/>
  <c r="S25" i="47"/>
  <c r="T25" i="47"/>
  <c r="U25" i="47"/>
  <c r="F58" i="48"/>
  <c r="D58" i="48"/>
  <c r="H57" i="48"/>
  <c r="J58" i="48"/>
  <c r="I58" i="48"/>
  <c r="K58" i="48"/>
  <c r="D57" i="48"/>
  <c r="O57" i="48"/>
  <c r="L57" i="48"/>
  <c r="N58" i="48"/>
  <c r="G57" i="48"/>
  <c r="M57" i="48"/>
  <c r="K57" i="48"/>
  <c r="G58" i="48"/>
  <c r="M58" i="48"/>
  <c r="E58" i="48"/>
  <c r="E58" i="47"/>
  <c r="E65" i="47"/>
  <c r="E66" i="47"/>
  <c r="E35" i="47"/>
  <c r="G57" i="47"/>
  <c r="G68" i="47"/>
  <c r="G69" i="47"/>
  <c r="G34" i="47"/>
  <c r="D58" i="47"/>
  <c r="D65" i="47"/>
  <c r="D66" i="47"/>
  <c r="D35" i="47"/>
  <c r="N58" i="47"/>
  <c r="N65" i="47"/>
  <c r="N66" i="47"/>
  <c r="N35" i="47"/>
  <c r="F58" i="47"/>
  <c r="F65" i="47"/>
  <c r="F66" i="47"/>
  <c r="F35" i="47"/>
  <c r="M58" i="47"/>
  <c r="M65" i="47"/>
  <c r="M66" i="47"/>
  <c r="M35" i="47"/>
  <c r="I58" i="47"/>
  <c r="I65" i="47"/>
  <c r="I66" i="47"/>
  <c r="I35" i="47"/>
  <c r="O58" i="47"/>
  <c r="O65" i="47"/>
  <c r="O66" i="47"/>
  <c r="O35" i="47"/>
  <c r="K58" i="47"/>
  <c r="K65" i="47"/>
  <c r="K66" i="47"/>
  <c r="K35" i="47"/>
  <c r="G58" i="47"/>
  <c r="G65" i="47"/>
  <c r="G66" i="47"/>
  <c r="M57" i="47"/>
  <c r="M68" i="47"/>
  <c r="M69" i="47"/>
  <c r="M34" i="47"/>
  <c r="I57" i="47"/>
  <c r="I68" i="47"/>
  <c r="I69" i="47"/>
  <c r="I34" i="47"/>
  <c r="E57" i="47"/>
  <c r="E68" i="47"/>
  <c r="E69" i="47"/>
  <c r="E34" i="47"/>
  <c r="F65" i="40"/>
  <c r="K65" i="40"/>
  <c r="D65" i="40"/>
  <c r="I65" i="40"/>
  <c r="J65" i="40"/>
  <c r="E65" i="40"/>
  <c r="O66" i="40"/>
  <c r="N66" i="40"/>
  <c r="H65" i="40"/>
  <c r="E25" i="41"/>
  <c r="F25" i="41"/>
  <c r="R23" i="47"/>
  <c r="S23" i="47"/>
  <c r="M82" i="41"/>
  <c r="N83" i="41"/>
  <c r="H76" i="41"/>
  <c r="L58" i="43"/>
  <c r="E64" i="41"/>
  <c r="L72" i="41"/>
  <c r="M73" i="41"/>
  <c r="I82" i="41"/>
  <c r="J74" i="41"/>
  <c r="H67" i="41"/>
  <c r="L74" i="41"/>
  <c r="E82" i="41"/>
  <c r="K82" i="41"/>
  <c r="J83" i="41"/>
  <c r="M83" i="41"/>
  <c r="E74" i="41"/>
  <c r="G57" i="43"/>
  <c r="J76" i="41"/>
  <c r="K76" i="41"/>
  <c r="O76" i="41"/>
  <c r="N82" i="41"/>
  <c r="F77" i="41"/>
  <c r="M58" i="43"/>
  <c r="D82" i="41"/>
  <c r="E57" i="43"/>
  <c r="H75" i="41"/>
  <c r="H57" i="43"/>
  <c r="G83" i="41"/>
  <c r="O75" i="41"/>
  <c r="G74" i="41"/>
  <c r="L82" i="41"/>
  <c r="F67" i="41"/>
  <c r="I74" i="41"/>
  <c r="K74" i="41"/>
  <c r="O82" i="41"/>
  <c r="O24" i="40"/>
  <c r="N57" i="43"/>
  <c r="J69" i="41"/>
  <c r="E58" i="43"/>
  <c r="M61" i="43"/>
  <c r="E61" i="43"/>
  <c r="D64" i="40"/>
  <c r="N64" i="40"/>
  <c r="F58" i="43"/>
  <c r="F66" i="41"/>
  <c r="N67" i="41"/>
  <c r="F64" i="42"/>
  <c r="H63" i="42"/>
  <c r="M63" i="42"/>
  <c r="M59" i="46"/>
  <c r="J59" i="46"/>
  <c r="N60" i="46"/>
  <c r="F59" i="46"/>
  <c r="F68" i="46"/>
  <c r="F69" i="46"/>
  <c r="F34" i="46"/>
  <c r="N74" i="41"/>
  <c r="D74" i="41"/>
  <c r="H74" i="41"/>
  <c r="L75" i="41"/>
  <c r="E75" i="41"/>
  <c r="L79" i="41"/>
  <c r="D78" i="41"/>
  <c r="N79" i="41"/>
  <c r="F79" i="41"/>
  <c r="K78" i="41"/>
  <c r="J79" i="41"/>
  <c r="I79" i="41"/>
  <c r="I83" i="41"/>
  <c r="K83" i="41"/>
  <c r="O83" i="41"/>
  <c r="J82" i="41"/>
  <c r="G68" i="41"/>
  <c r="J62" i="42"/>
  <c r="D62" i="42"/>
  <c r="L62" i="42"/>
  <c r="K62" i="42"/>
  <c r="H61" i="42"/>
  <c r="D58" i="43"/>
  <c r="H58" i="43"/>
  <c r="I58" i="43"/>
  <c r="N58" i="43"/>
  <c r="O58" i="43"/>
  <c r="F57" i="43"/>
  <c r="K63" i="40"/>
  <c r="K59" i="48"/>
  <c r="K65" i="48"/>
  <c r="D59" i="48"/>
  <c r="K60" i="48"/>
  <c r="L59" i="48"/>
  <c r="G59" i="48"/>
  <c r="N60" i="48"/>
  <c r="F66" i="48"/>
  <c r="I66" i="48"/>
  <c r="I69" i="48"/>
  <c r="H70" i="48"/>
  <c r="J70" i="48"/>
  <c r="D64" i="41"/>
  <c r="L64" i="41"/>
  <c r="O65" i="41"/>
  <c r="L73" i="41"/>
  <c r="N73" i="41"/>
  <c r="G72" i="41"/>
  <c r="J73" i="41"/>
  <c r="D72" i="41"/>
  <c r="J72" i="41"/>
  <c r="E77" i="41"/>
  <c r="D77" i="41"/>
  <c r="J81" i="41"/>
  <c r="M80" i="41"/>
  <c r="R23" i="40"/>
  <c r="S23" i="40"/>
  <c r="R23" i="43"/>
  <c r="S23" i="43"/>
  <c r="T23" i="46"/>
  <c r="U23" i="46"/>
  <c r="D25" i="42"/>
  <c r="E25" i="42"/>
  <c r="I70" i="41"/>
  <c r="G71" i="41"/>
  <c r="F70" i="41"/>
  <c r="L70" i="41"/>
  <c r="J58" i="42"/>
  <c r="D58" i="42"/>
  <c r="I57" i="42"/>
  <c r="F57" i="42"/>
  <c r="G58" i="42"/>
  <c r="F58" i="42"/>
  <c r="L58" i="42"/>
  <c r="N57" i="42"/>
  <c r="G57" i="42"/>
  <c r="H57" i="42"/>
  <c r="K57" i="42"/>
  <c r="M57" i="42"/>
  <c r="D57" i="42"/>
  <c r="N58" i="42"/>
  <c r="H58" i="42"/>
  <c r="K58" i="42"/>
  <c r="O58" i="42"/>
  <c r="J57" i="42"/>
  <c r="L57" i="42"/>
  <c r="E58" i="42"/>
  <c r="N64" i="42"/>
  <c r="H64" i="42"/>
  <c r="M57" i="46"/>
  <c r="M68" i="46"/>
  <c r="M69" i="46"/>
  <c r="M34" i="46"/>
  <c r="N57" i="46"/>
  <c r="N68" i="46"/>
  <c r="N69" i="46"/>
  <c r="N34" i="46"/>
  <c r="K81" i="41"/>
  <c r="D81" i="41"/>
  <c r="L80" i="41"/>
  <c r="N81" i="41"/>
  <c r="H81" i="41"/>
  <c r="J66" i="40"/>
  <c r="M65" i="40"/>
  <c r="I66" i="40"/>
  <c r="D66" i="40"/>
  <c r="E66" i="40"/>
  <c r="L66" i="40"/>
  <c r="N65" i="40"/>
  <c r="L64" i="42"/>
  <c r="I63" i="42"/>
  <c r="I64" i="42"/>
  <c r="G63" i="42"/>
  <c r="M60" i="40"/>
  <c r="O58" i="46"/>
  <c r="O65" i="46"/>
  <c r="O66" i="46"/>
  <c r="O35" i="46"/>
  <c r="G80" i="41"/>
  <c r="N66" i="41"/>
  <c r="I66" i="41"/>
  <c r="G65" i="40"/>
  <c r="N58" i="46"/>
  <c r="L81" i="41"/>
  <c r="G81" i="41"/>
  <c r="M58" i="46"/>
  <c r="M65" i="46"/>
  <c r="M66" i="46"/>
  <c r="G57" i="46"/>
  <c r="G75" i="41"/>
  <c r="F74" i="41"/>
  <c r="J75" i="41"/>
  <c r="K75" i="41"/>
  <c r="S23" i="48"/>
  <c r="H66" i="41"/>
  <c r="I67" i="41"/>
  <c r="D66" i="41"/>
  <c r="M66" i="41"/>
  <c r="J66" i="41"/>
  <c r="K67" i="41"/>
  <c r="M67" i="41"/>
  <c r="L63" i="42"/>
  <c r="D64" i="42"/>
  <c r="I57" i="46"/>
  <c r="O66" i="41"/>
  <c r="J80" i="41"/>
  <c r="K66" i="40"/>
  <c r="F80" i="41"/>
  <c r="D80" i="41"/>
  <c r="O80" i="41"/>
  <c r="I80" i="41"/>
  <c r="K57" i="46"/>
  <c r="K64" i="41"/>
  <c r="K65" i="41"/>
  <c r="M57" i="43"/>
  <c r="K57" i="43"/>
  <c r="I57" i="43"/>
  <c r="D57" i="43"/>
  <c r="I61" i="43"/>
  <c r="F62" i="43"/>
  <c r="O79" i="41"/>
  <c r="E79" i="41"/>
  <c r="N78" i="41"/>
  <c r="L78" i="41"/>
  <c r="G78" i="41"/>
  <c r="H79" i="41"/>
  <c r="P79" i="41"/>
  <c r="M78" i="41"/>
  <c r="F83" i="41"/>
  <c r="D83" i="41"/>
  <c r="E83" i="41"/>
  <c r="L83" i="41"/>
  <c r="F82" i="41"/>
  <c r="O68" i="40"/>
  <c r="I67" i="40"/>
  <c r="G68" i="40"/>
  <c r="F67" i="40"/>
  <c r="K68" i="40"/>
  <c r="J68" i="40"/>
  <c r="G67" i="40"/>
  <c r="I62" i="40"/>
  <c r="H62" i="40"/>
  <c r="M59" i="42"/>
  <c r="D71" i="41"/>
  <c r="G70" i="41"/>
  <c r="E70" i="41"/>
  <c r="G61" i="40"/>
  <c r="I65" i="41"/>
  <c r="H64" i="41"/>
  <c r="G65" i="41"/>
  <c r="M65" i="41"/>
  <c r="M64" i="41"/>
  <c r="M72" i="41"/>
  <c r="G64" i="41"/>
  <c r="L65" i="41"/>
  <c r="F65" i="41"/>
  <c r="N64" i="41"/>
  <c r="H65" i="41"/>
  <c r="J64" i="41"/>
  <c r="D65" i="41"/>
  <c r="O59" i="40"/>
  <c r="H59" i="40"/>
  <c r="I59" i="40"/>
  <c r="D59" i="40"/>
  <c r="I62" i="42"/>
  <c r="K66" i="41"/>
  <c r="O61" i="42"/>
  <c r="J63" i="42"/>
  <c r="N62" i="42"/>
  <c r="E67" i="41"/>
  <c r="M61" i="42"/>
  <c r="F62" i="42"/>
  <c r="N63" i="42"/>
  <c r="E72" i="41"/>
  <c r="D73" i="41"/>
  <c r="G61" i="42"/>
  <c r="D67" i="41"/>
  <c r="L66" i="41"/>
  <c r="J67" i="41"/>
  <c r="F63" i="42"/>
  <c r="J64" i="42"/>
  <c r="K64" i="42"/>
  <c r="G64" i="42"/>
  <c r="G66" i="41"/>
  <c r="G67" i="41"/>
  <c r="F72" i="41"/>
  <c r="N61" i="42"/>
  <c r="I73" i="41"/>
  <c r="K72" i="41"/>
  <c r="O72" i="41"/>
  <c r="F61" i="42"/>
  <c r="O67" i="41"/>
  <c r="L61" i="42"/>
  <c r="E73" i="41"/>
  <c r="K73" i="41"/>
  <c r="K61" i="42"/>
  <c r="O73" i="41"/>
  <c r="S23" i="42"/>
  <c r="T23" i="42"/>
  <c r="T23" i="43"/>
  <c r="U23" i="43"/>
  <c r="G25" i="41"/>
  <c r="H25" i="41"/>
  <c r="D61" i="40"/>
  <c r="H58" i="40"/>
  <c r="P67" i="48"/>
  <c r="R67" i="48"/>
  <c r="D68" i="46"/>
  <c r="D69" i="46"/>
  <c r="D34" i="46"/>
  <c r="R23" i="41"/>
  <c r="S23" i="41"/>
  <c r="M61" i="40"/>
  <c r="N61" i="40"/>
  <c r="N74" i="40"/>
  <c r="N75" i="40"/>
  <c r="N34" i="40"/>
  <c r="K61" i="40"/>
  <c r="E61" i="40"/>
  <c r="O74" i="48"/>
  <c r="O75" i="48"/>
  <c r="O34" i="48"/>
  <c r="J58" i="46"/>
  <c r="G60" i="46"/>
  <c r="P60" i="46"/>
  <c r="E60" i="46"/>
  <c r="L61" i="40"/>
  <c r="D62" i="40"/>
  <c r="L68" i="46"/>
  <c r="L69" i="46"/>
  <c r="L34" i="46"/>
  <c r="L74" i="48"/>
  <c r="L75" i="48"/>
  <c r="L34" i="48"/>
  <c r="V23" i="43"/>
  <c r="J61" i="40"/>
  <c r="M59" i="40"/>
  <c r="F59" i="40"/>
  <c r="N74" i="48"/>
  <c r="N75" i="48"/>
  <c r="N34" i="48"/>
  <c r="P68" i="48"/>
  <c r="Q68" i="48"/>
  <c r="AC24" i="40"/>
  <c r="AC24" i="41"/>
  <c r="S25" i="40"/>
  <c r="T25" i="40"/>
  <c r="K60" i="46"/>
  <c r="I65" i="46"/>
  <c r="I66" i="46"/>
  <c r="I35" i="46"/>
  <c r="F60" i="46"/>
  <c r="D65" i="46"/>
  <c r="D66" i="46"/>
  <c r="D35" i="46"/>
  <c r="I60" i="40"/>
  <c r="M70" i="41"/>
  <c r="J71" i="41"/>
  <c r="I59" i="42"/>
  <c r="I74" i="42"/>
  <c r="I75" i="42"/>
  <c r="I34" i="42"/>
  <c r="L60" i="40"/>
  <c r="E59" i="40"/>
  <c r="H60" i="40"/>
  <c r="H71" i="41"/>
  <c r="L58" i="40"/>
  <c r="L63" i="40"/>
  <c r="H64" i="40"/>
  <c r="E68" i="41"/>
  <c r="P68" i="41"/>
  <c r="R68" i="41"/>
  <c r="K59" i="40"/>
  <c r="K74" i="40"/>
  <c r="K75" i="40"/>
  <c r="K34" i="40"/>
  <c r="I71" i="41"/>
  <c r="L71" i="41"/>
  <c r="L84" i="41"/>
  <c r="L85" i="41"/>
  <c r="L35" i="41"/>
  <c r="D60" i="40"/>
  <c r="K71" i="41"/>
  <c r="D74" i="48"/>
  <c r="M69" i="41"/>
  <c r="H69" i="41"/>
  <c r="H84" i="41"/>
  <c r="H85" i="41"/>
  <c r="H35" i="41"/>
  <c r="G59" i="40"/>
  <c r="O68" i="46"/>
  <c r="O69" i="46"/>
  <c r="O34" i="46"/>
  <c r="G57" i="40"/>
  <c r="F68" i="41"/>
  <c r="I69" i="41"/>
  <c r="J68" i="41"/>
  <c r="O60" i="40"/>
  <c r="E60" i="40"/>
  <c r="E71" i="41"/>
  <c r="N71" i="41"/>
  <c r="K60" i="40"/>
  <c r="H70" i="41"/>
  <c r="M71" i="41"/>
  <c r="E69" i="41"/>
  <c r="O64" i="40"/>
  <c r="I68" i="41"/>
  <c r="I87" i="41"/>
  <c r="I88" i="41"/>
  <c r="I34" i="41"/>
  <c r="O71" i="41"/>
  <c r="G63" i="40"/>
  <c r="H63" i="40"/>
  <c r="G65" i="46"/>
  <c r="G66" i="46"/>
  <c r="G35" i="46"/>
  <c r="G87" i="41"/>
  <c r="G88" i="41"/>
  <c r="G34" i="41"/>
  <c r="L57" i="40"/>
  <c r="K68" i="41"/>
  <c r="O69" i="41"/>
  <c r="J59" i="40"/>
  <c r="D70" i="41"/>
  <c r="T23" i="47"/>
  <c r="P78" i="41"/>
  <c r="R78" i="41"/>
  <c r="J60" i="40"/>
  <c r="N70" i="41"/>
  <c r="M63" i="40"/>
  <c r="G60" i="40"/>
  <c r="F64" i="40"/>
  <c r="I63" i="40"/>
  <c r="D68" i="41"/>
  <c r="D63" i="40"/>
  <c r="P63" i="40"/>
  <c r="R63" i="40"/>
  <c r="J74" i="48"/>
  <c r="J75" i="48"/>
  <c r="J34" i="48"/>
  <c r="K64" i="40"/>
  <c r="N69" i="41"/>
  <c r="N84" i="41"/>
  <c r="N85" i="41"/>
  <c r="N35" i="41"/>
  <c r="F69" i="41"/>
  <c r="AX32" i="37"/>
  <c r="L64" i="40"/>
  <c r="K65" i="46"/>
  <c r="K66" i="46"/>
  <c r="K35" i="46"/>
  <c r="F65" i="46"/>
  <c r="F66" i="46"/>
  <c r="F35" i="46"/>
  <c r="N59" i="40"/>
  <c r="O70" i="41"/>
  <c r="N57" i="40"/>
  <c r="J70" i="41"/>
  <c r="P70" i="41"/>
  <c r="R70" i="41"/>
  <c r="N60" i="40"/>
  <c r="M64" i="40"/>
  <c r="L59" i="40"/>
  <c r="M68" i="41"/>
  <c r="G69" i="41"/>
  <c r="G84" i="41"/>
  <c r="G85" i="41"/>
  <c r="G35" i="41"/>
  <c r="J63" i="40"/>
  <c r="D69" i="41"/>
  <c r="P69" i="41"/>
  <c r="Q69" i="41"/>
  <c r="R69" i="41"/>
  <c r="O68" i="41"/>
  <c r="P25" i="46"/>
  <c r="L71" i="48"/>
  <c r="L72" i="48"/>
  <c r="L35" i="48"/>
  <c r="K69" i="41"/>
  <c r="K84" i="41"/>
  <c r="K85" i="41"/>
  <c r="K35" i="41"/>
  <c r="L68" i="41"/>
  <c r="L87" i="41"/>
  <c r="L88" i="41"/>
  <c r="L34" i="41"/>
  <c r="E71" i="48"/>
  <c r="E72" i="48"/>
  <c r="E35" i="48"/>
  <c r="F74" i="48"/>
  <c r="F75" i="48"/>
  <c r="F34" i="48"/>
  <c r="AC24" i="42"/>
  <c r="M71" i="48"/>
  <c r="M72" i="48"/>
  <c r="M35" i="48"/>
  <c r="V23" i="46"/>
  <c r="W23" i="46"/>
  <c r="R32" i="37"/>
  <c r="D58" i="40"/>
  <c r="D71" i="40"/>
  <c r="D72" i="40"/>
  <c r="D35" i="40"/>
  <c r="I58" i="40"/>
  <c r="I71" i="40"/>
  <c r="I72" i="40"/>
  <c r="I35" i="40"/>
  <c r="M58" i="40"/>
  <c r="J58" i="40"/>
  <c r="F58" i="40"/>
  <c r="O58" i="40"/>
  <c r="O71" i="40"/>
  <c r="O72" i="40"/>
  <c r="O35" i="40"/>
  <c r="J57" i="40"/>
  <c r="M57" i="40"/>
  <c r="F57" i="40"/>
  <c r="D57" i="40"/>
  <c r="O57" i="40"/>
  <c r="G58" i="40"/>
  <c r="N58" i="40"/>
  <c r="I57" i="40"/>
  <c r="E57" i="40"/>
  <c r="K58" i="40"/>
  <c r="H57" i="40"/>
  <c r="M62" i="40"/>
  <c r="O62" i="40"/>
  <c r="L62" i="40"/>
  <c r="L71" i="40"/>
  <c r="L72" i="40"/>
  <c r="L35" i="40"/>
  <c r="G62" i="40"/>
  <c r="O61" i="40"/>
  <c r="I61" i="40"/>
  <c r="F61" i="40"/>
  <c r="H61" i="40"/>
  <c r="P61" i="40"/>
  <c r="R61" i="40"/>
  <c r="F62" i="40"/>
  <c r="N62" i="40"/>
  <c r="J62" i="40"/>
  <c r="E62" i="40"/>
  <c r="P62" i="40"/>
  <c r="R58" i="37"/>
  <c r="T25" i="48"/>
  <c r="U25" i="48"/>
  <c r="V25" i="48"/>
  <c r="W25" i="48"/>
  <c r="W23" i="43"/>
  <c r="Q64" i="48"/>
  <c r="R64" i="48"/>
  <c r="P65" i="40"/>
  <c r="R65" i="40"/>
  <c r="P68" i="40"/>
  <c r="Q68" i="40"/>
  <c r="I25" i="41"/>
  <c r="O25" i="41"/>
  <c r="P25" i="41"/>
  <c r="P61" i="42"/>
  <c r="R61" i="42"/>
  <c r="L74" i="40"/>
  <c r="L75" i="40"/>
  <c r="L34" i="40"/>
  <c r="R68" i="48"/>
  <c r="P64" i="40"/>
  <c r="Q64" i="40"/>
  <c r="R64" i="40"/>
  <c r="P57" i="47"/>
  <c r="G71" i="48"/>
  <c r="G72" i="48"/>
  <c r="G35" i="48"/>
  <c r="E68" i="46"/>
  <c r="E69" i="46"/>
  <c r="E34" i="46"/>
  <c r="P59" i="46"/>
  <c r="R59" i="46"/>
  <c r="E58" i="40"/>
  <c r="U23" i="42"/>
  <c r="V23" i="42"/>
  <c r="P77" i="41"/>
  <c r="E25" i="40"/>
  <c r="F25" i="40"/>
  <c r="U23" i="48"/>
  <c r="T23" i="48"/>
  <c r="V23" i="48"/>
  <c r="H71" i="48"/>
  <c r="H72" i="48"/>
  <c r="H35" i="48"/>
  <c r="S32" i="37"/>
  <c r="AY32" i="37"/>
  <c r="P65" i="41"/>
  <c r="Q65" i="41"/>
  <c r="P67" i="40"/>
  <c r="R67" i="40"/>
  <c r="P82" i="41"/>
  <c r="N65" i="46"/>
  <c r="N66" i="46"/>
  <c r="N35" i="46"/>
  <c r="F87" i="41"/>
  <c r="F88" i="41"/>
  <c r="F34" i="41"/>
  <c r="K74" i="48"/>
  <c r="K75" i="48"/>
  <c r="K34" i="48"/>
  <c r="J71" i="48"/>
  <c r="J72" i="48"/>
  <c r="J35" i="48"/>
  <c r="O71" i="48"/>
  <c r="O72" i="48"/>
  <c r="O35" i="48"/>
  <c r="I74" i="48"/>
  <c r="I75" i="48"/>
  <c r="I34" i="48"/>
  <c r="T25" i="43"/>
  <c r="L58" i="46"/>
  <c r="L65" i="46"/>
  <c r="L66" i="46"/>
  <c r="L35" i="46"/>
  <c r="J60" i="46"/>
  <c r="J65" i="46"/>
  <c r="J66" i="46"/>
  <c r="H58" i="46"/>
  <c r="H65" i="46"/>
  <c r="H66" i="46"/>
  <c r="H35" i="46"/>
  <c r="E58" i="46"/>
  <c r="E65" i="46"/>
  <c r="E66" i="46"/>
  <c r="E35" i="46"/>
  <c r="T23" i="41"/>
  <c r="K71" i="48"/>
  <c r="K72" i="48"/>
  <c r="K35" i="48"/>
  <c r="P58" i="47"/>
  <c r="P65" i="47"/>
  <c r="R65" i="47"/>
  <c r="J84" i="41"/>
  <c r="J85" i="41"/>
  <c r="J35" i="41"/>
  <c r="H71" i="40"/>
  <c r="H72" i="40"/>
  <c r="H35" i="40"/>
  <c r="G74" i="48"/>
  <c r="G75" i="48"/>
  <c r="G34" i="48"/>
  <c r="J68" i="46"/>
  <c r="J69" i="46"/>
  <c r="J34" i="46"/>
  <c r="R25" i="42"/>
  <c r="S25" i="42"/>
  <c r="T25" i="42"/>
  <c r="S25" i="46"/>
  <c r="T25" i="46"/>
  <c r="P62" i="42"/>
  <c r="M35" i="46"/>
  <c r="D74" i="42"/>
  <c r="D75" i="42"/>
  <c r="P57" i="42"/>
  <c r="J59" i="42"/>
  <c r="E60" i="42"/>
  <c r="M60" i="42"/>
  <c r="K60" i="42"/>
  <c r="K71" i="42"/>
  <c r="K72" i="42"/>
  <c r="K35" i="42"/>
  <c r="K59" i="42"/>
  <c r="K74" i="42"/>
  <c r="K75" i="42"/>
  <c r="K34" i="42"/>
  <c r="N60" i="42"/>
  <c r="N71" i="42"/>
  <c r="N72" i="42"/>
  <c r="N35" i="42"/>
  <c r="F59" i="42"/>
  <c r="F74" i="42"/>
  <c r="F75" i="42"/>
  <c r="F34" i="42"/>
  <c r="E59" i="42"/>
  <c r="H59" i="42"/>
  <c r="H74" i="42"/>
  <c r="H75" i="42"/>
  <c r="H34" i="42"/>
  <c r="H60" i="42"/>
  <c r="H71" i="42"/>
  <c r="H72" i="42"/>
  <c r="H35" i="42"/>
  <c r="L60" i="42"/>
  <c r="L71" i="42"/>
  <c r="L72" i="42"/>
  <c r="L35" i="42"/>
  <c r="G59" i="42"/>
  <c r="G74" i="42"/>
  <c r="G75" i="42"/>
  <c r="G34" i="42"/>
  <c r="I60" i="42"/>
  <c r="I71" i="42"/>
  <c r="I72" i="42"/>
  <c r="I35" i="42"/>
  <c r="D60" i="42"/>
  <c r="N59" i="42"/>
  <c r="N74" i="42"/>
  <c r="N75" i="42"/>
  <c r="N34" i="42"/>
  <c r="O59" i="42"/>
  <c r="O74" i="42"/>
  <c r="O75" i="42"/>
  <c r="O34" i="42"/>
  <c r="O60" i="42"/>
  <c r="O71" i="42"/>
  <c r="O72" i="42"/>
  <c r="O35" i="42"/>
  <c r="L59" i="42"/>
  <c r="L74" i="42"/>
  <c r="L75" i="42"/>
  <c r="L34" i="42"/>
  <c r="G60" i="42"/>
  <c r="G71" i="42"/>
  <c r="G72" i="42"/>
  <c r="G35" i="42"/>
  <c r="U23" i="47"/>
  <c r="V23" i="47"/>
  <c r="Q79" i="41"/>
  <c r="R79" i="41"/>
  <c r="M74" i="42"/>
  <c r="M75" i="42"/>
  <c r="M34" i="42"/>
  <c r="N71" i="48"/>
  <c r="N72" i="48"/>
  <c r="N35" i="48"/>
  <c r="J60" i="42"/>
  <c r="J71" i="42"/>
  <c r="J72" i="42"/>
  <c r="J35" i="42"/>
  <c r="J74" i="42"/>
  <c r="J75" i="42"/>
  <c r="J34" i="42"/>
  <c r="P57" i="48"/>
  <c r="R57" i="48"/>
  <c r="M74" i="48"/>
  <c r="M75" i="48"/>
  <c r="M34" i="48"/>
  <c r="D87" i="41"/>
  <c r="P58" i="43"/>
  <c r="F71" i="48"/>
  <c r="F72" i="48"/>
  <c r="F35" i="48"/>
  <c r="P62" i="48"/>
  <c r="P66" i="40"/>
  <c r="H74" i="48"/>
  <c r="H75" i="48"/>
  <c r="H34" i="48"/>
  <c r="P63" i="48"/>
  <c r="R63" i="48"/>
  <c r="P67" i="41"/>
  <c r="P72" i="41"/>
  <c r="R72" i="41"/>
  <c r="D75" i="48"/>
  <c r="P83" i="41"/>
  <c r="I68" i="46"/>
  <c r="I69" i="46"/>
  <c r="P57" i="46"/>
  <c r="P34" i="47"/>
  <c r="F25" i="42"/>
  <c r="G25" i="42"/>
  <c r="V25" i="47"/>
  <c r="W25" i="47"/>
  <c r="P58" i="42"/>
  <c r="P57" i="43"/>
  <c r="P58" i="48"/>
  <c r="P69" i="48"/>
  <c r="R69" i="48"/>
  <c r="P70" i="48"/>
  <c r="D71" i="48"/>
  <c r="D72" i="48"/>
  <c r="P66" i="48"/>
  <c r="P76" i="41"/>
  <c r="P69" i="47"/>
  <c r="P73" i="41"/>
  <c r="P64" i="41"/>
  <c r="R64" i="41"/>
  <c r="P59" i="48"/>
  <c r="R59" i="48"/>
  <c r="F60" i="42"/>
  <c r="F71" i="42"/>
  <c r="F72" i="42"/>
  <c r="F35" i="42"/>
  <c r="U23" i="40"/>
  <c r="T23" i="40"/>
  <c r="J71" i="40"/>
  <c r="J72" i="40"/>
  <c r="J35" i="40"/>
  <c r="G35" i="47"/>
  <c r="P35" i="47"/>
  <c r="P65" i="48"/>
  <c r="R65" i="48"/>
  <c r="K71" i="40"/>
  <c r="K72" i="40"/>
  <c r="K35" i="40"/>
  <c r="I71" i="48"/>
  <c r="I72" i="48"/>
  <c r="I35" i="48"/>
  <c r="X23" i="43"/>
  <c r="Y23" i="43"/>
  <c r="P60" i="48"/>
  <c r="K59" i="43"/>
  <c r="K68" i="43"/>
  <c r="K69" i="43"/>
  <c r="K34" i="43"/>
  <c r="F60" i="43"/>
  <c r="F65" i="43"/>
  <c r="F66" i="43"/>
  <c r="F35" i="43"/>
  <c r="O59" i="43"/>
  <c r="O68" i="43"/>
  <c r="O69" i="43"/>
  <c r="O34" i="43"/>
  <c r="H59" i="43"/>
  <c r="H68" i="43"/>
  <c r="H69" i="43"/>
  <c r="H34" i="43"/>
  <c r="D60" i="43"/>
  <c r="D59" i="43"/>
  <c r="E59" i="43"/>
  <c r="E68" i="43"/>
  <c r="E69" i="43"/>
  <c r="E34" i="43"/>
  <c r="M60" i="43"/>
  <c r="M65" i="43"/>
  <c r="M66" i="43"/>
  <c r="M35" i="43"/>
  <c r="I59" i="43"/>
  <c r="I68" i="43"/>
  <c r="I69" i="43"/>
  <c r="I34" i="43"/>
  <c r="G59" i="43"/>
  <c r="G68" i="43"/>
  <c r="G69" i="43"/>
  <c r="G34" i="43"/>
  <c r="O60" i="43"/>
  <c r="N60" i="43"/>
  <c r="L59" i="43"/>
  <c r="L68" i="43"/>
  <c r="L69" i="43"/>
  <c r="L34" i="43"/>
  <c r="I60" i="43"/>
  <c r="I65" i="43"/>
  <c r="I66" i="43"/>
  <c r="I35" i="43"/>
  <c r="J59" i="43"/>
  <c r="J68" i="43"/>
  <c r="J69" i="43"/>
  <c r="J34" i="43"/>
  <c r="E60" i="43"/>
  <c r="E65" i="43"/>
  <c r="E66" i="43"/>
  <c r="E35" i="43"/>
  <c r="K60" i="43"/>
  <c r="K65" i="43"/>
  <c r="K66" i="43"/>
  <c r="K35" i="43"/>
  <c r="H60" i="43"/>
  <c r="L60" i="43"/>
  <c r="N59" i="43"/>
  <c r="N68" i="43"/>
  <c r="N69" i="43"/>
  <c r="N34" i="43"/>
  <c r="K68" i="46"/>
  <c r="K69" i="46"/>
  <c r="K34" i="46"/>
  <c r="M59" i="43"/>
  <c r="M68" i="43"/>
  <c r="M69" i="43"/>
  <c r="M34" i="43"/>
  <c r="E74" i="48"/>
  <c r="E75" i="48"/>
  <c r="E34" i="48"/>
  <c r="I81" i="41"/>
  <c r="H65" i="47"/>
  <c r="H66" i="47"/>
  <c r="H35" i="47"/>
  <c r="E66" i="41"/>
  <c r="O74" i="41"/>
  <c r="O87" i="41"/>
  <c r="O88" i="41"/>
  <c r="O34" i="41"/>
  <c r="K80" i="41"/>
  <c r="G62" i="43"/>
  <c r="G65" i="43"/>
  <c r="G66" i="43"/>
  <c r="G35" i="43"/>
  <c r="U25" i="40"/>
  <c r="V25" i="40"/>
  <c r="F61" i="43"/>
  <c r="F68" i="43"/>
  <c r="F69" i="43"/>
  <c r="F34" i="43"/>
  <c r="D62" i="43"/>
  <c r="M64" i="42"/>
  <c r="O81" i="41"/>
  <c r="I75" i="41"/>
  <c r="T25" i="41"/>
  <c r="U25" i="41"/>
  <c r="U25" i="46"/>
  <c r="E62" i="43"/>
  <c r="L62" i="43"/>
  <c r="E63" i="42"/>
  <c r="P63" i="42"/>
  <c r="R63" i="42"/>
  <c r="H80" i="41"/>
  <c r="N80" i="41"/>
  <c r="N87" i="41"/>
  <c r="N88" i="41"/>
  <c r="N34" i="41"/>
  <c r="F75" i="41"/>
  <c r="F84" i="41"/>
  <c r="F85" i="41"/>
  <c r="F35" i="41"/>
  <c r="M75" i="41"/>
  <c r="H62" i="43"/>
  <c r="J62" i="43"/>
  <c r="J65" i="43"/>
  <c r="J66" i="43"/>
  <c r="J35" i="43"/>
  <c r="E64" i="42"/>
  <c r="D61" i="43"/>
  <c r="N62" i="43"/>
  <c r="M81" i="41"/>
  <c r="M74" i="41"/>
  <c r="M87" i="41"/>
  <c r="M88" i="41"/>
  <c r="M34" i="41"/>
  <c r="D75" i="41"/>
  <c r="D84" i="41"/>
  <c r="D85" i="41"/>
  <c r="O62" i="43"/>
  <c r="O84" i="41"/>
  <c r="O85" i="41"/>
  <c r="O35" i="41"/>
  <c r="P80" i="41"/>
  <c r="R80" i="41"/>
  <c r="E84" i="41"/>
  <c r="E85" i="41"/>
  <c r="E35" i="41"/>
  <c r="P71" i="41"/>
  <c r="Q71" i="41"/>
  <c r="R71" i="41"/>
  <c r="P59" i="40"/>
  <c r="R59" i="40"/>
  <c r="P61" i="43"/>
  <c r="R61" i="43"/>
  <c r="P58" i="46"/>
  <c r="P57" i="40"/>
  <c r="R57" i="40"/>
  <c r="D74" i="40"/>
  <c r="D75" i="40"/>
  <c r="D34" i="40"/>
  <c r="J74" i="40"/>
  <c r="J75" i="40"/>
  <c r="J34" i="40"/>
  <c r="G74" i="40"/>
  <c r="G75" i="40"/>
  <c r="G34" i="40"/>
  <c r="F71" i="40"/>
  <c r="F72" i="40"/>
  <c r="F35" i="40"/>
  <c r="E71" i="40"/>
  <c r="E72" i="40"/>
  <c r="E35" i="40"/>
  <c r="O74" i="40"/>
  <c r="O75" i="40"/>
  <c r="O34" i="40"/>
  <c r="M71" i="40"/>
  <c r="M72" i="40"/>
  <c r="M35" i="40"/>
  <c r="P58" i="40"/>
  <c r="Q58" i="40"/>
  <c r="R58" i="40"/>
  <c r="K87" i="41"/>
  <c r="K88" i="41"/>
  <c r="K34" i="41"/>
  <c r="U25" i="43"/>
  <c r="W23" i="48"/>
  <c r="J87" i="41"/>
  <c r="J88" i="41"/>
  <c r="J34" i="41"/>
  <c r="R65" i="41"/>
  <c r="Z23" i="43"/>
  <c r="L65" i="43"/>
  <c r="L66" i="43"/>
  <c r="L35" i="43"/>
  <c r="M74" i="40"/>
  <c r="M75" i="40"/>
  <c r="M34" i="40"/>
  <c r="P60" i="40"/>
  <c r="I74" i="40"/>
  <c r="I75" i="40"/>
  <c r="I34" i="40"/>
  <c r="E74" i="40"/>
  <c r="E75" i="40"/>
  <c r="E34" i="40"/>
  <c r="R68" i="40"/>
  <c r="Q58" i="47"/>
  <c r="R58" i="47"/>
  <c r="J35" i="46"/>
  <c r="P35" i="46"/>
  <c r="P66" i="46"/>
  <c r="X23" i="46"/>
  <c r="Y23" i="46"/>
  <c r="Q60" i="46"/>
  <c r="R60" i="46"/>
  <c r="Q62" i="40"/>
  <c r="R62" i="40"/>
  <c r="H74" i="40"/>
  <c r="H75" i="40"/>
  <c r="H34" i="40"/>
  <c r="N71" i="40"/>
  <c r="N72" i="40"/>
  <c r="N35" i="40"/>
  <c r="U23" i="41"/>
  <c r="V23" i="41"/>
  <c r="X23" i="48"/>
  <c r="G25" i="40"/>
  <c r="I25" i="40"/>
  <c r="O25" i="40"/>
  <c r="P25" i="40"/>
  <c r="F74" i="40"/>
  <c r="G71" i="40"/>
  <c r="G72" i="40"/>
  <c r="G35" i="40"/>
  <c r="W23" i="47"/>
  <c r="X23" i="47"/>
  <c r="P59" i="42"/>
  <c r="R59" i="42"/>
  <c r="P68" i="47"/>
  <c r="R57" i="47"/>
  <c r="I84" i="41"/>
  <c r="I85" i="41"/>
  <c r="I35" i="41"/>
  <c r="W23" i="42"/>
  <c r="Q62" i="42"/>
  <c r="R62" i="42"/>
  <c r="W25" i="40"/>
  <c r="X25" i="47"/>
  <c r="I34" i="46"/>
  <c r="P34" i="46"/>
  <c r="P69" i="46"/>
  <c r="E74" i="42"/>
  <c r="E75" i="42"/>
  <c r="E34" i="42"/>
  <c r="P74" i="41"/>
  <c r="R74" i="41"/>
  <c r="Q58" i="43"/>
  <c r="R58" i="43"/>
  <c r="Q70" i="48"/>
  <c r="R70" i="48"/>
  <c r="P62" i="43"/>
  <c r="Q58" i="46"/>
  <c r="R58" i="46"/>
  <c r="P65" i="46"/>
  <c r="R65" i="46"/>
  <c r="D71" i="42"/>
  <c r="D72" i="42"/>
  <c r="P60" i="42"/>
  <c r="R57" i="42"/>
  <c r="E87" i="41"/>
  <c r="E88" i="41"/>
  <c r="E34" i="41"/>
  <c r="P66" i="41"/>
  <c r="R66" i="41"/>
  <c r="P60" i="43"/>
  <c r="P74" i="48"/>
  <c r="H87" i="41"/>
  <c r="H88" i="41"/>
  <c r="H34" i="41"/>
  <c r="D88" i="41"/>
  <c r="D34" i="42"/>
  <c r="Q60" i="48"/>
  <c r="R60" i="48"/>
  <c r="N65" i="43"/>
  <c r="N66" i="43"/>
  <c r="N35" i="43"/>
  <c r="Y23" i="47"/>
  <c r="Z23" i="47"/>
  <c r="AC23" i="47"/>
  <c r="AD23" i="47"/>
  <c r="W23" i="41"/>
  <c r="X23" i="41"/>
  <c r="P59" i="43"/>
  <c r="R59" i="43"/>
  <c r="D68" i="43"/>
  <c r="D69" i="43"/>
  <c r="Q58" i="48"/>
  <c r="R58" i="48"/>
  <c r="P71" i="48"/>
  <c r="R71" i="48"/>
  <c r="D34" i="48"/>
  <c r="P34" i="48"/>
  <c r="P75" i="48"/>
  <c r="V25" i="46"/>
  <c r="M84" i="41"/>
  <c r="M85" i="41"/>
  <c r="M35" i="41"/>
  <c r="O65" i="43"/>
  <c r="O66" i="43"/>
  <c r="O35" i="43"/>
  <c r="R57" i="43"/>
  <c r="M71" i="42"/>
  <c r="M72" i="42"/>
  <c r="M35" i="42"/>
  <c r="D35" i="41"/>
  <c r="Q58" i="42"/>
  <c r="R58" i="42"/>
  <c r="D65" i="43"/>
  <c r="D66" i="43"/>
  <c r="P75" i="41"/>
  <c r="P81" i="41"/>
  <c r="V25" i="41"/>
  <c r="W25" i="41"/>
  <c r="H65" i="43"/>
  <c r="H66" i="43"/>
  <c r="H35" i="43"/>
  <c r="U25" i="42"/>
  <c r="V25" i="42"/>
  <c r="V23" i="40"/>
  <c r="Q66" i="48"/>
  <c r="R66" i="48"/>
  <c r="Q66" i="40"/>
  <c r="R66" i="40"/>
  <c r="H25" i="42"/>
  <c r="X25" i="48"/>
  <c r="Y25" i="48"/>
  <c r="E71" i="42"/>
  <c r="E72" i="42"/>
  <c r="E35" i="42"/>
  <c r="P64" i="42"/>
  <c r="AC23" i="43"/>
  <c r="AD23" i="43"/>
  <c r="P66" i="47"/>
  <c r="Q73" i="41"/>
  <c r="R73" i="41"/>
  <c r="D35" i="48"/>
  <c r="P35" i="48"/>
  <c r="P72" i="48"/>
  <c r="P68" i="46"/>
  <c r="R57" i="46"/>
  <c r="Q67" i="41"/>
  <c r="R67" i="41"/>
  <c r="Q62" i="48"/>
  <c r="R62" i="48"/>
  <c r="P72" i="40"/>
  <c r="V25" i="43"/>
  <c r="X25" i="40"/>
  <c r="Y25" i="40"/>
  <c r="P35" i="40"/>
  <c r="Q60" i="40"/>
  <c r="R60" i="40"/>
  <c r="P71" i="40"/>
  <c r="R71" i="40"/>
  <c r="P68" i="43"/>
  <c r="P75" i="42"/>
  <c r="Z23" i="46"/>
  <c r="AC23" i="46"/>
  <c r="AD23" i="46"/>
  <c r="Z25" i="48"/>
  <c r="Y25" i="47"/>
  <c r="F75" i="40"/>
  <c r="P74" i="40"/>
  <c r="X23" i="42"/>
  <c r="Y23" i="42"/>
  <c r="Y23" i="48"/>
  <c r="W25" i="42"/>
  <c r="X25" i="42"/>
  <c r="P74" i="42"/>
  <c r="P85" i="41"/>
  <c r="X25" i="41"/>
  <c r="Q62" i="43"/>
  <c r="R62" i="43"/>
  <c r="P35" i="41"/>
  <c r="AC25" i="48"/>
  <c r="AD25" i="48"/>
  <c r="P88" i="41"/>
  <c r="D34" i="41"/>
  <c r="P34" i="41"/>
  <c r="Q60" i="42"/>
  <c r="R60" i="42"/>
  <c r="Q64" i="42"/>
  <c r="R64" i="42"/>
  <c r="W25" i="46"/>
  <c r="X25" i="46"/>
  <c r="P66" i="43"/>
  <c r="P35" i="43"/>
  <c r="D35" i="43"/>
  <c r="P72" i="42"/>
  <c r="D35" i="42"/>
  <c r="P35" i="42"/>
  <c r="I25" i="42"/>
  <c r="P69" i="43"/>
  <c r="P34" i="43"/>
  <c r="D34" i="43"/>
  <c r="W23" i="40"/>
  <c r="Q60" i="43"/>
  <c r="R60" i="43"/>
  <c r="P87" i="41"/>
  <c r="Q75" i="41"/>
  <c r="R75" i="41"/>
  <c r="P84" i="41"/>
  <c r="R84" i="41"/>
  <c r="Q81" i="41"/>
  <c r="R81" i="41"/>
  <c r="J25" i="42"/>
  <c r="K25" i="42"/>
  <c r="P71" i="42"/>
  <c r="R71" i="42"/>
  <c r="Y23" i="41"/>
  <c r="Z23" i="41"/>
  <c r="P34" i="42"/>
  <c r="P65" i="43"/>
  <c r="R65" i="43"/>
  <c r="Z25" i="40"/>
  <c r="AC25" i="40"/>
  <c r="AD25" i="40"/>
  <c r="Z25" i="41"/>
  <c r="Z23" i="42"/>
  <c r="Y25" i="41"/>
  <c r="W25" i="43"/>
  <c r="X25" i="43"/>
  <c r="AC23" i="41"/>
  <c r="AD23" i="41"/>
  <c r="Y25" i="42"/>
  <c r="L25" i="42"/>
  <c r="O25" i="42"/>
  <c r="P25" i="42"/>
  <c r="Z23" i="48"/>
  <c r="AC23" i="48"/>
  <c r="AD23" i="48"/>
  <c r="F34" i="40"/>
  <c r="P34" i="40"/>
  <c r="P75" i="40"/>
  <c r="AC25" i="41"/>
  <c r="AD25" i="41"/>
  <c r="Z25" i="47"/>
  <c r="AC25" i="47"/>
  <c r="AD25" i="47"/>
  <c r="AC23" i="42"/>
  <c r="AD23" i="42"/>
  <c r="Y25" i="46"/>
  <c r="Z25" i="46"/>
  <c r="X23" i="40"/>
  <c r="Y23" i="40"/>
  <c r="Y25" i="43"/>
  <c r="Z25" i="43"/>
  <c r="AC25" i="43"/>
  <c r="AD25" i="43"/>
  <c r="AC25" i="42"/>
  <c r="AD25" i="42"/>
  <c r="Z25" i="42"/>
  <c r="AC25" i="46"/>
  <c r="AD25" i="46"/>
  <c r="Z23" i="40"/>
  <c r="AC23" i="40"/>
  <c r="AD23" i="40"/>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Angela Marcela Forero Ruiz</author>
    <author>Microsoft Office User</author>
    <author/>
  </authors>
  <commentList>
    <comment ref="AA15" authorId="0" shapeId="0" xr:uid="{00000000-0006-0000-0000-000001000000}">
      <text>
        <r>
          <rPr>
            <b/>
            <sz val="11"/>
            <color indexed="81"/>
            <rFont val="Tahoma"/>
            <family val="2"/>
          </rPr>
          <t>OLS</t>
        </r>
        <r>
          <rPr>
            <sz val="11"/>
            <color indexed="81"/>
            <rFont val="Tahoma"/>
            <family val="2"/>
          </rPr>
          <t xml:space="preserve">
Promoción de la igualdad, el desarrollo de capacidades y el reconocimiento de las mujeres</t>
        </r>
      </text>
    </comment>
    <comment ref="C32" authorId="1" shapeId="0" xr:uid="{00000000-0006-0000-0000-000002000000}">
      <text>
        <r>
          <rPr>
            <b/>
            <sz val="9"/>
            <color indexed="8"/>
            <rFont val="Tahoma"/>
            <family val="2"/>
          </rPr>
          <t>Microsoft Office User:</t>
        </r>
        <r>
          <rPr>
            <sz val="9"/>
            <color indexed="8"/>
            <rFont val="Tahoma"/>
            <family val="2"/>
          </rPr>
          <t xml:space="preserve">
</t>
        </r>
        <r>
          <rPr>
            <sz val="9"/>
            <color indexed="8"/>
            <rFont val="Tahoma"/>
            <family val="2"/>
          </rPr>
          <t xml:space="preserve">Corresponde a la magnitud programada en coherencia con la unidad de medida de la meta proyecto. </t>
        </r>
      </text>
    </comment>
    <comment ref="Q32" authorId="2" shapeId="0" xr:uid="{00000000-0006-0000-0000-000003000000}">
      <text>
        <r>
          <rPr>
            <b/>
            <sz val="9"/>
            <color indexed="8"/>
            <rFont val="Tahoma"/>
            <family val="2"/>
          </rPr>
          <t xml:space="preserve">OFICINA ASESORA DE PLANEACIÓN:
</t>
        </r>
        <r>
          <rPr>
            <sz val="9"/>
            <color indexed="8"/>
            <rFont val="Tahoma"/>
            <family val="2"/>
          </rPr>
          <t xml:space="preserve">Máximo de caracteres Avances y logros:  2.000 (Incluidos espacios)
</t>
        </r>
        <r>
          <rPr>
            <sz val="9"/>
            <color indexed="8"/>
            <rFont val="Tahoma"/>
            <family val="2"/>
          </rPr>
          <t xml:space="preserve">Máximo de caracteres Retrasos y alternativas de solución: 1.000 (Incluidos espacios)
</t>
        </r>
        <r>
          <rPr>
            <sz val="9"/>
            <color indexed="8"/>
            <rFont val="Tahoma"/>
            <family val="2"/>
          </rPr>
          <t xml:space="preserve">Para la caracterización del avance de la meta, ésta debe ser cualitativa y cuantitativa. Teniendo en cuenta el número de caracteres que permite el sistema SEGPLAN, se recomienda dejar la información que se considere estratégica desde el área misional y de mayor relevancia. </t>
        </r>
      </text>
    </comment>
    <comment ref="W33" authorId="1" shapeId="0" xr:uid="{00000000-0006-0000-0000-000004000000}">
      <text>
        <r>
          <rPr>
            <b/>
            <sz val="9"/>
            <color indexed="8"/>
            <rFont val="Tahoma"/>
            <family val="2"/>
          </rPr>
          <t>Microsoft Office User:</t>
        </r>
        <r>
          <rPr>
            <sz val="9"/>
            <color indexed="8"/>
            <rFont val="Tahoma"/>
            <family val="2"/>
          </rPr>
          <t xml:space="preserve">
</t>
        </r>
        <r>
          <rPr>
            <sz val="9"/>
            <color indexed="8"/>
            <rFont val="Tahoma"/>
            <family val="2"/>
          </rPr>
          <t xml:space="preserve">En el caso de no presentarse retrasos en el periodo de reporte, incluir una nota indicando que las cifras son acordes con la programación.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Microsoft Office User</author>
    <author>ANDREA PAOLA BELLO VARGAS</author>
  </authors>
  <commentList>
    <comment ref="C26" authorId="0" shapeId="0" xr:uid="{00000000-0006-0000-0100-000001000000}">
      <text>
        <r>
          <rPr>
            <b/>
            <sz val="9"/>
            <color indexed="8"/>
            <rFont val="Tahoma"/>
            <family val="2"/>
          </rPr>
          <t>Microsoft Office User:</t>
        </r>
        <r>
          <rPr>
            <sz val="9"/>
            <color indexed="8"/>
            <rFont val="Tahoma"/>
            <family val="2"/>
          </rPr>
          <t xml:space="preserve">
</t>
        </r>
        <r>
          <rPr>
            <sz val="9"/>
            <color indexed="8"/>
            <rFont val="Tahoma"/>
            <family val="2"/>
          </rPr>
          <t xml:space="preserve">Corresponde a la magnitud programada en coherencia con la unidad de medida de la meta proyecto. </t>
        </r>
      </text>
    </comment>
    <comment ref="Q26" authorId="1" shapeId="0" xr:uid="{00000000-0006-0000-0100-000002000000}">
      <text>
        <r>
          <rPr>
            <b/>
            <sz val="9"/>
            <color indexed="8"/>
            <rFont val="Tahoma"/>
            <family val="2"/>
          </rPr>
          <t xml:space="preserve">OFICINA ASESORA DE PLANEACIÓN:
</t>
        </r>
        <r>
          <rPr>
            <sz val="9"/>
            <color indexed="8"/>
            <rFont val="Tahoma"/>
            <family val="2"/>
          </rPr>
          <t xml:space="preserve">Máximo de caracteres Avances y logros:  2.000 (Incluidos espacios)
</t>
        </r>
        <r>
          <rPr>
            <sz val="9"/>
            <color indexed="8"/>
            <rFont val="Tahoma"/>
            <family val="2"/>
          </rPr>
          <t xml:space="preserve">Máximo de caracteres Retrasos y alternativas de solución: 1.000 (Incluidos espacios)
</t>
        </r>
        <r>
          <rPr>
            <sz val="9"/>
            <color indexed="8"/>
            <rFont val="Tahoma"/>
            <family val="2"/>
          </rPr>
          <t xml:space="preserve">Para la caracterización del avance de la meta, ésta debe ser cualitativa y cuantitativa. Teniendo en cuenta el número de caracteres que permite el sistema SEGPLAN, se recomienda dejar la información que se considere estratégica desde el área misional y de mayor relevancia. </t>
        </r>
      </text>
    </comment>
    <comment ref="U27" authorId="0" shapeId="0" xr:uid="{00000000-0006-0000-0100-000003000000}">
      <text>
        <r>
          <rPr>
            <b/>
            <sz val="9"/>
            <color indexed="8"/>
            <rFont val="Tahoma"/>
            <family val="2"/>
          </rPr>
          <t>Microsoft Office User:</t>
        </r>
        <r>
          <rPr>
            <sz val="9"/>
            <color indexed="8"/>
            <rFont val="Tahoma"/>
            <family val="2"/>
          </rPr>
          <t xml:space="preserve">
</t>
        </r>
        <r>
          <rPr>
            <sz val="9"/>
            <color indexed="8"/>
            <rFont val="Tahoma"/>
            <family val="2"/>
          </rPr>
          <t xml:space="preserve">En el caso de no presentarse retrasos en el periodo de reporte, incluir una nota indicando que las cifras son acordes con la programación.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Angela Marcela Forero Ruiz</author>
    <author>Microsoft Office User</author>
    <author/>
  </authors>
  <commentList>
    <comment ref="AA15" authorId="0" shapeId="0" xr:uid="{00000000-0006-0000-0200-000001000000}">
      <text>
        <r>
          <rPr>
            <b/>
            <sz val="9"/>
            <color indexed="81"/>
            <rFont val="Tahoma"/>
            <family val="2"/>
          </rPr>
          <t xml:space="preserve">OLS
</t>
        </r>
        <r>
          <rPr>
            <sz val="9"/>
            <color indexed="81"/>
            <rFont val="Tahoma"/>
            <family val="2"/>
          </rPr>
          <t>Promoción de la igualdad, el desarrollo de capacidades y el reconocimiento de las mujeres</t>
        </r>
      </text>
    </comment>
    <comment ref="C32" authorId="1" shapeId="0" xr:uid="{00000000-0006-0000-0200-000002000000}">
      <text>
        <r>
          <rPr>
            <b/>
            <sz val="9"/>
            <color indexed="8"/>
            <rFont val="Tahoma"/>
            <family val="2"/>
          </rPr>
          <t>Microsoft Office User:</t>
        </r>
        <r>
          <rPr>
            <sz val="9"/>
            <color indexed="8"/>
            <rFont val="Tahoma"/>
            <family val="2"/>
          </rPr>
          <t xml:space="preserve">
</t>
        </r>
        <r>
          <rPr>
            <sz val="9"/>
            <color indexed="8"/>
            <rFont val="Tahoma"/>
            <family val="2"/>
          </rPr>
          <t xml:space="preserve">Corresponde a la magnitud programada en coherencia con la unidad de medida de la meta proyecto. </t>
        </r>
      </text>
    </comment>
    <comment ref="Q32" authorId="2" shapeId="0" xr:uid="{00000000-0006-0000-0200-000003000000}">
      <text>
        <r>
          <rPr>
            <b/>
            <sz val="9"/>
            <color indexed="8"/>
            <rFont val="Tahoma"/>
            <family val="2"/>
          </rPr>
          <t xml:space="preserve">OFICINA ASESORA DE PLANEACIÓN:
</t>
        </r>
        <r>
          <rPr>
            <sz val="9"/>
            <color indexed="8"/>
            <rFont val="Tahoma"/>
            <family val="2"/>
          </rPr>
          <t xml:space="preserve">Máximo de caracteres Avances y logros:  2.000 (Incluidos espacios)
</t>
        </r>
        <r>
          <rPr>
            <sz val="9"/>
            <color indexed="8"/>
            <rFont val="Tahoma"/>
            <family val="2"/>
          </rPr>
          <t xml:space="preserve">Máximo de caracteres Retrasos y alternativas de solución: 1.000 (Incluidos espacios)
</t>
        </r>
        <r>
          <rPr>
            <sz val="9"/>
            <color indexed="8"/>
            <rFont val="Tahoma"/>
            <family val="2"/>
          </rPr>
          <t xml:space="preserve">Para la caracterización del avance de la meta, ésta debe ser cualitativa y cuantitativa. Teniendo en cuenta el número de caracteres que permite el sistema SEGPLAN, se recomienda dejar la información que se considere estratégica desde el área misional y de mayor relevancia. </t>
        </r>
      </text>
    </comment>
    <comment ref="W33" authorId="1" shapeId="0" xr:uid="{00000000-0006-0000-0200-000004000000}">
      <text>
        <r>
          <rPr>
            <b/>
            <sz val="9"/>
            <color indexed="8"/>
            <rFont val="Tahoma"/>
            <family val="2"/>
          </rPr>
          <t>Microsoft Office User:</t>
        </r>
        <r>
          <rPr>
            <sz val="9"/>
            <color indexed="8"/>
            <rFont val="Tahoma"/>
            <family val="2"/>
          </rPr>
          <t xml:space="preserve">
</t>
        </r>
        <r>
          <rPr>
            <sz val="9"/>
            <color indexed="8"/>
            <rFont val="Tahoma"/>
            <family val="2"/>
          </rPr>
          <t xml:space="preserve">En el caso de no presentarse retrasos en el periodo de reporte, incluir una nota indicando que las cifras son acordes con la programación. 
</t>
        </r>
      </text>
    </comment>
    <comment ref="A36" authorId="0" shapeId="0" xr:uid="{00000000-0006-0000-0200-000005000000}">
      <text>
        <r>
          <rPr>
            <b/>
            <sz val="9"/>
            <color indexed="81"/>
            <rFont val="Tahoma"/>
            <family val="2"/>
          </rPr>
          <t>Angela Marcela Forero Ruiz:</t>
        </r>
        <r>
          <rPr>
            <sz val="9"/>
            <color indexed="81"/>
            <rFont val="Tahoma"/>
            <family val="2"/>
          </rPr>
          <t xml:space="preserve">
</t>
        </r>
        <r>
          <rPr>
            <sz val="11"/>
            <color indexed="81"/>
            <rFont val="Tahoma"/>
            <family val="2"/>
          </rPr>
          <t>AJUSTAR NUMERACIÓN, ESTA ACTVIDAD EMPEZARIA EN 7 Y TOCA MOVER LAS DEMÁS</t>
        </r>
      </text>
    </comment>
    <comment ref="A38" authorId="0" shapeId="0" xr:uid="{00000000-0006-0000-0200-000006000000}">
      <text>
        <r>
          <rPr>
            <b/>
            <sz val="11"/>
            <color indexed="81"/>
            <rFont val="Tahoma"/>
            <family val="2"/>
          </rPr>
          <t>Angela Marcela Forero Ruiz:</t>
        </r>
        <r>
          <rPr>
            <sz val="11"/>
            <color indexed="81"/>
            <rFont val="Tahoma"/>
            <family val="2"/>
          </rPr>
          <t xml:space="preserve">
ESPECIFICAR A QUE METODOLOGÍAS </t>
        </r>
      </text>
    </comment>
    <comment ref="A52" authorId="0" shapeId="0" xr:uid="{00000000-0006-0000-0200-000007000000}">
      <text>
        <r>
          <rPr>
            <b/>
            <sz val="11"/>
            <color indexed="81"/>
            <rFont val="Tahoma"/>
            <family val="2"/>
          </rPr>
          <t>Angela Marcela Forero Ruiz:</t>
        </r>
        <r>
          <rPr>
            <sz val="11"/>
            <color indexed="81"/>
            <rFont val="Tahoma"/>
            <family val="2"/>
          </rPr>
          <t xml:space="preserve">
Redactar en forma de actividad "REALIZAR" o "LLEVAR A CABO"</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Angela Marcela Forero Ruiz</author>
    <author>Microsoft Office User</author>
    <author/>
  </authors>
  <commentList>
    <comment ref="AA15" authorId="0" shapeId="0" xr:uid="{00000000-0006-0000-0300-000001000000}">
      <text>
        <r>
          <rPr>
            <b/>
            <sz val="9"/>
            <color indexed="81"/>
            <rFont val="Tahoma"/>
            <family val="2"/>
          </rPr>
          <t>OLS</t>
        </r>
        <r>
          <rPr>
            <sz val="9"/>
            <color indexed="81"/>
            <rFont val="Tahoma"/>
            <family val="2"/>
          </rPr>
          <t xml:space="preserve">
Promoción de la igualdad, el desarrollo de capacidades y el reconocimiento de las mujeres
</t>
        </r>
      </text>
    </comment>
    <comment ref="G24" authorId="0" shapeId="0" xr:uid="{00000000-0006-0000-0300-000002000000}">
      <text>
        <r>
          <rPr>
            <b/>
            <sz val="11"/>
            <color indexed="81"/>
            <rFont val="Tahoma"/>
            <family val="2"/>
          </rPr>
          <t xml:space="preserve">OLS: </t>
        </r>
        <r>
          <rPr>
            <sz val="11"/>
            <color indexed="81"/>
            <rFont val="Tahoma"/>
            <family val="2"/>
          </rPr>
          <t>Incluir anulacions de la reserva de tal forma que de $50.439.823 qu corresponde al valor actual</t>
        </r>
      </text>
    </comment>
    <comment ref="C32" authorId="1" shapeId="0" xr:uid="{00000000-0006-0000-0300-000003000000}">
      <text>
        <r>
          <rPr>
            <b/>
            <sz val="9"/>
            <color indexed="8"/>
            <rFont val="Tahoma"/>
            <family val="2"/>
          </rPr>
          <t>Microsoft Office User:</t>
        </r>
        <r>
          <rPr>
            <sz val="9"/>
            <color indexed="8"/>
            <rFont val="Tahoma"/>
            <family val="2"/>
          </rPr>
          <t xml:space="preserve">
</t>
        </r>
        <r>
          <rPr>
            <sz val="9"/>
            <color indexed="8"/>
            <rFont val="Tahoma"/>
            <family val="2"/>
          </rPr>
          <t xml:space="preserve">Corresponde a la magnitud programada en coherencia con la unidad de medida de la meta proyecto. </t>
        </r>
      </text>
    </comment>
    <comment ref="Q32" authorId="2" shapeId="0" xr:uid="{00000000-0006-0000-0300-000004000000}">
      <text>
        <r>
          <rPr>
            <b/>
            <sz val="9"/>
            <color indexed="8"/>
            <rFont val="Tahoma"/>
            <family val="2"/>
          </rPr>
          <t xml:space="preserve">OFICINA ASESORA DE PLANEACIÓN:
</t>
        </r>
        <r>
          <rPr>
            <sz val="9"/>
            <color indexed="8"/>
            <rFont val="Tahoma"/>
            <family val="2"/>
          </rPr>
          <t xml:space="preserve">Máximo de caracteres Avances y logros:  2.000 (Incluidos espacios)
</t>
        </r>
        <r>
          <rPr>
            <sz val="9"/>
            <color indexed="8"/>
            <rFont val="Tahoma"/>
            <family val="2"/>
          </rPr>
          <t xml:space="preserve">Máximo de caracteres Retrasos y alternativas de solución: 1.000 (Incluidos espacios)
</t>
        </r>
        <r>
          <rPr>
            <sz val="9"/>
            <color indexed="8"/>
            <rFont val="Tahoma"/>
            <family val="2"/>
          </rPr>
          <t xml:space="preserve">Para la caracterización del avance de la meta, ésta debe ser cualitativa y cuantitativa. Teniendo en cuenta el número de caracteres que permite el sistema SEGPLAN, se recomienda dejar la información que se considere estratégica desde el área misional y de mayor relevancia. </t>
        </r>
      </text>
    </comment>
    <comment ref="W33" authorId="1" shapeId="0" xr:uid="{00000000-0006-0000-0300-000005000000}">
      <text>
        <r>
          <rPr>
            <b/>
            <sz val="9"/>
            <color indexed="8"/>
            <rFont val="Tahoma"/>
            <family val="2"/>
          </rPr>
          <t>Microsoft Office User:</t>
        </r>
        <r>
          <rPr>
            <sz val="9"/>
            <color indexed="8"/>
            <rFont val="Tahoma"/>
            <family val="2"/>
          </rPr>
          <t xml:space="preserve">
</t>
        </r>
        <r>
          <rPr>
            <sz val="9"/>
            <color indexed="8"/>
            <rFont val="Tahoma"/>
            <family val="2"/>
          </rPr>
          <t xml:space="preserve">En el caso de no presentarse retrasos en el periodo de reporte, incluir una nota indicando que las cifras son acordes con la programación. 
</t>
        </r>
      </text>
    </comment>
    <comment ref="A36" authorId="0" shapeId="0" xr:uid="{00000000-0006-0000-0300-000006000000}">
      <text>
        <r>
          <rPr>
            <b/>
            <sz val="9"/>
            <color indexed="81"/>
            <rFont val="Tahoma"/>
            <family val="2"/>
          </rPr>
          <t>Angela Marcela Forero Ruiz:</t>
        </r>
        <r>
          <rPr>
            <sz val="9"/>
            <color indexed="81"/>
            <rFont val="Tahoma"/>
            <family val="2"/>
          </rPr>
          <t xml:space="preserve">
</t>
        </r>
        <r>
          <rPr>
            <sz val="11"/>
            <color indexed="81"/>
            <rFont val="Tahoma"/>
            <family val="2"/>
          </rPr>
          <t>AJUSTAR LA NUMERACION, ESTA ACTIVIDAD SERIA LA 17</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Angela Marcela Forero Ruiz</author>
    <author>Microsoft Office User</author>
    <author/>
  </authors>
  <commentList>
    <comment ref="AA15" authorId="0" shapeId="0" xr:uid="{00000000-0006-0000-0400-000001000000}">
      <text>
        <r>
          <rPr>
            <b/>
            <sz val="11"/>
            <color indexed="81"/>
            <rFont val="Tahoma"/>
            <family val="2"/>
          </rPr>
          <t xml:space="preserve">OLS
</t>
        </r>
        <r>
          <rPr>
            <sz val="11"/>
            <color indexed="81"/>
            <rFont val="Tahoma"/>
            <family val="2"/>
          </rPr>
          <t xml:space="preserve">Promoción de la igualdad, el desarrollo de capacidades y el reconocimiento de las mujeres
</t>
        </r>
      </text>
    </comment>
    <comment ref="C32" authorId="1" shapeId="0" xr:uid="{00000000-0006-0000-0400-000002000000}">
      <text>
        <r>
          <rPr>
            <b/>
            <sz val="9"/>
            <color indexed="8"/>
            <rFont val="Tahoma"/>
            <family val="2"/>
          </rPr>
          <t>Microsoft Office User:</t>
        </r>
        <r>
          <rPr>
            <sz val="9"/>
            <color indexed="8"/>
            <rFont val="Tahoma"/>
            <family val="2"/>
          </rPr>
          <t xml:space="preserve">
</t>
        </r>
        <r>
          <rPr>
            <sz val="9"/>
            <color indexed="8"/>
            <rFont val="Tahoma"/>
            <family val="2"/>
          </rPr>
          <t xml:space="preserve">Corresponde a la magnitud programada en coherencia con la unidad de medida de la meta proyecto. </t>
        </r>
      </text>
    </comment>
    <comment ref="Q32" authorId="2" shapeId="0" xr:uid="{00000000-0006-0000-0400-000003000000}">
      <text>
        <r>
          <rPr>
            <b/>
            <sz val="9"/>
            <color indexed="8"/>
            <rFont val="Tahoma"/>
            <family val="2"/>
          </rPr>
          <t xml:space="preserve">OFICINA ASESORA DE PLANEACIÓN:
</t>
        </r>
        <r>
          <rPr>
            <sz val="9"/>
            <color indexed="8"/>
            <rFont val="Tahoma"/>
            <family val="2"/>
          </rPr>
          <t xml:space="preserve">Máximo de caracteres Avances y logros:  2.000 (Incluidos espacios)
</t>
        </r>
        <r>
          <rPr>
            <sz val="9"/>
            <color indexed="8"/>
            <rFont val="Tahoma"/>
            <family val="2"/>
          </rPr>
          <t xml:space="preserve">Máximo de caracteres Retrasos y alternativas de solución: 1.000 (Incluidos espacios)
</t>
        </r>
        <r>
          <rPr>
            <sz val="9"/>
            <color indexed="8"/>
            <rFont val="Tahoma"/>
            <family val="2"/>
          </rPr>
          <t xml:space="preserve">Para la caracterización del avance de la meta, ésta debe ser cualitativa y cuantitativa. Teniendo en cuenta el número de caracteres que permite el sistema SEGPLAN, se recomienda dejar la información que se considere estratégica desde el área misional y de mayor relevancia. </t>
        </r>
      </text>
    </comment>
    <comment ref="W33" authorId="1" shapeId="0" xr:uid="{00000000-0006-0000-0400-000004000000}">
      <text>
        <r>
          <rPr>
            <b/>
            <sz val="9"/>
            <color indexed="8"/>
            <rFont val="Tahoma"/>
            <family val="2"/>
          </rPr>
          <t>Microsoft Office User:</t>
        </r>
        <r>
          <rPr>
            <sz val="9"/>
            <color indexed="8"/>
            <rFont val="Tahoma"/>
            <family val="2"/>
          </rPr>
          <t xml:space="preserve">
</t>
        </r>
        <r>
          <rPr>
            <sz val="9"/>
            <color indexed="8"/>
            <rFont val="Tahoma"/>
            <family val="2"/>
          </rPr>
          <t xml:space="preserve">En el caso de no presentarse retrasos en el periodo de reporte, incluir una nota indicando que las cifras son acordes con la programación. 
</t>
        </r>
      </text>
    </comment>
    <comment ref="A36" authorId="0" shapeId="0" xr:uid="{00000000-0006-0000-0400-000005000000}">
      <text>
        <r>
          <rPr>
            <b/>
            <sz val="9"/>
            <color indexed="81"/>
            <rFont val="Tahoma"/>
            <family val="2"/>
          </rPr>
          <t>Angela Marcela Forero Ruiz:</t>
        </r>
        <r>
          <rPr>
            <sz val="9"/>
            <color indexed="81"/>
            <rFont val="Tahoma"/>
            <family val="2"/>
          </rPr>
          <t xml:space="preserve">
</t>
        </r>
        <r>
          <rPr>
            <sz val="11"/>
            <color indexed="81"/>
            <rFont val="Tahoma"/>
            <family val="2"/>
          </rPr>
          <t>AJUSTAR NUMERACION DE LAS ACTIVIDADES, ESTA INICIARIA CON 21</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Angela Marcela Forero Ruiz</author>
    <author>Microsoft Office User</author>
    <author>Denis Helbert Morales Roa</author>
  </authors>
  <commentList>
    <comment ref="AA15" authorId="0" shapeId="0" xr:uid="{00000000-0006-0000-0500-000001000000}">
      <text>
        <r>
          <rPr>
            <b/>
            <sz val="11"/>
            <color indexed="81"/>
            <rFont val="Tahoma"/>
            <family val="2"/>
          </rPr>
          <t xml:space="preserve">OLS
</t>
        </r>
        <r>
          <rPr>
            <sz val="11"/>
            <color indexed="81"/>
            <rFont val="Tahoma"/>
            <family val="2"/>
          </rPr>
          <t>Promoción de la igualdad, el desarrollo de capacidades y el reconocimiento de las mujeres</t>
        </r>
      </text>
    </comment>
    <comment ref="W17" authorId="0" shapeId="0" xr:uid="{00000000-0006-0000-0500-000002000000}">
      <text>
        <r>
          <rPr>
            <b/>
            <sz val="11"/>
            <color indexed="81"/>
            <rFont val="Tahoma"/>
            <family val="2"/>
          </rPr>
          <t>Angela Marcela Forero Ruiz:</t>
        </r>
        <r>
          <rPr>
            <sz val="11"/>
            <color indexed="81"/>
            <rFont val="Tahoma"/>
            <family val="2"/>
          </rPr>
          <t xml:space="preserve">
La meta para 2023 es 0,20</t>
        </r>
      </text>
    </comment>
    <comment ref="AC17" authorId="0" shapeId="0" xr:uid="{00000000-0006-0000-0500-000003000000}">
      <text>
        <r>
          <rPr>
            <b/>
            <sz val="11"/>
            <color indexed="81"/>
            <rFont val="Tahoma"/>
            <family val="2"/>
          </rPr>
          <t>Angela Marcela Forero Ruiz:</t>
        </r>
        <r>
          <rPr>
            <sz val="11"/>
            <color indexed="81"/>
            <rFont val="Tahoma"/>
            <family val="2"/>
          </rPr>
          <t xml:space="preserve">
Incluir ponderación de esta meta 6%</t>
        </r>
      </text>
    </comment>
    <comment ref="C32" authorId="1" shapeId="0" xr:uid="{00000000-0006-0000-0500-000004000000}">
      <text>
        <r>
          <rPr>
            <b/>
            <sz val="9"/>
            <color indexed="8"/>
            <rFont val="Tahoma"/>
            <family val="2"/>
          </rPr>
          <t>Microsoft Office User:</t>
        </r>
        <r>
          <rPr>
            <sz val="9"/>
            <color indexed="8"/>
            <rFont val="Tahoma"/>
            <family val="2"/>
          </rPr>
          <t xml:space="preserve">
</t>
        </r>
        <r>
          <rPr>
            <sz val="9"/>
            <color indexed="8"/>
            <rFont val="Tahoma"/>
            <family val="2"/>
          </rPr>
          <t xml:space="preserve">Corresponde a la magnitud programada en coherencia con la unidad de medida de la meta proyecto. </t>
        </r>
      </text>
    </comment>
    <comment ref="A36" authorId="0" shapeId="0" xr:uid="{00000000-0006-0000-0500-000005000000}">
      <text>
        <r>
          <rPr>
            <b/>
            <sz val="9"/>
            <color indexed="81"/>
            <rFont val="Tahoma"/>
            <family val="2"/>
          </rPr>
          <t>Angela Marcela Forero Ruiz:</t>
        </r>
        <r>
          <rPr>
            <sz val="9"/>
            <color indexed="81"/>
            <rFont val="Tahoma"/>
            <family val="2"/>
          </rPr>
          <t xml:space="preserve">
AJUSTAR NUMERACION, ESTA ACTIVIDAD INICIARIA CON EL NUMERO 24</t>
        </r>
      </text>
    </comment>
    <comment ref="A38" authorId="2" shapeId="0" xr:uid="{00000000-0006-0000-0500-000006000000}">
      <text>
        <r>
          <rPr>
            <b/>
            <sz val="9"/>
            <color indexed="81"/>
            <rFont val="Tahoma"/>
            <family val="2"/>
          </rPr>
          <t>Denis Helbert Morales Roa:</t>
        </r>
        <r>
          <rPr>
            <sz val="9"/>
            <color indexed="81"/>
            <rFont val="Tahoma"/>
            <family val="2"/>
          </rPr>
          <t xml:space="preserve">
En esta meta debe también reportar la dirección de Territorialización. Se debe preguntar a Territorialización, a qué meta reportan el fortalecimiento de Organizaciones</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Angela Marcela Forero Ruiz</author>
    <author>Denis Helbert Morales Roa</author>
  </authors>
  <commentList>
    <comment ref="AA15" authorId="0" shapeId="0" xr:uid="{00000000-0006-0000-0600-000001000000}">
      <text>
        <r>
          <rPr>
            <b/>
            <sz val="11"/>
            <color indexed="81"/>
            <rFont val="Tahoma"/>
            <family val="2"/>
          </rPr>
          <t xml:space="preserve">OLS
</t>
        </r>
        <r>
          <rPr>
            <sz val="11"/>
            <color indexed="81"/>
            <rFont val="Tahoma"/>
            <family val="2"/>
          </rPr>
          <t>Promoción de la igualdad, el desarrollo de capacidades y el reconocimiento de las mujeres</t>
        </r>
      </text>
    </comment>
    <comment ref="AC17" authorId="0" shapeId="0" xr:uid="{00000000-0006-0000-0600-000002000000}">
      <text>
        <r>
          <rPr>
            <b/>
            <sz val="11"/>
            <color indexed="81"/>
            <rFont val="Tahoma"/>
            <family val="2"/>
          </rPr>
          <t>Angela Marcela Forero Ruiz:</t>
        </r>
        <r>
          <rPr>
            <sz val="11"/>
            <color indexed="81"/>
            <rFont val="Tahoma"/>
            <family val="2"/>
          </rPr>
          <t xml:space="preserve">
Incluir ponderación de esta meta 5%</t>
        </r>
      </text>
    </comment>
    <comment ref="A50" authorId="1" shapeId="0" xr:uid="{00000000-0006-0000-0600-000003000000}">
      <text>
        <r>
          <rPr>
            <b/>
            <sz val="9"/>
            <color indexed="81"/>
            <rFont val="Tahoma"/>
            <family val="2"/>
          </rPr>
          <t>Denis Helbert Morales Roa:</t>
        </r>
        <r>
          <rPr>
            <sz val="9"/>
            <color indexed="81"/>
            <rFont val="Tahoma"/>
            <family val="2"/>
          </rPr>
          <t xml:space="preserve">
Se propone que se mantenga este acompañamiento pero que se sume a la meta  el acompañamiento a otra instancia que podría ser el Consejo Distrital de Jóvenes</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Angela Marcela Forero Ruiz</author>
    <author>Microsoft Office User</author>
    <author/>
  </authors>
  <commentList>
    <comment ref="AA15" authorId="0" shapeId="0" xr:uid="{00000000-0006-0000-0700-000001000000}">
      <text>
        <r>
          <rPr>
            <b/>
            <sz val="11"/>
            <color indexed="81"/>
            <rFont val="Tahoma"/>
            <family val="2"/>
          </rPr>
          <t xml:space="preserve">OLS
</t>
        </r>
        <r>
          <rPr>
            <sz val="11"/>
            <color indexed="81"/>
            <rFont val="Tahoma"/>
            <family val="2"/>
          </rPr>
          <t>Promoción de la igualdad, el desarrollo de capacidades y el reconocimiento de las mujeres</t>
        </r>
      </text>
    </comment>
    <comment ref="C32" authorId="1" shapeId="0" xr:uid="{00000000-0006-0000-0700-000002000000}">
      <text>
        <r>
          <rPr>
            <b/>
            <sz val="9"/>
            <color indexed="8"/>
            <rFont val="Tahoma"/>
            <family val="2"/>
          </rPr>
          <t>Microsoft Office User:</t>
        </r>
        <r>
          <rPr>
            <sz val="9"/>
            <color indexed="8"/>
            <rFont val="Tahoma"/>
            <family val="2"/>
          </rPr>
          <t xml:space="preserve">
</t>
        </r>
        <r>
          <rPr>
            <sz val="9"/>
            <color indexed="8"/>
            <rFont val="Tahoma"/>
            <family val="2"/>
          </rPr>
          <t xml:space="preserve">Corresponde a la magnitud programada en coherencia con la unidad de medida de la meta proyecto. </t>
        </r>
      </text>
    </comment>
    <comment ref="Q32" authorId="2" shapeId="0" xr:uid="{00000000-0006-0000-0700-000003000000}">
      <text>
        <r>
          <rPr>
            <b/>
            <sz val="9"/>
            <color indexed="8"/>
            <rFont val="Tahoma"/>
            <family val="2"/>
          </rPr>
          <t xml:space="preserve">OFICINA ASESORA DE PLANEACIÓN:
</t>
        </r>
        <r>
          <rPr>
            <sz val="9"/>
            <color indexed="8"/>
            <rFont val="Tahoma"/>
            <family val="2"/>
          </rPr>
          <t xml:space="preserve">Máximo de caracteres Avances y logros:  2.000 (Incluidos espacios)
</t>
        </r>
        <r>
          <rPr>
            <sz val="9"/>
            <color indexed="8"/>
            <rFont val="Tahoma"/>
            <family val="2"/>
          </rPr>
          <t xml:space="preserve">Máximo de caracteres Retrasos y alternativas de solución: 1.000 (Incluidos espacios)
</t>
        </r>
        <r>
          <rPr>
            <sz val="9"/>
            <color indexed="8"/>
            <rFont val="Tahoma"/>
            <family val="2"/>
          </rPr>
          <t xml:space="preserve">Para la caracterización del avance de la meta, ésta debe ser cualitativa y cuantitativa. Teniendo en cuenta el número de caracteres que permite el sistema SEGPLAN, se recomienda dejar la información que se considere estratégica desde el área misional y de mayor relevancia. </t>
        </r>
      </text>
    </comment>
    <comment ref="W33" authorId="1" shapeId="0" xr:uid="{00000000-0006-0000-0700-000004000000}">
      <text>
        <r>
          <rPr>
            <b/>
            <sz val="9"/>
            <color indexed="8"/>
            <rFont val="Tahoma"/>
            <family val="2"/>
          </rPr>
          <t>Microsoft Office User:</t>
        </r>
        <r>
          <rPr>
            <sz val="9"/>
            <color indexed="8"/>
            <rFont val="Tahoma"/>
            <family val="2"/>
          </rPr>
          <t xml:space="preserve">
</t>
        </r>
        <r>
          <rPr>
            <sz val="9"/>
            <color indexed="8"/>
            <rFont val="Tahoma"/>
            <family val="2"/>
          </rPr>
          <t xml:space="preserve">En el caso de no presentarse retrasos en el periodo de reporte, incluir una nota indicando que las cifras son acordes con la programación. 
</t>
        </r>
      </text>
    </comment>
    <comment ref="A36" authorId="0" shapeId="0" xr:uid="{00000000-0006-0000-0700-000005000000}">
      <text>
        <r>
          <rPr>
            <b/>
            <sz val="9"/>
            <color indexed="81"/>
            <rFont val="Tahoma"/>
            <family val="2"/>
          </rPr>
          <t>Angela Marcela Forero Ruiz:</t>
        </r>
        <r>
          <rPr>
            <sz val="9"/>
            <color indexed="81"/>
            <rFont val="Tahoma"/>
            <family val="2"/>
          </rPr>
          <t xml:space="preserve">
AJUSTAR NUMERACION DE LAS ACTIVIDADES, CREO QUE ESTA SERIA LA 32 Y ASI SUCESIVAMENTE</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Microsoft Office User</author>
  </authors>
  <commentList>
    <comment ref="AV5" authorId="0" shapeId="0" xr:uid="{00000000-0006-0000-0800-000001000000}">
      <text>
        <r>
          <rPr>
            <b/>
            <sz val="10"/>
            <color indexed="8"/>
            <rFont val="Tahoma"/>
            <family val="2"/>
          </rPr>
          <t>Microsoft Office User:</t>
        </r>
        <r>
          <rPr>
            <sz val="10"/>
            <color indexed="8"/>
            <rFont val="Tahoma"/>
            <family val="2"/>
          </rPr>
          <t xml:space="preserve">
</t>
        </r>
        <r>
          <rPr>
            <sz val="10"/>
            <color indexed="8"/>
            <rFont val="Tahoma"/>
            <family val="2"/>
          </rPr>
          <t xml:space="preserve">Relacionar la descripción cualitativa del cumplimiento en coherencia con el avance del indicador.
</t>
        </r>
        <r>
          <rPr>
            <sz val="10"/>
            <color indexed="8"/>
            <rFont val="Tahoma"/>
            <family val="2"/>
          </rPr>
          <t>De presentarse el mismo reporte (meta 1..n) indicarlo. ejemplo: avance reportado en proyecto 7738, actividad 1.</t>
        </r>
      </text>
    </comment>
    <comment ref="AW5" authorId="0" shapeId="0" xr:uid="{00000000-0006-0000-0800-000002000000}">
      <text>
        <r>
          <rPr>
            <b/>
            <sz val="10"/>
            <color indexed="8"/>
            <rFont val="Tahoma"/>
            <family val="2"/>
          </rPr>
          <t>Microsoft Office User:</t>
        </r>
        <r>
          <rPr>
            <sz val="10"/>
            <color indexed="8"/>
            <rFont val="Tahoma"/>
            <family val="2"/>
          </rPr>
          <t xml:space="preserve">
</t>
        </r>
        <r>
          <rPr>
            <sz val="10"/>
            <color indexed="8"/>
            <rFont val="Tahoma"/>
            <family val="2"/>
          </rPr>
          <t xml:space="preserve">Relacionar la descripción cualitativa del cumplimiento en coherencia con el avance del indicador.
</t>
        </r>
        <r>
          <rPr>
            <sz val="10"/>
            <color indexed="8"/>
            <rFont val="Tahoma"/>
            <family val="2"/>
          </rPr>
          <t>De presentarse el mismo reporte (meta 1..n) indicarlo. ejemplo: avance reportado en proyecto 7738, actividad 1.</t>
        </r>
      </text>
    </comment>
    <comment ref="AX5" authorId="0" shapeId="0" xr:uid="{00000000-0006-0000-0800-000003000000}">
      <text>
        <r>
          <rPr>
            <b/>
            <sz val="10"/>
            <color indexed="8"/>
            <rFont val="Tahoma"/>
            <family val="2"/>
          </rPr>
          <t>Microsoft Office User:</t>
        </r>
        <r>
          <rPr>
            <sz val="10"/>
            <color indexed="8"/>
            <rFont val="Tahoma"/>
            <family val="2"/>
          </rPr>
          <t xml:space="preserve">
</t>
        </r>
        <r>
          <rPr>
            <sz val="10"/>
            <color indexed="8"/>
            <rFont val="Tahoma"/>
            <family val="2"/>
          </rPr>
          <t>Relacionar el detalle del retraso, en coherencia con la programación de cada periodo. De presentarse esta situación es obligatorio diligenciar este campo.</t>
        </r>
      </text>
    </comment>
    <comment ref="AY5" authorId="0" shapeId="0" xr:uid="{00000000-0006-0000-0800-000004000000}">
      <text>
        <r>
          <rPr>
            <b/>
            <sz val="10"/>
            <color indexed="8"/>
            <rFont val="Tahoma"/>
            <family val="2"/>
          </rPr>
          <t>Microsoft Office User:</t>
        </r>
        <r>
          <rPr>
            <sz val="10"/>
            <color indexed="8"/>
            <rFont val="Tahoma"/>
            <family val="2"/>
          </rPr>
          <t xml:space="preserve">
</t>
        </r>
        <r>
          <rPr>
            <sz val="10"/>
            <color indexed="8"/>
            <rFont val="Tahoma"/>
            <family val="2"/>
          </rPr>
          <t xml:space="preserve">Relacionar la descripción de las alternativas de solución </t>
        </r>
      </text>
    </comment>
    <comment ref="A11" authorId="0" shapeId="0" xr:uid="{00000000-0006-0000-0800-000005000000}">
      <text>
        <r>
          <rPr>
            <b/>
            <sz val="10"/>
            <color indexed="8"/>
            <rFont val="Tahoma"/>
            <family val="2"/>
          </rPr>
          <t>Microsoft Office User:</t>
        </r>
        <r>
          <rPr>
            <sz val="10"/>
            <color indexed="8"/>
            <rFont val="Tahoma"/>
            <family val="2"/>
          </rPr>
          <t xml:space="preserve">
</t>
        </r>
        <r>
          <rPr>
            <sz val="10"/>
            <color indexed="8"/>
            <rFont val="Tahoma"/>
            <family val="2"/>
          </rPr>
          <t xml:space="preserve">Seleccionar el nivel del indicador a reportar y relacionar el código asignado del indicador a medir segun: SEGPLAN, PMR, número de actividad, etc). La codificación se puede consultar en la pestaña de  generalidades.
</t>
        </r>
      </text>
    </comment>
    <comment ref="I11" authorId="0" shapeId="0" xr:uid="{00000000-0006-0000-0800-000006000000}">
      <text>
        <r>
          <rPr>
            <b/>
            <sz val="10"/>
            <color indexed="8"/>
            <rFont val="Tahoma"/>
            <family val="2"/>
          </rPr>
          <t>Microsoft Office User:</t>
        </r>
        <r>
          <rPr>
            <sz val="10"/>
            <color indexed="8"/>
            <rFont val="Tahoma"/>
            <family val="2"/>
          </rPr>
          <t xml:space="preserve">
</t>
        </r>
        <r>
          <rPr>
            <sz val="10"/>
            <color indexed="8"/>
            <rFont val="Tahoma"/>
            <family val="2"/>
          </rPr>
          <t xml:space="preserve">Corresponde a la meta PDD o meta proyecto articulada con el indicador a medir.
</t>
        </r>
        <r>
          <rPr>
            <sz val="10"/>
            <color indexed="8"/>
            <rFont val="Tahoma"/>
            <family val="2"/>
          </rPr>
          <t xml:space="preserve">Así mismo se podrá establecer una meta nueva en caso de evidenciar la necesidad. </t>
        </r>
      </text>
    </comment>
    <comment ref="J11" authorId="0" shapeId="0" xr:uid="{00000000-0006-0000-0800-000007000000}">
      <text>
        <r>
          <rPr>
            <b/>
            <sz val="10"/>
            <color indexed="8"/>
            <rFont val="Tahoma"/>
            <family val="2"/>
          </rPr>
          <t>Microsoft Office User:</t>
        </r>
        <r>
          <rPr>
            <sz val="10"/>
            <color indexed="8"/>
            <rFont val="Tahoma"/>
            <family val="2"/>
          </rPr>
          <t xml:space="preserve">
</t>
        </r>
        <r>
          <rPr>
            <sz val="10"/>
            <color indexed="8"/>
            <rFont val="Tahoma"/>
            <family val="2"/>
          </rPr>
          <t xml:space="preserve">Detallar la expresión cualitativa del indicador.
</t>
        </r>
        <r>
          <rPr>
            <sz val="10"/>
            <color indexed="8"/>
            <rFont val="Tahoma"/>
            <family val="2"/>
          </rPr>
          <t>Objeto + condición deseada del objeto (verbo conjugado) + elementos adicionales de contexto descriptivo</t>
        </r>
      </text>
    </comment>
    <comment ref="K11" authorId="0" shapeId="0" xr:uid="{00000000-0006-0000-0800-000008000000}">
      <text>
        <r>
          <rPr>
            <b/>
            <sz val="10"/>
            <color indexed="8"/>
            <rFont val="Tahoma"/>
            <family val="2"/>
          </rPr>
          <t>Microsoft Office User:</t>
        </r>
        <r>
          <rPr>
            <sz val="10"/>
            <color indexed="8"/>
            <rFont val="Tahoma"/>
            <family val="2"/>
          </rPr>
          <t xml:space="preserve">
</t>
        </r>
        <r>
          <rPr>
            <sz val="10"/>
            <color indexed="8"/>
            <rFont val="Tahoma"/>
            <family val="2"/>
          </rPr>
          <t xml:space="preserve">En coherencia con los mediciones establecidas por la SDH, Corresponde a:
</t>
        </r>
        <r>
          <rPr>
            <sz val="10"/>
            <color indexed="8"/>
            <rFont val="Tahoma"/>
            <family val="2"/>
          </rPr>
          <t xml:space="preserve">Suma 
</t>
        </r>
        <r>
          <rPr>
            <sz val="10"/>
            <color indexed="8"/>
            <rFont val="Tahoma"/>
            <family val="2"/>
          </rPr>
          <t xml:space="preserve">Creciente
</t>
        </r>
        <r>
          <rPr>
            <sz val="10"/>
            <color indexed="8"/>
            <rFont val="Tahoma"/>
            <family val="2"/>
          </rPr>
          <t xml:space="preserve">Decreciente
</t>
        </r>
        <r>
          <rPr>
            <sz val="10"/>
            <color indexed="8"/>
            <rFont val="Tahoma"/>
            <family val="2"/>
          </rPr>
          <t>Constante</t>
        </r>
      </text>
    </comment>
    <comment ref="N11" authorId="0" shapeId="0" xr:uid="{00000000-0006-0000-0800-000009000000}">
      <text>
        <r>
          <rPr>
            <b/>
            <sz val="10"/>
            <color indexed="8"/>
            <rFont val="Tahoma"/>
            <family val="2"/>
          </rPr>
          <t>Microsoft Office User:</t>
        </r>
        <r>
          <rPr>
            <sz val="10"/>
            <color indexed="8"/>
            <rFont val="Tahoma"/>
            <family val="2"/>
          </rPr>
          <t xml:space="preserve">
</t>
        </r>
        <r>
          <rPr>
            <sz val="10"/>
            <color indexed="8"/>
            <rFont val="Tahoma"/>
            <family val="2"/>
          </rPr>
          <t>Corresponde a la descripción detallada de la medición del indicador y la formula del mismo</t>
        </r>
      </text>
    </comment>
    <comment ref="T11" authorId="0" shapeId="0" xr:uid="{00000000-0006-0000-0800-00000A000000}">
      <text>
        <r>
          <rPr>
            <b/>
            <sz val="10"/>
            <color indexed="8"/>
            <rFont val="Tahoma"/>
            <family val="2"/>
          </rPr>
          <t>Microsoft Office User:</t>
        </r>
        <r>
          <rPr>
            <sz val="10"/>
            <color indexed="8"/>
            <rFont val="Tahoma"/>
            <family val="2"/>
          </rPr>
          <t xml:space="preserve">
</t>
        </r>
        <r>
          <rPr>
            <sz val="10"/>
            <color indexed="8"/>
            <rFont val="Tahoma"/>
            <family val="2"/>
          </rPr>
          <t xml:space="preserve">Se debe establecer la periodicidad de la medicicion del indicador y del reporte del seguimiento </t>
        </r>
      </text>
    </comment>
  </commentList>
</comments>
</file>

<file path=xl/sharedStrings.xml><?xml version="1.0" encoding="utf-8"?>
<sst xmlns="http://schemas.openxmlformats.org/spreadsheetml/2006/main" count="2114" uniqueCount="601">
  <si>
    <t>SECRETARÍA DISTRITAL DE LA MUJER</t>
  </si>
  <si>
    <t>Código: DE-FO-5</t>
  </si>
  <si>
    <t xml:space="preserve">DIRECCIONAMIENTO ESTRATEGICO </t>
  </si>
  <si>
    <t>Versión: 09</t>
  </si>
  <si>
    <t xml:space="preserve">FORMULACIÓN Y SEGUIMIENTO  PLAN DE ACCIÓN </t>
  </si>
  <si>
    <t>Fecha de Emisión: 10/01/2023</t>
  </si>
  <si>
    <t>Página 1 de 3</t>
  </si>
  <si>
    <t>PERIODO REPORTADO</t>
  </si>
  <si>
    <t>SEP</t>
  </si>
  <si>
    <t>FECHA DE REPORTE</t>
  </si>
  <si>
    <t>TIPO DE REPORTE</t>
  </si>
  <si>
    <t>FORMULACION</t>
  </si>
  <si>
    <t>ACTUALIZACION</t>
  </si>
  <si>
    <t>SEGUIMIENTO</t>
  </si>
  <si>
    <t>X</t>
  </si>
  <si>
    <t>NOMBRE DEL PROYECTO</t>
  </si>
  <si>
    <t>7671 - Implementación de acciones afirmativas dirigidas a las mujeres con enfoque diferencial y de género en Bogotá</t>
  </si>
  <si>
    <t>PROPÓSITO</t>
  </si>
  <si>
    <t>Hacer un nuevo contrato social con igualdad de oportunidades para la inclusión social, productiva y política</t>
  </si>
  <si>
    <t>LOGRO</t>
  </si>
  <si>
    <t>Implementar el sistema distrital de cuidado y la estrategia de transversalización y territorialización de los enfoques de género y diferencial para garantizar la igualdad de género, los derechos de las mujeres y el desarrollo de capacidades de la ciudadanía en el nivel distrital y local.</t>
  </si>
  <si>
    <t>PROGRAMA</t>
  </si>
  <si>
    <t>Promoción de la igualdad, el desarrollo de capacidades y el reconocimiento de las mujeres.</t>
  </si>
  <si>
    <t>DESCRIPCIÓN DE LA META (ACTIVIDAD MGA)</t>
  </si>
  <si>
    <t>Elaborar e implementar 3 lineamientos con enfoques de derechos de las mujeres, de género y diferencial</t>
  </si>
  <si>
    <t xml:space="preserve">MAGNITUD META VIGENCIA ACTUAL	</t>
  </si>
  <si>
    <t>PONDERACIÓN META (%)</t>
  </si>
  <si>
    <t>EJECUCIÓN PRESUPUESTAL DEL PROYECTO</t>
  </si>
  <si>
    <t>RESERVAS VIGENCIA ANTERIOR (en pesos, sin decimales)</t>
  </si>
  <si>
    <t>PRESUPUESTO ASIGNADO EN LA VIGENCIA ACTUAL (en pesos, sin decimales)</t>
  </si>
  <si>
    <t>ENE</t>
  </si>
  <si>
    <t>FEB</t>
  </si>
  <si>
    <t>MAR</t>
  </si>
  <si>
    <t>ABR</t>
  </si>
  <si>
    <t>MAY</t>
  </si>
  <si>
    <t>JUN</t>
  </si>
  <si>
    <t>JUL</t>
  </si>
  <si>
    <t>AGO</t>
  </si>
  <si>
    <t>OCT</t>
  </si>
  <si>
    <t>NOV</t>
  </si>
  <si>
    <t>DIC</t>
  </si>
  <si>
    <t>TOTAL</t>
  </si>
  <si>
    <t>AVANCE</t>
  </si>
  <si>
    <t>PROGRAMACION DE COMPROMISOS</t>
  </si>
  <si>
    <t>COMPROMISOS</t>
  </si>
  <si>
    <t>PROGRAMACION DE GIROS</t>
  </si>
  <si>
    <t>GIROS</t>
  </si>
  <si>
    <t xml:space="preserve">REPORTE METAS VIGENCIA ANTERIOR - Pendientes de cumplir por contratos sin ejecutar a 31.DIC (Reservas Presupuestales) </t>
  </si>
  <si>
    <t>DESCRIPCIÓN DE LA META (ACTIVIDAD)</t>
  </si>
  <si>
    <t>PROG.</t>
  </si>
  <si>
    <t>AVANCE MENSUAL</t>
  </si>
  <si>
    <t>DESCRIPCIÓN CUALITATIVA DEL AVANCE POR META
(Logros y beneficios, y retrasos y alternativas de solución (2.000 caracteres))</t>
  </si>
  <si>
    <t xml:space="preserve">Elaborar e implementar 3 lineamientos con enfoque de derechos de las mujeres, de genero y diferencial </t>
  </si>
  <si>
    <t>REPORTE METAS VIGENCIA (Ejecución vigencia)</t>
  </si>
  <si>
    <t xml:space="preserve">DESCRIPCIÓN DE LA META (ACTIVIDAD) </t>
  </si>
  <si>
    <t>PONDERACIÓN META</t>
  </si>
  <si>
    <t xml:space="preserve">AVANCE DE META </t>
  </si>
  <si>
    <t>DESCRIPCIÓN CUALITATIVA DEL AVANCE POR META</t>
  </si>
  <si>
    <t>Avances y Logros Mensual (2.000 caracteres)</t>
  </si>
  <si>
    <t>Avances y Logros Acumulado 
(2.000 caracteres)</t>
  </si>
  <si>
    <t>Retrasos y Alternativas de solución (1.000 caracteres)</t>
  </si>
  <si>
    <t>Beneficios</t>
  </si>
  <si>
    <t>Programación</t>
  </si>
  <si>
    <t>Ejecución</t>
  </si>
  <si>
    <t>DESCRIPCIÓN DE LA ACTIVIDAD (ACCIÓN)</t>
  </si>
  <si>
    <t>PONDERACIÓN VERTICAL (Porcentual)</t>
  </si>
  <si>
    <t>CRONOGRAMA %</t>
  </si>
  <si>
    <t>DESCRIPCIÓN CUALITATIVA DEL AVANCE POR ACTIVIDAD</t>
  </si>
  <si>
    <t>CRITERIOS DE SEGUIMIENTO</t>
  </si>
  <si>
    <t>MES 1</t>
  </si>
  <si>
    <t>MES 2</t>
  </si>
  <si>
    <t>MES 3</t>
  </si>
  <si>
    <t>MES 4</t>
  </si>
  <si>
    <t>MES 5</t>
  </si>
  <si>
    <t>MES 6</t>
  </si>
  <si>
    <t>MES 7</t>
  </si>
  <si>
    <t>MES 8</t>
  </si>
  <si>
    <t>MES 9</t>
  </si>
  <si>
    <t>MES 10</t>
  </si>
  <si>
    <t>MES 11</t>
  </si>
  <si>
    <t>MES 12</t>
  </si>
  <si>
    <t>ACUMULADO</t>
  </si>
  <si>
    <t xml:space="preserve">Logros y beneficios y Retrasos y alternativas de solución (2.000 caracteres) </t>
  </si>
  <si>
    <t xml:space="preserve">1. Realizar actividades de asistencia técnica dirigidas a los Sectores de la Administración Distrital, orientadas a la implementación de los lineamientos para la estrategia de transversalización del enfoque diferencial y del procedimiento de asistencia técnica que lidera la Dirección de Enfoque Diferencial. </t>
  </si>
  <si>
    <t xml:space="preserve">2. Consolidar la caja de herramientas que contribuya a la eliminación de barreras de acceso a los servicios y a la realización de acciones afirmativas dirigidas a mujeres en sus diferencias y diversidad para la garantía de sus derechos en el Distrito Capital. </t>
  </si>
  <si>
    <t>3. Formular, validar, implementar y hacer seguimiento al plan de fortalecimiento interno para la incorporación de acciones afirmativas con enfoque diferencial que permitan el acceso de las mujeres en toda su diversidad a los servicios que presta la Secretaría Distrital de la Mujer.</t>
  </si>
  <si>
    <t>4. Socializar e implementar la hoja de ruta para incorporar los enfoques de derechos de las mujeres, de género y diferencial, a través del acompañamiento y articulación con las consejeras  por el Sector Mujeres en el CTPD.</t>
  </si>
  <si>
    <t>5. Socializar e implementar la hoja de ruta para incorporar los enfoques de derechos de las mujeres, de género y diferencial, a través del acompañamiento y articulación con la Submesa para la garantía y seguimiento de los derechos de las mujeres, diversidades, disidencias sexuales y de Género.</t>
  </si>
  <si>
    <t>6. Realizar un documento que dé cuenta de los avances en la incorporación durante el cuatrienio de los enfoques de derechos de las mujeres, de género y diferencial para mujeres en las instancias que se acompañan desde la Subsecretaría del Cuidado y Políticas de Igualdad.</t>
  </si>
  <si>
    <t>*Incluir tantas filas sean necesarias</t>
  </si>
  <si>
    <t>DESCRIPCIÓN DE LA ACTIVIDAD</t>
  </si>
  <si>
    <t>Código: DE-FO-05</t>
  </si>
  <si>
    <t xml:space="preserve">Versión: </t>
  </si>
  <si>
    <t xml:space="preserve">Fecha de Emisión: </t>
  </si>
  <si>
    <t>dd/mm/aaaa</t>
  </si>
  <si>
    <t>MAGNITUD META VIGENCIA ACTUAL</t>
  </si>
  <si>
    <t>mmmm</t>
  </si>
  <si>
    <t>RESERVAS VIGENCIA ANTERIOR</t>
  </si>
  <si>
    <t>PRESUPUESTO ASIGNADO EN LA VIGENCIA ACTUAL</t>
  </si>
  <si>
    <t>Recursos Programados</t>
  </si>
  <si>
    <t>Recursos Ejecutados (giros)</t>
  </si>
  <si>
    <t>Recursos Ejecutados</t>
  </si>
  <si>
    <t>Recursos girados</t>
  </si>
  <si>
    <t>AVANCE TRIMESTRE</t>
  </si>
  <si>
    <t>EXPLICACIÓN: Información correspondiente a reservas presupuestales.</t>
  </si>
  <si>
    <t>Avances y Logros (2.000 caracteres)</t>
  </si>
  <si>
    <t>EXPLICACIÓN: En este campo se deberá diligenciar lo relacionando a los logros y avances de forma acumulada e integrada.</t>
  </si>
  <si>
    <t>EXPLICACIÓN: En este campo se deberá diligenciar lo relacionando a las dificultades y alternativas de solución presentadas de forma acumulada e integrada.</t>
  </si>
  <si>
    <t>EXPLICACIÓN: En este campo se deberá diligenciar lo relacionando a los beneficios de forma acumulada e integrada.</t>
  </si>
  <si>
    <t xml:space="preserve"> EXPLICACIÓN: Este campo debe contener:
- El avance de la gestión mensual señalando las alertas que puedan afectar el cumplimiento de la actividad o producto. 
- El avance acumulado y los productos obtenidos, señalando las alternativas de solución que se emplearon para mitigar la alerta presentada.</t>
  </si>
  <si>
    <t>Implementar 3 estrategias con enfoque diferencial para mujeres en su diversidad</t>
  </si>
  <si>
    <r>
      <t>Desde la e</t>
    </r>
    <r>
      <rPr>
        <b/>
        <sz val="12"/>
        <rFont val="Times New Roman"/>
        <family val="1"/>
      </rPr>
      <t>strategia de empoderamiento</t>
    </r>
    <r>
      <rPr>
        <sz val="12"/>
        <rFont val="Times New Roman"/>
        <family val="1"/>
      </rPr>
      <t xml:space="preserve"> se logró brindar  herramientas de empoderamiento a niñas, adolescentes y mujeres jóvenes en sus diferencias y diversidad, fortaleciendo su comprensión y la detección y rutas de atención de violencias basadas en género. 
Desde la </t>
    </r>
    <r>
      <rPr>
        <b/>
        <sz val="12"/>
        <rFont val="Times New Roman"/>
        <family val="1"/>
      </rPr>
      <t xml:space="preserve">Estrategia de capacidades psicoemocionales </t>
    </r>
    <r>
      <rPr>
        <sz val="12"/>
        <rFont val="Times New Roman"/>
        <family val="1"/>
      </rPr>
      <t xml:space="preserve">se consolidó una oferta de bienestar emocional para las mujeres en sus diversidades en especial aquellas que por las diferentes dinámicas sociales y culturales han vivido discriminación y violencias, la oferta busca el fortalecimiento de capacidades para la gestión emocional, así como la búsqueda y consolidación de redes de apoyo entre mujeres, además de trabajo de cooperación entre sectores del distrito y con organizaciones internacionales favoreciendo la sostenibilidad y capacidad de la estrategia. 
Desde </t>
    </r>
    <r>
      <rPr>
        <b/>
        <sz val="12"/>
        <rFont val="Times New Roman"/>
        <family val="1"/>
      </rPr>
      <t xml:space="preserve">Estrategia de Cuidado Menstrual </t>
    </r>
    <r>
      <rPr>
        <sz val="12"/>
        <rFont val="Times New Roman"/>
        <family val="1"/>
      </rPr>
      <t xml:space="preserve">se brindó información pertinente y elementos para el cuidado menstrual que impacta en la garantía de derechos sexuales y reproductivos, el Derecho a la Salud Plena de las personas beneficiarias atendiendo a las solicitudes de la Corte Constitucional, de acuerdo con la Sentencia T 398-19 ampliando a estas actividades a mujeres pertenecientes a otras poblaciones. </t>
    </r>
  </si>
  <si>
    <t xml:space="preserve">7. Realizar ajustes a las metodologías de semilleros y jornadas significativas de acuerdo con las necesidades de cada grupo poblacional teniendo en cuenta sus diferencias y diversidad </t>
  </si>
  <si>
    <t>8. Realizar semilleros y jornadas significativas  que brinden herramientas para el  empoderamiento. Dirigidos a niñas, adolescentes y mujeres jóvenes en sus diferencias y diversidad</t>
  </si>
  <si>
    <t>9. Desarrollar acciones de difusión, visibilización divulgación de la estrategia de empoderamiento.</t>
  </si>
  <si>
    <t>10. Desarrollar escuelas de educación emocional enfocadas en fortalecer capacidades y herramientas para gestionar la salud mental de las mujeres en su diversidad en la ciudad de Bogotá.</t>
  </si>
  <si>
    <t>11. Desarrollar espacios de encuentro de mujeres para el cuidado emocional denominados Espacios Respiro.</t>
  </si>
  <si>
    <t xml:space="preserve">12.Diseñar e implementar una estrategia de difusión y socialización de la caja de herramientas construida en el marco de la estrategia de capacidades psicoemocionales  </t>
  </si>
  <si>
    <t xml:space="preserve">13.   Implementar la Fase I y II de la EDCM . Espacios EMAA mujeres en sus diferencias y diversidad; hombres trans y personas no binarias. Jornadas de Dignidad Menstrual. </t>
  </si>
  <si>
    <t xml:space="preserve">14. Realizar la Mesa Interinstitucional activa, implementando Plan de Trabajo  </t>
  </si>
  <si>
    <t xml:space="preserve">15. Definir e implementar acciones de las fases III y IV de la Estrategia de Cuidado Menstrual dirigidas a mujeres y personas con experiencias menstruales en sus diferencias y diversidad, según priorización y pertinencia. </t>
  </si>
  <si>
    <t>16. Diseñar y poner en acción el Plan Estratégico de Comunicaciones de la EDCM</t>
  </si>
  <si>
    <t xml:space="preserve">Implementar la Estrategia Casa de Todas </t>
  </si>
  <si>
    <t>Durante los meses de enero a marzo, se realizaron parte del proceso de contratación del personal de atención de la Casa de Todas; sin embargo, este hecho fue contemplado en la planeación de las metas de atenciones, por tanto, no se presentaron retrasos en el cumplimiento de las mismas.</t>
  </si>
  <si>
    <t>Se ha brindado atención integral y acompañamiento a las mujeres que realizan ASP con el fin de contribuir a la garantía de derechos, combatir la estigmatización y mejorar la calidad de vida de esta población a través de una oferta institucional diferencial y especializada.</t>
  </si>
  <si>
    <t>17. Realizar atenciones en intervención de trabajo  social que comprenden plan de intervención, valoraciones iniciales, intervenciones y seguimiento a mujeres que realizan actividades sexuales pagadas.</t>
  </si>
  <si>
    <t>18.  Realizar atenciones psicosociales  (valoraciones iniciales, asesoría y seguimientos) a mujeres que realizan actividades sexuales pagadas y sus familias</t>
  </si>
  <si>
    <t>19. Realizar atenciones jurídicas a mujeres que realizan actividades sexuales pagadas, que consisten en orientación, asesoría y representación jurídica especializada y llevar casos de intervención o representación judicial, con valoraciones iniciales, asesorías u orientaciones y seguimiento.</t>
  </si>
  <si>
    <t>20. Generar información de los sitios, dinámicas y contextos de las actividades sexuales pagadas en Bogotá</t>
  </si>
  <si>
    <t xml:space="preserve">7671 - Implementación de acciones afirmativas dirigidas a las mujeres con enfoque diferencial y de género en Bogotá								
								</t>
  </si>
  <si>
    <t xml:space="preserve">Hacer un nuevo contrato social con igualdad de oportunidades para la inclusión social, productiva y política								</t>
  </si>
  <si>
    <t xml:space="preserve">			Promoción de la igualdad, el desarrollo de capacidades y el reconocimiento de las mujeres.</t>
  </si>
  <si>
    <t xml:space="preserve">Implementar una estrategia de educación flexible con enfoque diferencial.	</t>
  </si>
  <si>
    <t>Implementar una estrategia de educación flexible con enfoque diferencial.</t>
  </si>
  <si>
    <t>No presentan retrasos.</t>
  </si>
  <si>
    <t xml:space="preserve">La estrategia de educación flexible permite la reducción de las barreras de acceso al derecho a la educación de las mujeres en sus diferencias y diversidad. </t>
  </si>
  <si>
    <t>21.  Promover los apoyos de acceso a educación superior a través del acompañamiento, preparación (PRE ICFES) y financiación del Examen Saber 11°  (ICFES).</t>
  </si>
  <si>
    <t>22. Promover la vinculación de las mujeres en toda su diversidad a la educación superior a través de ferias universitarias, y la divulgación/socialización de herramientas formativas (manuales, documentos, caja de herramientas) con diversas Universidades e Instituciones educativas que permitan facilitar el acceso, permanencia y culminación de los estudios superiores.</t>
  </si>
  <si>
    <t xml:space="preserve">23. Promover y acompañar a las mujeres en toda su diversidad en las estrategias de educación flexible y en los procesos de vinculación a la formación complementaria (cursos cortos) a través de alianzas interinstitucionales públicas y privadas. </t>
  </si>
  <si>
    <t>Implementar 1 estrategia de fortalecimiento de capacidades  para el ejercicio del derecho a la participación de las mujeres</t>
  </si>
  <si>
    <t>Fortalecimiento de las capacidades de las mujeres en torno al ejercicio del derecho de la participación</t>
  </si>
  <si>
    <t>24. Realizar la implementación de la estrategia de fortalecimiento de capacidades para el ejercicio del derecho a la participación de las mujeres en el Distrito.</t>
  </si>
  <si>
    <t xml:space="preserve">Acompañar técnicamente 4 instancias de participación y representación de las mujeres  para fortalecer sus capacidades de liderazgo	</t>
  </si>
  <si>
    <t>Se han realizado el acompañamiento técnico a las cuatro instancias priorizadas  CCM, el Concejo de Bogotá, submesa de género y Consejo Distrital de Juventud</t>
  </si>
  <si>
    <t>Acompañamiento técnico para el fortalecimiento del derecho a la participación de las mujeres en las diferentes instancias priorizadas, para el posicionamiento de sus agendas.</t>
  </si>
  <si>
    <t>25. Acompañar técnica y operativamente el desarrollo de la Mesa coordinadora y el Espacio Ampliado y cuando se solicite por parte del CCM la plenaria del espacio autónomo.</t>
  </si>
  <si>
    <t>26. Acompañar técnicamente el desarrollo de las mesas de trabajo con los sectores de la administración distrital y alcaldias locales, y hacer seguimiento a los compromisos adquiridos por la administración distrital y los alcaldes locales en el marco del Consejo Consultivo de Mujeres.</t>
  </si>
  <si>
    <t>27. Acompañar técnicamente el desarrollo de comisiones de trabajo del Espacio Autónomo del Consejo Consultivo de Mujeres.</t>
  </si>
  <si>
    <t>28. Acompañar técnicamente la transversalización del enfoque de género en el Concejo de Bogotá, con énfasis en las bancadas de mujeres de este órgano</t>
  </si>
  <si>
    <t>29. Acompañar técnicamente, gestionar y coordinar las reuniones con la Submesa para la garantía y seguimiento de los derechos de las mujeres, diversidades, disidencias sexuales y de Género.</t>
  </si>
  <si>
    <t>30. Realizar Acompañamiento técnico al Puesto de mando Unificado (PMU) durante las movilizaciones y protesta social que se realicen y a las cuales se convoque a la SDMujer.</t>
  </si>
  <si>
    <t>31. Acompañar técnicamente a las consejeras del sector mujeres del Consejo Distrital de jóvenes</t>
  </si>
  <si>
    <t>7671 - Implementación de acciones afirmativas dirigidas a las mujeres con enfoque diferencial y de género en Bogotá7671 - Implementación de acciones afirmativas dirigidas a las mujeres con enfoque diferencial y de género en Bogotá</t>
  </si>
  <si>
    <t>Diseñar e implementar 4 estrategias de transformación de imaginarios, representaciones  y estereotipos de discriminación con enfoque diferencial y de género, dirigidas a la ciudadanía</t>
  </si>
  <si>
    <t xml:space="preserve">No se presentan retrasos.
</t>
  </si>
  <si>
    <t>Se contribuye en la eliminación de estereotipos, imaginarios y representaciones de discriminación para las mujeres en sus diferencias y diversidad, a través de fomentar la incorporación del enfoque diferencial en los diferentes sectores de la administración distrital, visibilizar las agendas políticas de las mujeres en sus diferencias y diversidades por medio de las conmemoraciones, crear herramientas con enfoque diferencial, así como vincular a las  mujeres en las actividades de la Dirección.</t>
  </si>
  <si>
    <t>32. Apoyar, articular y desarrollar las conmemoraciones de las mujeres en sus diferencias y diversidad, con las cuales se trabaja en la Dirección de Enfoque Diferencial, reconociendo sus particularidades, usos y costumbres, que permita el posicionamiento de sus agendas políticas a nivel distrital por medio de la transformación cultural vinculando a la sociedad civil, organizaciones de mujeres y sectores de la Administración Distrital.</t>
  </si>
  <si>
    <t xml:space="preserve">33. Diseñar e implementar jornadas de información  con las Oficinas de planeación de los sectores de la administración con el objetivo de transversalizar el enfoque de género y diferencial, por medio de acciones que permitan una transformación cultural, reduciendo los imaginarios, estereotipos y representaciones de las mujeres en sus diferencias y diversidades. </t>
  </si>
  <si>
    <t>FORMULACIÓN Y SEGUIMIENTO PLAN DE ACCIÓN</t>
  </si>
  <si>
    <t>Página 2 de 3</t>
  </si>
  <si>
    <t xml:space="preserve">PROGRAMACIÓN </t>
  </si>
  <si>
    <t>DESCRIPCIÓN CUALITATIVA DEL AVANCE MES</t>
  </si>
  <si>
    <t>DESCRIPCIÓN CUALITATIVA DEL AVANCE ACUMULADO</t>
  </si>
  <si>
    <t>RETRASOS Y FACTORES LIMITANTES PARA EL CUMPLIMIENTO</t>
  </si>
  <si>
    <t>SOLUCIONES PROPUESTAS PARA RESOLVER LOS RETRASOS Y FACTORES LIMITANTES PARA EL CUMPLIMIENTO</t>
  </si>
  <si>
    <t>PRODUCTO INSTITUCIONAL (PMR):</t>
  </si>
  <si>
    <t>3. Igualdad de oportunidades y desarrollo de capacidades para las mujeres</t>
  </si>
  <si>
    <t>OBJETIVO ESTRATEGICO:</t>
  </si>
  <si>
    <t>Implementar acciones afirmativas y estrategias con Enfoque Diferencial para las mujeres en toda su diversidad.</t>
  </si>
  <si>
    <t>NIVEL</t>
  </si>
  <si>
    <t>INFORMACIÓN PLANES OPERATIVOS ANUALES</t>
  </si>
  <si>
    <t xml:space="preserve"> META</t>
  </si>
  <si>
    <t>INDICADOR</t>
  </si>
  <si>
    <t>TIPO DE ANUALIZACIÓN  (Según aplique)</t>
  </si>
  <si>
    <t xml:space="preserve">MAGNITUD CUATRIENIO  (Según aplique) </t>
  </si>
  <si>
    <t>UNIDAD DE MEDIDAD</t>
  </si>
  <si>
    <t xml:space="preserve">DESCRIPCIÓN DE LA MEDICIÓN </t>
  </si>
  <si>
    <t>PROGRAMACIÓN ANUAL</t>
  </si>
  <si>
    <t>PERIODICIDAD</t>
  </si>
  <si>
    <t xml:space="preserve">MEDIOS DE VERIFICACIÓN </t>
  </si>
  <si>
    <t>PROGRAMACIÓN 2023</t>
  </si>
  <si>
    <t xml:space="preserve">AVANCE META </t>
  </si>
  <si>
    <t>Meta sectorial</t>
  </si>
  <si>
    <t>Meta trazadora</t>
  </si>
  <si>
    <t>Meta estratégica</t>
  </si>
  <si>
    <t>PMR</t>
  </si>
  <si>
    <t xml:space="preserve"> De actividad  </t>
  </si>
  <si>
    <t>Otro</t>
  </si>
  <si>
    <t xml:space="preserve"> Proceso</t>
  </si>
  <si>
    <t>Planes Decreto 612</t>
  </si>
  <si>
    <t>MAGNITUD EJECUTADA</t>
  </si>
  <si>
    <t>AVANCE %</t>
  </si>
  <si>
    <t>N/A</t>
  </si>
  <si>
    <t>Diseñar acciones afirmativas con enfoque diferencial, para desarrollar capacidades y promover el bienestar socio emocional y los derechos de las mujeres en todas sus diversidades, en los sectores de la administración distrital y en las localidades</t>
  </si>
  <si>
    <t>Número de sectores que implementan acciones afirmativas con enfoque diferencial para desarrollar capacidades y promover los derechos de las mujeres en todas sus diversidades</t>
  </si>
  <si>
    <t>Constante</t>
  </si>
  <si>
    <t>Sectores</t>
  </si>
  <si>
    <t xml:space="preserve">Se cuantificará el número de sectores a impactar anualmente, que deben ser 15 en total; se espera que tales sectores transversalicen el enfoque diferencial e implementen acciones afirmativas con enfoque diferencial. </t>
  </si>
  <si>
    <t>ANUAL</t>
  </si>
  <si>
    <t xml:space="preserve">Documentos de implementación de las estrategias; actas de reuniones, listados de asistencia y reportes </t>
  </si>
  <si>
    <t>No presenta retrasos en esta acción</t>
  </si>
  <si>
    <t>No aplica</t>
  </si>
  <si>
    <t>Realizar atenciones socio jurídicas brindadas a través de la Estrategia Casa de Todas, a mujeres que realizan actividades sexuales pagadas.</t>
  </si>
  <si>
    <t>39.Atenciones socio jurídicas brindadas a través de la Estrategia Casa de Todas, a mujeres que realizan actividades sexuales pagadas (valoraciones inciales, asesorias u orientacicones , seguimientos)</t>
  </si>
  <si>
    <t>Suma</t>
  </si>
  <si>
    <t>Atenciones</t>
  </si>
  <si>
    <t>Se cuantificarán mensualmente las atenciones sociojuridicas: valoraciones iniciales, asesorías y seguimientos.</t>
  </si>
  <si>
    <t>MENSUAL</t>
  </si>
  <si>
    <t>Reporte mensual de atenciones socio jurídicas realizadas-PMR Mensual</t>
  </si>
  <si>
    <t xml:space="preserve">No presenta retrasos </t>
  </si>
  <si>
    <t>Realizar atenciones psicosociales brindadas a través de la Estrategia Casa de Todas, a mujeres que realizan actividades sexuales pagadas.</t>
  </si>
  <si>
    <t>40.Atenciones psicosociales brindadas a través de la Estrategia Casa de Todas, a mujeres que realizan actividades sexuales pagadas (valoraciones inciales, asesorias, seguimientos)</t>
  </si>
  <si>
    <t>Se cuantificarán mensualmente las atenciones psicosociales: valoraciones iniciales, asesorías y seguimientos.</t>
  </si>
  <si>
    <t>Reporte mensual de atenciones psicosociales realizadas-PMR Mensual</t>
  </si>
  <si>
    <t>Realizar atenciones en trabajo social brindadas a través de la Estrategia Casa de Todas, a mujeres que realizan actividades sexuales pagadas.</t>
  </si>
  <si>
    <t>41.Atenciones en trabajo social brindadas a través de la Estrategia Casa de Todas, a mujeres que realizan actividades sexuales pagadas (valoraciones inicales intervenciones y seguimientos)</t>
  </si>
  <si>
    <t>Se cuantificarán mensualmente las atenciones en trabajo social: valoraciones iniciales, asesorías y seguimientos.</t>
  </si>
  <si>
    <t>Reporte mensual de atenciones en trabajo social realizadas-PMR Mensual</t>
  </si>
  <si>
    <t>No presenta retrasos</t>
  </si>
  <si>
    <t>Transversalización del enfoque de género y diferencial para mujeres</t>
  </si>
  <si>
    <t>NA</t>
  </si>
  <si>
    <t xml:space="preserve">Elaborar e implementar 3 lineamientos con enfoque de derechos de las mujeres, de género y diferencial. </t>
  </si>
  <si>
    <t xml:space="preserve">1. Número de actividades de alistamiento, seguimiento y evaluación de la asistencia técnica implementadas 
</t>
  </si>
  <si>
    <t xml:space="preserve">Suma </t>
  </si>
  <si>
    <t xml:space="preserve">Actividades
</t>
  </si>
  <si>
    <t xml:space="preserve">24 actividades de alistamiento anuales.
</t>
  </si>
  <si>
    <t xml:space="preserve">1. Evidencias de reuniones internas para alistar, planear y hacer seguimiento a la asistencia técnica
2. Documentos elaborados asociados a la asistencia técnica
</t>
  </si>
  <si>
    <t>No se presentaron retrasos en esta actividad</t>
  </si>
  <si>
    <t>2. No. de actividades de asistencia técnica para la transversalización del enfoque diferencial para mujeres implementadas.</t>
  </si>
  <si>
    <t xml:space="preserve">36 actividades de asistencia anuales </t>
  </si>
  <si>
    <t xml:space="preserve">1. Evidencias de reuniones externas para asistencia técnica
2. Informes de asistencia técnica mensuales </t>
  </si>
  <si>
    <t>Implementación de acciones afirmativas dirigidas a las mujeres con enfoque diferencial y de género en Bogotá Bogotá</t>
  </si>
  <si>
    <t>Personas con acceso a los servicios sociales del Estado con enfoque diferencial.</t>
  </si>
  <si>
    <t>Número de personas</t>
  </si>
  <si>
    <t>Mujeres atendidas en el marco del proyecto de inversión 7671</t>
  </si>
  <si>
    <t>Reporte SIMISIONAL</t>
  </si>
  <si>
    <t xml:space="preserve">Se presenta retraso en la meta.   </t>
  </si>
  <si>
    <t>Se continúa realizando búsqueda activa de las mujeres y promoviendo la participación en las acciones de las estrategias de la DED</t>
  </si>
  <si>
    <t>ELABORÓ</t>
  </si>
  <si>
    <t>Firma:</t>
  </si>
  <si>
    <t>APROBÓ (Según aplique Gerenta de proyecto, Lider técnica y responsable de proceso)</t>
  </si>
  <si>
    <t>REVISÓ OFICINA ASESORA DE PLANEACIÓN</t>
  </si>
  <si>
    <t xml:space="preserve">VoBo. </t>
  </si>
  <si>
    <t>Nombre: Mireya Leuro Vásquez</t>
  </si>
  <si>
    <t>Nombre:  Marcia Yazmin Castro Ramírez</t>
  </si>
  <si>
    <t>Nombre:</t>
  </si>
  <si>
    <t>Nombre: Sandra Catalina Campos Romero</t>
  </si>
  <si>
    <t xml:space="preserve">Cargo: Profesional Especializada Dirección de Enfoque Diferencial </t>
  </si>
  <si>
    <t xml:space="preserve">Cargo:   Directora de Enfoque Diferencial </t>
  </si>
  <si>
    <t xml:space="preserve">Cargo: </t>
  </si>
  <si>
    <t>Cargo: Jefa Oficina Asesora de Planeación</t>
  </si>
  <si>
    <t xml:space="preserve">FORMULACIÓN Y SEGUIMIENTO PLAN DE ACCIÓN </t>
  </si>
  <si>
    <t>ANEXO - TERRITORIALIZACIÓN</t>
  </si>
  <si>
    <t>Página 3 de 3</t>
  </si>
  <si>
    <t xml:space="preserve">PRORAMACIÓN </t>
  </si>
  <si>
    <t xml:space="preserve">SEGUIMIENTO </t>
  </si>
  <si>
    <t>PERIODO DE REPORTE:</t>
  </si>
  <si>
    <t>INDICADOR / META:</t>
  </si>
  <si>
    <t>LOCALIDAD</t>
  </si>
  <si>
    <t>TOTAL POR LOCALIDAD</t>
  </si>
  <si>
    <t xml:space="preserve">ENFOQUE DIFERENCIAL </t>
  </si>
  <si>
    <t>GRUPO ETARIO</t>
  </si>
  <si>
    <t>Magnitud</t>
  </si>
  <si>
    <t>Presupuesto</t>
  </si>
  <si>
    <t>Indigenas</t>
  </si>
  <si>
    <t>Afrodescendientes</t>
  </si>
  <si>
    <t>Raizales</t>
  </si>
  <si>
    <t>Rrom</t>
  </si>
  <si>
    <t>Discapacidad</t>
  </si>
  <si>
    <t>LGBTI</t>
  </si>
  <si>
    <t>Menor de 12</t>
  </si>
  <si>
    <t>Entre 12 y 14</t>
  </si>
  <si>
    <t>Entre 15 y 28</t>
  </si>
  <si>
    <t>Entre 29 y 59</t>
  </si>
  <si>
    <t xml:space="preserve">Igual o mayo a 60 </t>
  </si>
  <si>
    <t>No responde</t>
  </si>
  <si>
    <t xml:space="preserve">Bogotá Distrito Capital </t>
  </si>
  <si>
    <t>1. Usaquen</t>
  </si>
  <si>
    <t>2. Chapinero</t>
  </si>
  <si>
    <t>3. Santafe</t>
  </si>
  <si>
    <t>4. San Cristobal</t>
  </si>
  <si>
    <t>5. Usme</t>
  </si>
  <si>
    <t>6. Tunjuelito</t>
  </si>
  <si>
    <t>7. Bosa</t>
  </si>
  <si>
    <t>8. Kennedy</t>
  </si>
  <si>
    <t>9. Fontibon</t>
  </si>
  <si>
    <t>10. Engativa</t>
  </si>
  <si>
    <t>11. Suba</t>
  </si>
  <si>
    <t>12. Barrios Unidos</t>
  </si>
  <si>
    <t>13. Teusaquillo</t>
  </si>
  <si>
    <t>14. Los Martires</t>
  </si>
  <si>
    <t>15. Antonio Nariño</t>
  </si>
  <si>
    <t>16. Puente Aranda</t>
  </si>
  <si>
    <t>17. La Candelaria</t>
  </si>
  <si>
    <t>18. Rafael Uribe Uribe</t>
  </si>
  <si>
    <t>19. Ciudad Bolivar</t>
  </si>
  <si>
    <t>20. Sumapaz</t>
  </si>
  <si>
    <t>TOTAL POR MES</t>
  </si>
  <si>
    <t>PESTAÑA No. 1 METAS PA PROYECTO</t>
  </si>
  <si>
    <t>ITEM</t>
  </si>
  <si>
    <t xml:space="preserve">DESCRIPCIÓN </t>
  </si>
  <si>
    <t>En este campo se debe diligenciar la fecha en que es radicado el intrumento.</t>
  </si>
  <si>
    <r>
      <rPr>
        <sz val="11"/>
        <color indexed="8"/>
        <rFont val="Times New Roman"/>
        <family val="1"/>
      </rPr>
      <t>En este campo se selecciona según aplique.</t>
    </r>
    <r>
      <rPr>
        <b/>
        <sz val="11"/>
        <color indexed="8"/>
        <rFont val="Times New Roman"/>
        <family val="1"/>
      </rPr>
      <t xml:space="preserve">
Programación: </t>
    </r>
    <r>
      <rPr>
        <sz val="11"/>
        <color indexed="8"/>
        <rFont val="Times New Roman"/>
        <family val="1"/>
      </rPr>
      <t xml:space="preserve">Corresponde al proceso de formulación del plan de acción, el cual se realiza una vez por vigencia. </t>
    </r>
    <r>
      <rPr>
        <b/>
        <sz val="11"/>
        <color indexed="8"/>
        <rFont val="Times New Roman"/>
        <family val="1"/>
      </rPr>
      <t xml:space="preserve">
Actualización: </t>
    </r>
    <r>
      <rPr>
        <sz val="11"/>
        <color indexed="8"/>
        <rFont val="Times New Roman"/>
        <family val="1"/>
      </rPr>
      <t xml:space="preserve">Corresponde al proceso mediante el cual la gerencia del proyecto modifica o ajusta la información contenida en la formulación. 
</t>
    </r>
    <r>
      <rPr>
        <b/>
        <sz val="11"/>
        <color indexed="8"/>
        <rFont val="Times New Roman"/>
        <family val="1"/>
      </rPr>
      <t xml:space="preserve">Seguimiento: </t>
    </r>
    <r>
      <rPr>
        <sz val="11"/>
        <color indexed="8"/>
        <rFont val="Times New Roman"/>
        <family val="1"/>
      </rPr>
      <t xml:space="preserve">Corresponde al proceso de reporte de avance de las metas y actividades programadas. </t>
    </r>
  </si>
  <si>
    <t xml:space="preserve">En estos campos se debe diligenciar el detalle de la estructura Plan de Desarrollo vigente, bajo la cual se encuentra articulado el proyecto de inversión </t>
  </si>
  <si>
    <t>PROGRMA</t>
  </si>
  <si>
    <t>En este campo se debe diligenciar el mes de reporte de la información. Favor recordar que la información debe ser acumulada vigencia.</t>
  </si>
  <si>
    <t>En este campo se debe diligenciar la información correspondiente al presupuesto programado y recursos ejecutados, según aplique vigencia y reservas. (Cifras en pesos)</t>
  </si>
  <si>
    <t>En este campo se debe diligenciar el peso porcentual de la meta con relación al total de las metas (100%) del proyecto de inversión y la ponderacion vertical de las actividades, este peso debe estar directamente relacionado con la asignación presupuestal y la relevancia técnica.</t>
  </si>
  <si>
    <t>CRONOGRAMA</t>
  </si>
  <si>
    <t xml:space="preserve">En este campo se debe diligenciar la ponderación horizontal de las actividades a desarrollar para el cumplimiento de las metas durante la vigencia. </t>
  </si>
  <si>
    <t>META (PROGRAMACIÓN Y SEGUIMIENTO)</t>
  </si>
  <si>
    <t xml:space="preserve">En este campo se debe diligenciar la magnitud física de la meta programada y ejecutada de acuerdo con la unidad de medida de la meta, según aplique vigencia o reserva. </t>
  </si>
  <si>
    <t>REPORTE METAS VIGENCIA ANTERIOR
DESCRIPCIÓN CUALITATIVA DEL AVANCE POR META
(Logros y beneficios, y retrasos y alternativas de solución (2.000 caracteres))</t>
  </si>
  <si>
    <t xml:space="preserve">En este campo se debe diligenciar la información correspondiente a las reservas presupuestales, se debe relacionar si aporta al cumplimiento de la magnitud física de la meta. </t>
  </si>
  <si>
    <t xml:space="preserve">REPORTE METAS VIGENCIA
DESCRIPCIÓN CUALITATIVA DEL AVANCE POR META </t>
  </si>
  <si>
    <r>
      <t xml:space="preserve">Avances y Logros (2.000 caracteres): </t>
    </r>
    <r>
      <rPr>
        <sz val="11"/>
        <color indexed="8"/>
        <rFont val="Times New Roman"/>
        <family val="1"/>
      </rPr>
      <t>En este campo se debe diligenciar lo relacionando a los logros y avances de la meta de forma acumulada e integrada.</t>
    </r>
    <r>
      <rPr>
        <b/>
        <sz val="11"/>
        <color indexed="8"/>
        <rFont val="Times New Roman"/>
        <family val="1"/>
      </rPr>
      <t xml:space="preserve">
Retrasos y Alternativas de solución (1.000 caracteres): </t>
    </r>
    <r>
      <rPr>
        <sz val="11"/>
        <color indexed="8"/>
        <rFont val="Times New Roman"/>
        <family val="1"/>
      </rPr>
      <t xml:space="preserve">En este campo se debe diligenciar lo relacionando a las dificultades y alternativas de solución presentadas de forma acumulada e integrada. En el caso de no presentarse retrasos en el periodo de reporte, incluir una nota indicando que las cifras son acordes con la programación. </t>
    </r>
    <r>
      <rPr>
        <b/>
        <sz val="11"/>
        <color indexed="8"/>
        <rFont val="Times New Roman"/>
        <family val="1"/>
      </rPr>
      <t xml:space="preserve">
Beneficios (2.000 caracteres): </t>
    </r>
    <r>
      <rPr>
        <sz val="11"/>
        <color indexed="8"/>
        <rFont val="Times New Roman"/>
        <family val="1"/>
      </rPr>
      <t xml:space="preserve">En este campo se debe diligenciar lo relacionando a los beneficios de forma acumulada e integrada.
</t>
    </r>
    <r>
      <rPr>
        <b/>
        <sz val="11"/>
        <color indexed="8"/>
        <rFont val="Times New Roman"/>
        <family val="1"/>
      </rPr>
      <t xml:space="preserve">
Nota:</t>
    </r>
    <r>
      <rPr>
        <sz val="11"/>
        <color indexed="8"/>
        <rFont val="Times New Roman"/>
        <family val="1"/>
      </rPr>
      <t xml:space="preserve"> El número límite de cartarteres se establece t</t>
    </r>
    <r>
      <rPr>
        <sz val="11"/>
        <color indexed="8"/>
        <rFont val="Times New Roman"/>
        <family val="1"/>
      </rPr>
      <t xml:space="preserve">eniendo en cuenta lo permitido en el sistema SEGPLAN, se recomienda dejar la información que se considere estratégica desde el área misional y de mayor relevancia. </t>
    </r>
  </si>
  <si>
    <t>PESTAÑA No. 2 INDICADORES PA</t>
  </si>
  <si>
    <r>
      <rPr>
        <sz val="11"/>
        <color indexed="8"/>
        <rFont val="Times New Roman"/>
        <family val="1"/>
      </rPr>
      <t>En este campo se selecciona según aplique.</t>
    </r>
    <r>
      <rPr>
        <b/>
        <sz val="11"/>
        <color indexed="8"/>
        <rFont val="Times New Roman"/>
        <family val="1"/>
      </rPr>
      <t xml:space="preserve">
Programación: </t>
    </r>
    <r>
      <rPr>
        <sz val="11"/>
        <color indexed="8"/>
        <rFont val="Times New Roman"/>
        <family val="1"/>
      </rPr>
      <t xml:space="preserve">Corresponde al proceso de formulación del plan de acción, el cual se realiza una ves por vigencia. </t>
    </r>
    <r>
      <rPr>
        <b/>
        <sz val="11"/>
        <color indexed="8"/>
        <rFont val="Times New Roman"/>
        <family val="1"/>
      </rPr>
      <t xml:space="preserve">
Actualización: </t>
    </r>
    <r>
      <rPr>
        <sz val="11"/>
        <color indexed="8"/>
        <rFont val="Times New Roman"/>
        <family val="1"/>
      </rPr>
      <t xml:space="preserve">Corresponde al proceso mediante el cual la gerencia del proyecto modifica o ajusta la información contenida en la formulación. 
</t>
    </r>
    <r>
      <rPr>
        <b/>
        <sz val="11"/>
        <color indexed="8"/>
        <rFont val="Times New Roman"/>
        <family val="1"/>
      </rPr>
      <t xml:space="preserve">Seguimiento: </t>
    </r>
    <r>
      <rPr>
        <sz val="11"/>
        <color indexed="8"/>
        <rFont val="Times New Roman"/>
        <family val="1"/>
      </rPr>
      <t xml:space="preserve">Corresponde al proceso de reporte de avance de las metas y actividades programadas. </t>
    </r>
  </si>
  <si>
    <t xml:space="preserve">PRODUCTO INSTITUCIONAL </t>
  </si>
  <si>
    <t>En este campo se debe diligenciar la descripción del Producto, meta, resultado - PMR al cual aportan las acciones e indicadores que se van a medir</t>
  </si>
  <si>
    <t xml:space="preserve">OBJETIVO ESTRATÉGICO </t>
  </si>
  <si>
    <t>En este campo se debe diligenciar la descripción del objetivo estratégico que se detalla en el Plan Estratégico intitucional al cual aportan las acciones e indicadores que se van a medir</t>
  </si>
  <si>
    <t xml:space="preserve">NIVEL </t>
  </si>
  <si>
    <t>En este campo se debe seleccionar el instrumento de planeación del cual hace parte la acción e indicador a medir según aplique (Seleccionar el nivel del indicador a reportar, así como relacionar el código asignado del indicador a medir segun aplique: SEGPLAN, PMR, número de actividad, etc). Consultar en la pestaña de  generalidades.</t>
  </si>
  <si>
    <t>PROCESO</t>
  </si>
  <si>
    <t>En este campo se debe relacionar la descripción del proceso en coherencia con el mapa de procesos  vigente</t>
  </si>
  <si>
    <t>PLANES DECRETO 612</t>
  </si>
  <si>
    <t>Este campo solo aplica para los planes relacionados con el Decreto 612.</t>
  </si>
  <si>
    <t xml:space="preserve">META </t>
  </si>
  <si>
    <t xml:space="preserve">En este campo se debe diligenciar la descripción de la meta PDD o meta proyecto articulada con la acción e indicador a medir.
Así mismo se podrá establecer una meta operativa nueva en caso de evidenciar la necesidad. </t>
  </si>
  <si>
    <r>
      <t xml:space="preserve">En este campo se debe detallar la expresión cualitativa del indicador.
Objeto + condición deseada del objeto (verbo conjugado) + elementos adicionales de contexto descriptivo
</t>
    </r>
    <r>
      <rPr>
        <i/>
        <sz val="11"/>
        <rFont val="Times New Roman"/>
        <family val="1"/>
      </rPr>
      <t>Ejemplo: Niños y niñas alimentados balanceadamente para su crecimiento integral.</t>
    </r>
  </si>
  <si>
    <t>TIPO DE ANUALIZACIÓN (según aplique)</t>
  </si>
  <si>
    <t>Este campo no es obligatorio, se diligencia según aplique
En este campo se debe relacionar el tipo de anualizacioón en coherencia con los mediciones establecidas por la SDH: Suma, Creciente, Decreciente y Constante.</t>
  </si>
  <si>
    <t>MAGNITUD</t>
  </si>
  <si>
    <r>
      <t xml:space="preserve">En este campo se debe relacionar la meta programada de acuerdo al indicador formulado Parámetro de referencia para determinar la magnitud. </t>
    </r>
    <r>
      <rPr>
        <i/>
        <sz val="11"/>
        <rFont val="Times New Roman"/>
        <family val="1"/>
      </rPr>
      <t>Ejemplo: 600, 100, 4.000.</t>
    </r>
  </si>
  <si>
    <t>UNIDAD DE MEDIDA</t>
  </si>
  <si>
    <r>
      <t xml:space="preserve">En este campo se debe relacionar el producto, servicio, porcentaje que se afectará con la intervención de acuerdo con el indicador propuesto. Parámetro de referencia para determinar el tipo de unidad del indicador. </t>
    </r>
    <r>
      <rPr>
        <i/>
        <sz val="11"/>
        <rFont val="Times New Roman"/>
        <family val="1"/>
      </rPr>
      <t>Ejemplo: mujeres, %, atenciones</t>
    </r>
  </si>
  <si>
    <t>DESCRIPCIÓN DE LA MEDICIÓN</t>
  </si>
  <si>
    <r>
      <t xml:space="preserve">En este campo se debe diligenciar:
</t>
    </r>
    <r>
      <rPr>
        <b/>
        <sz val="11"/>
        <rFont val="Times New Roman"/>
        <family val="1"/>
      </rPr>
      <t>1.La descripción detallada de la medición del indicador.</t>
    </r>
    <r>
      <rPr>
        <sz val="11"/>
        <rFont val="Times New Roman"/>
        <family val="1"/>
      </rPr>
      <t xml:space="preserve">
</t>
    </r>
    <r>
      <rPr>
        <i/>
        <sz val="11"/>
        <rFont val="Times New Roman"/>
        <family val="1"/>
      </rPr>
      <t xml:space="preserve">De acuerdo a la meta programada, se debe realizar una descripción cualitativa de a que se refiere cada avance programado para cada trimestre desde la programación. (Si aplica)
Ejemplo 1: 
Programación actividad Trimestre 1: 40% Trimestre 2: 60%
40% Fase I - Diseño de ...
60% Fase II - Socialización y ejecución de ...
</t>
    </r>
    <r>
      <rPr>
        <b/>
        <sz val="11"/>
        <rFont val="Times New Roman"/>
        <family val="1"/>
      </rPr>
      <t xml:space="preserve">2.La representación matemática del cálculo del indicador.
</t>
    </r>
    <r>
      <rPr>
        <i/>
        <sz val="11"/>
        <rFont val="Times New Roman"/>
        <family val="1"/>
      </rPr>
      <t>Ejemplo 2: No. Capacitaciones realizadas / No. Capacitaciones programadas *100</t>
    </r>
  </si>
  <si>
    <t xml:space="preserve">PERIODICIDAD </t>
  </si>
  <si>
    <t xml:space="preserve">En este campo se debe establecer la periodicidad de la medicicion del indicador y del reporte del seguimiento </t>
  </si>
  <si>
    <t>MEDIOS DE VERIFICACIÓN</t>
  </si>
  <si>
    <t xml:space="preserve">En este campo se deben relacionar los soportes en los cuales se puede revisar el cumplimiento de las acciones e indicadores programados y ejecutatos. </t>
  </si>
  <si>
    <t>PROGRAMACIÓN META</t>
  </si>
  <si>
    <t>En este campo se debe relacionar la programación horizontal del desarrollo de las acciones de acuerdo a la medicición del indicador</t>
  </si>
  <si>
    <t>AVANCE META</t>
  </si>
  <si>
    <t>En este campo se debe reportar el avance del desarrollo de acciones de acuerdo a la medición del indicador</t>
  </si>
  <si>
    <t>SEGUIMIENTO TOTAL</t>
  </si>
  <si>
    <t>Este campo contiene dos columnas:
- MAGNITUD EJECUTADA: Correspondiente al avance acumulado de la meta a la fecha del reporte.
- % AVANCE: Formula que calcula el avance de la magnitud ejecutada a la fecha del reporte sobre la meta de la vigencia.</t>
  </si>
  <si>
    <t>En este campo se debe relacionar el avance mensual del indicador.</t>
  </si>
  <si>
    <t>DESCRIPCIÓN CUALITATIVA DEL AVANCE ACUMULADA</t>
  </si>
  <si>
    <t>En este campo se debe registrar el avance del indicador a la fecha del reporte de forma acumulada e integrada.</t>
  </si>
  <si>
    <t xml:space="preserve">RETRASOS Y FACTORES LIMITANTES PARA EL CUMPLIMIENTO </t>
  </si>
  <si>
    <t>En este campo se debe relacionar en caso de retraso, las razones por las cuales se esta generando un retraso en coherencia con la programación de cada periodo. De presentarse esta situación es obligatorio diligenciar este campo.</t>
  </si>
  <si>
    <t xml:space="preserve">En este campo se debe relacionar la descripción de las alternativas de solución </t>
  </si>
  <si>
    <t>PESTAÑA No. 3 TERRITORIALIZACIÓN</t>
  </si>
  <si>
    <t>DESCRIPCIÓN</t>
  </si>
  <si>
    <t xml:space="preserve">Este anexo, responde a la necesidad de plasmar la información correspondiente que las acciones (derivadas de metas PDD, metas proyecto de inversión, indicadores PMR, actividades) que se territorializan incluyendo el enfoque diferencial y según grupo etario, así como las reportadas a nivel distrital.
De ser necesario las celdas correspondientes a enfoque diferencial, especificamente población en discapacidad (Sordociega, auditiva,, visual, multiple, mental, física, cognitiva, otro) y población LGBTI (Lesbianas, gays, bisexuales, hererosexuales, No responde...)  se puede establecer mayor desagregue de ser necesario en la misma celda. </t>
  </si>
  <si>
    <t>En este campo se debe relacionar la magnitud programada y ejecutada de manera mensual, para cada localidad.</t>
  </si>
  <si>
    <t>PRESUPUESTO</t>
  </si>
  <si>
    <t>En este campo se debe relacionar el presupuesto programado y ejecutado de manera trimestral, para cada localidad, por temas de reporte en el sistema SEGPLAN.</t>
  </si>
  <si>
    <t>PRODUCTO INSTITUCIONAL</t>
  </si>
  <si>
    <t xml:space="preserve">PROCESO ASOCIADO - PLAN OPERATIVO </t>
  </si>
  <si>
    <t xml:space="preserve">NOMBRE PROYECTO DE INVERSIÓN </t>
  </si>
  <si>
    <t>NOMBRE META / INDICADOR</t>
  </si>
  <si>
    <t xml:space="preserve">TIPO DE ANUALIZACIÓN </t>
  </si>
  <si>
    <t xml:space="preserve">GRUPO ETARIO </t>
  </si>
  <si>
    <t>1. Vida libre de Violencias y justicia con enfoque de género para las mujeres</t>
  </si>
  <si>
    <t>DIRECCIONAMIENTO ESTRATÉGICO</t>
  </si>
  <si>
    <t>7662.Fortalecimiento a la gestión institucional de la SDMujer en Bogotá</t>
  </si>
  <si>
    <t>INDICADORES PMR</t>
  </si>
  <si>
    <t>MUJERES</t>
  </si>
  <si>
    <t xml:space="preserve">CRECIENTE </t>
  </si>
  <si>
    <t>Infancia (Menor de 12 años)</t>
  </si>
  <si>
    <t xml:space="preserve">Discapacidad </t>
  </si>
  <si>
    <t>Plan institucional de archivos - PINAR</t>
  </si>
  <si>
    <t>2. Gestión del conocimiento e información para la toma de decisiones y garantía de derechos de las mujeres</t>
  </si>
  <si>
    <t xml:space="preserve">PLANEACIÓN Y GESTIÓN </t>
  </si>
  <si>
    <t>7668.Levantamiento y análisis de información para la garantía de derechos de las mujeres en Bogotá</t>
  </si>
  <si>
    <t>35.Mujeres atendidas en Casas de Justicia, escenarios de Fiscalía y Sede Central</t>
  </si>
  <si>
    <t>MUJERES, HIJOS E HIJAS</t>
  </si>
  <si>
    <t>DECRECIENTE</t>
  </si>
  <si>
    <t>Juventud (Entre 12 y 14 años)</t>
  </si>
  <si>
    <t>Plan Anual de Adquisiciones</t>
  </si>
  <si>
    <t xml:space="preserve">COMUNICACIÓN ESTRATÉGICA </t>
  </si>
  <si>
    <t>7671.Implementación de acciones afirmativas dirigidas a las mujeres con enfoque diferencial y de género en Bogotá</t>
  </si>
  <si>
    <t xml:space="preserve">31.Casos nuevos de violencias contra las mujeres con representación jurídica en instancias judiciales y administrativas </t>
  </si>
  <si>
    <t>INTERVENCIONES</t>
  </si>
  <si>
    <t xml:space="preserve">CONSTANTE </t>
  </si>
  <si>
    <t>Juventud (Entre 15 y 28 años)</t>
  </si>
  <si>
    <t>Plan anticorrupción y de atención al ciudadano</t>
  </si>
  <si>
    <t>4. Inclusión y equidad de género en la participación y la representación de las mujeres</t>
  </si>
  <si>
    <t>GESTIÓN DEL CONOCIMIENTO</t>
  </si>
  <si>
    <t>7672.Contribución acceso efectivo de las mujeres a la justicia con enfoque de género y de la ruta integral de atención para el acceso a la justicia de las mujeres en Bogotá</t>
  </si>
  <si>
    <t>36.Número de mujeres víctimas de violencias y su sistema familiar, acogidas y atendidas a través del modelo de Casas Refugio incluyendo modalidad intermedia de acogida y ruralidad</t>
  </si>
  <si>
    <t>CONSULTAS</t>
  </si>
  <si>
    <t>SUMA</t>
  </si>
  <si>
    <t>Adultez (Entre 29 y 59 años)</t>
  </si>
  <si>
    <t xml:space="preserve">Plan de incentivos institucionales </t>
  </si>
  <si>
    <t>5. Sistema Distrital de Cuidado</t>
  </si>
  <si>
    <t>PREVENCIÓN Y ATENCIÓN INTEGRAL A MUJERES VÍCTIMAS DE VIOLENCIA</t>
  </si>
  <si>
    <t>7673.Desarrollo de capacidades para aumentar la autonomía y empoderamiento de las mujeres en toda su diversidad en Bogotá</t>
  </si>
  <si>
    <t>37.Número de atenciones a mujeres víctimas de violencias, a través de las Duplas de atención psicosocial</t>
  </si>
  <si>
    <t>CASAS</t>
  </si>
  <si>
    <t>Mayores (Igual o superior a 60 años)</t>
  </si>
  <si>
    <t>Plan de previsión de recursos humanos</t>
  </si>
  <si>
    <t>PROMOCIÓN DEL ACCESO A LA JUSTICICA PARA LAS MUJERES</t>
  </si>
  <si>
    <t>7675.Implementación de la Estrategia de Territorialización de la Política Pública de Mujeres y Equidad de Género a través de las Casas de Igualdad de Oportunidades para las Mujeres en Bogotá</t>
  </si>
  <si>
    <t xml:space="preserve">18.Número de mujeres participantes en las actividades implementadas en el marco de los Planes Locales de Seguridad para las Mujeres </t>
  </si>
  <si>
    <t>PERSONAS</t>
  </si>
  <si>
    <t>Plan institucional de capacitación - PIC</t>
  </si>
  <si>
    <t xml:space="preserve">PROMOCIÓN DE LA PARTICIPACIÓN Y REPRESENTACIÓN DE LAS MUJERES </t>
  </si>
  <si>
    <t>7676.Fortalecimiento a los liderazgos para la inclusión y equidad de género en la participación y la representación política en Bogotá</t>
  </si>
  <si>
    <t>32.Atenciones efectivas a través de la Línea Púrpura Distrital</t>
  </si>
  <si>
    <t>ATENCIONES</t>
  </si>
  <si>
    <t xml:space="preserve">Plan estrategico de Talento Humano </t>
  </si>
  <si>
    <t>TRANSVERSALIZACIÓN DEL ENFOQUE DE GÉNERO Y DIFERENCIAL PARA MUJERES</t>
  </si>
  <si>
    <t>7718.Implementación del Sistema Distrital de Cuidado en Bogotá</t>
  </si>
  <si>
    <t xml:space="preserve">38.Número de ciudadanos y ciudadanas informados a partir de la implementación de estrategias de divulgación pedagógica con enfoques de género y de derechos </t>
  </si>
  <si>
    <t>ORIENTACIONES Y ASESORÍAS</t>
  </si>
  <si>
    <t>Plan Anual de vacantes</t>
  </si>
  <si>
    <t>TERRITORIALIZACIÓN DE LA POLÍTICA PÚBLICA</t>
  </si>
  <si>
    <t>7734.Fortalecimiento a la implementación del Sistema Distrital de Protección integral a las mujeres víctimas de violencias - SOFIA en Bogotá</t>
  </si>
  <si>
    <t>34.Estudios y/o investigaciones producidas y divulgadas por el Observatorio de Mujer y Equidad de Género, con relación a situaciones y derechos de las mujeres en Bogotá</t>
  </si>
  <si>
    <t>ORIENTACIONES</t>
  </si>
  <si>
    <t xml:space="preserve">Plan trabajo anual en seguridad y salud en el trabajo </t>
  </si>
  <si>
    <t xml:space="preserve">GESTIÓN DE LAS POLÍTICAS PÚBLICAS </t>
  </si>
  <si>
    <t>7738.Implementación de Políticas Públicas lideradas por la Secretaria de la Mujer y Transversalización de género para promover igualdad, desarrollo de capacidades y reconocimiento de las mujeres de Bogotá</t>
  </si>
  <si>
    <t>12.Número de mujeres vinculadas a procesos de las Casas de Igualdad de Oportunidades</t>
  </si>
  <si>
    <t>ESTUDIOS Y/O INVESTIGACIONES</t>
  </si>
  <si>
    <t xml:space="preserve">Plan estrategico de tecnología de la información y privacidad de la información </t>
  </si>
  <si>
    <t xml:space="preserve">DESARROLLO DE CAPACIDADES PARA LA VIDA DE LAS MUJERES </t>
  </si>
  <si>
    <t>7739.Implementación de estrategia de divulgación pedagógica con enfoques de género y de derechos Bogotá</t>
  </si>
  <si>
    <t>39.Atenciones socio jurídicas brindadas a través de la Estrategia Casa de Todas, a mujeres que realizan actividades sexuales pagadas (asesorias, seguimientos y valoraciones iniciales)</t>
  </si>
  <si>
    <t>CONTENIDOS</t>
  </si>
  <si>
    <t xml:space="preserve">Plan de seguridad y privacidad de la información </t>
  </si>
  <si>
    <t>GESTIÓN DEL SISTEMA DISTRITAL DE CUIDADO</t>
  </si>
  <si>
    <t>40.Atenciones psicosociales brindadas a través de la Estrategia Casa de Todas, a mujeres que realizan actividades sexuales pagadas (asesorias, seguimientos y valoraciones iniciales)</t>
  </si>
  <si>
    <t>CASOS NUEVOS</t>
  </si>
  <si>
    <t>Plan de participación ciudadana</t>
  </si>
  <si>
    <t>GESTIÓN  TALENTO HUMANO</t>
  </si>
  <si>
    <t>41.Atenciones en trabajo social brindadas a través de la Estrategia Casa de Todas, a mujeres que realizan actividades sexuales pagadas (asesorias, seguimientos y valoraciones iniciales)</t>
  </si>
  <si>
    <t>CIUDADANOS Y CIUDADANAS</t>
  </si>
  <si>
    <t>GESTIÓN CONTRACTUAL</t>
  </si>
  <si>
    <t xml:space="preserve">42.Número de contenidos diseñados para el desarrollo de capacidades socioemocionales, ocupacionales, técnicas y educación financiera para las mujeres (Módulos y diplomados) </t>
  </si>
  <si>
    <t>PORCIENTO</t>
  </si>
  <si>
    <t>GESTIÓN ADMINISTRATIVA</t>
  </si>
  <si>
    <t>29.Mujeres formadas en derechos a través de procesos de desarrollo de capacidades en los Centros de Inclusión Digital</t>
  </si>
  <si>
    <t>GESTIÓN FINANCIERA</t>
  </si>
  <si>
    <t xml:space="preserve">30.Número de orientaciones y asesorías socio jurídicas con enfoque de derechos de las mujeres y enfoque de género a través de las Casas de Igualdad de Oportunidades para las Mujeres </t>
  </si>
  <si>
    <t>GESTIÓN DOCUMENTAL</t>
  </si>
  <si>
    <t xml:space="preserve">108.Número de orientaciones  y acompañamientos psicosociales a mujeres a través de las Casas de Igualdad de Oportunidades para las Mujeres </t>
  </si>
  <si>
    <t>GESTIÓN JURÍDICA</t>
  </si>
  <si>
    <t xml:space="preserve">33.Número de mujeres vinculadas a procesos formativos para el desarrollo de capacidades de incidencia, liderazgo, empoderamiento y participación política </t>
  </si>
  <si>
    <t xml:space="preserve">GESTIÓN TECNOLÓGICA </t>
  </si>
  <si>
    <t>43.Número de mujeres formadas en cuidados, en el marco de la estrategia cuidado a cuidadoras</t>
  </si>
  <si>
    <t>ATENCIÓN A LA CIUDADANÍA</t>
  </si>
  <si>
    <t>44.Número de atenciones brindadas a través de Espacios respiro, en el marco de la estrategia cuidado a cuidadoras</t>
  </si>
  <si>
    <t xml:space="preserve">SEGUIMIENTO, EVALUACIÓN Y CONTROL </t>
  </si>
  <si>
    <t>45.Número de atenciones de relevo de cuidado en casa, en el marco de la estrategia cuidado a cuidadoras</t>
  </si>
  <si>
    <t>GESTIÓN DISCIPLINARIA</t>
  </si>
  <si>
    <t>46.Número de personas vinculadas a los talleres de cambio cultural</t>
  </si>
  <si>
    <t>METAS SECTORIALES</t>
  </si>
  <si>
    <t>INDICADORES PDD</t>
  </si>
  <si>
    <t>9. Aumentar en un 30% el número de mujeres formadas en los centros de inclusión digital.</t>
  </si>
  <si>
    <t>9. Número de mujeres formadas en los Centros de Inclusión Digital</t>
  </si>
  <si>
    <t>10. Diseñar y acompañar la estrategia de emprendimiento y empleabilidad para la autonomía económica de las mujeres</t>
  </si>
  <si>
    <t>10. Porcentaje de avance en el diseño y acompañamiento de la estrategia de emprendimiento y empleabilidad para la autonomía económica de las mujeres</t>
  </si>
  <si>
    <t>11. Territorializar la política pública de mujeres y equidad de género a través de las Casas de Igualdad de Oportunidades en las 20 localidades</t>
  </si>
  <si>
    <t>11. Número de localidades con el modelo de atención Casas de Igualdad de Oportunidades para las mujeres implementado</t>
  </si>
  <si>
    <t>667. Número de mujeres vinculadas a procesos de información, sensibilización y campañas de difusión de sus derechos</t>
  </si>
  <si>
    <t>668. Número de orientaciones y acompañamientos psicosociales a mujeres</t>
  </si>
  <si>
    <t>669. Número de orientaciones y asesorías socio jurídicas a mujeres víctimas de violencias</t>
  </si>
  <si>
    <t>37. Diseñar acciones afirmativas con enfoque diferencial, para desarrollar capacidades y promover el bienestar socio emocional y los derechos de las mujeres en todas sus diversidades, en los sectores de la administración distrital y en las localidades</t>
  </si>
  <si>
    <t>39. Número de sectores que implementan acciones afirmativas con enfoque diferencial para desarrollar capacidades y promover los derechos de las mujeres en todas sus diversidades</t>
  </si>
  <si>
    <t xml:space="preserve">38. Implementar la política pública de mujeres y equidad de género en los sectores responsables del cumplimiento de su plan de acción </t>
  </si>
  <si>
    <t>40. Política Pública de Mujeres y Equidad de Género implementada en articulación con los sectores responsables en su Plan de Acción</t>
  </si>
  <si>
    <t>39. Incorporar de manera transversal, en los 15 sectores de la administración distrital y en las localidades, el enfoque de género y de derechos de las mujeres</t>
  </si>
  <si>
    <t>41. Estrategia de transversalización implementada en los 15 sectores de la Administración Distrital</t>
  </si>
  <si>
    <t>52. Formular e implementar una estrategia pedagógica para la valoración, la resignificación, el reconocimiento y la redistribución del trabajo de cuidado no remunerado que realizan las mujeres en Bogotá</t>
  </si>
  <si>
    <t>54. Estrategia pedagógica para la valoración, la resignificación, el reconocimiento y la redistribución del trabajo de cuidado no remunerado implementada</t>
  </si>
  <si>
    <t>53. Formular las bases técnicas y coordinar la implementación del sistema distrital del cuidado</t>
  </si>
  <si>
    <t>55. Porcentaje de avance en la definición técnica y coordinación para la implementación del sistema distrital de cuidado</t>
  </si>
  <si>
    <t>56. Gestionar la implementación, en la ciudad y la ruralidad, de la estrategia de manzanas del cuidado y unidades móviles de servicios del cuidado para las personas que requieren cuidado y para los y las cuidadoras de personas y animales domésticos</t>
  </si>
  <si>
    <t>58. Estrategias de manzanas del cuidado y unidades móviles de servicios del cuidado implementadas</t>
  </si>
  <si>
    <t>304. Alcanzar al menos el 80% de efectividad (respuesta inmediata, llamadas devueltas y contactos por chat) en la atención de la linea purpura  “Mujeres escuchan mujeres” integrando un equipo de la misma a la linea de emergencias 123</t>
  </si>
  <si>
    <t>324. Efectividad en la atención de la Línea Púrpura</t>
  </si>
  <si>
    <t>305. Ampliar a 6 el modelo de operación de Casa refugio priorizando la ruralidad (Acuerdo 631/2015) y modalidad intermedia.</t>
  </si>
  <si>
    <t>325. Número de Casas Refugio en operación</t>
  </si>
  <si>
    <t>306. Diseñar e implementar estrategias de divulgación pedagógica y de transformación cultural para el cambio social con enfoques de género, diferencial, de derechos de las mujeres e interseccional que articulen la oferta institucional con el ejercicio pleno de los derechos de las mujeres</t>
  </si>
  <si>
    <t>326. Número de estrategias de comunicación y divulgación con enfoque de género, diferencial e interseccional diseñadas e implementadas</t>
  </si>
  <si>
    <t>307. Implementar en 7 casas de justicia priorizadas un modelo de atención con ruta integral para mujeres y Garantizar en 8 casas de justicia y CAPIV - CENTROS DE ATENCIÓN PENAL INTEGRAL PARA VICTIMAS y CAIVAS - CENTROS DE ATENCIÓN INTEGRAL A VICTIMAS DE ABUSO SEXUAL la estrategia de justicia de género</t>
  </si>
  <si>
    <t>327. Número de mujeres atendidas con perspectiva de género y derechos de las mujeres a través de Casas de Justicia y espacios de atención integral de la Fiscalía (CAPIV, CAIVAS)</t>
  </si>
  <si>
    <t>308. Implementar una estrategia semi permanente para la protección de las mujeres víctimas de violencia y su acceso a la justicia en 3 Unidades de Reacción Inmediata - URI de la Fiscalía General de la Nación y articulada a la línea 123 y Línea púrpura</t>
  </si>
  <si>
    <t>328. Número de URIs con estrategia de atención semi permanente para la protección de las mujeres víctimas de violencia y acceso a la justicia implementada</t>
  </si>
  <si>
    <t>309. Implementar el protocolo de prevención, atención, y sanción a la violencia contra las mujeres en el transporte público que garantice la atención del 100% de los casos y promueva su disminución.</t>
  </si>
  <si>
    <t>329. Acciones estratégicas realizadas en el marco de los componentes del Sistema SOFIA</t>
  </si>
  <si>
    <t>452. Crear y fortalecer la infraestructura tecnológica del Observatorio de Mujer y Equidad de Género que permita la articulación con los sectores distritales pertinentes</t>
  </si>
  <si>
    <t>487. Porcentaje de avance en la creación y fortalecimiento de infraestructura tecnológica del OMEG para la articulación con los sectores distritales</t>
  </si>
  <si>
    <t>454. Diseñar e implementar investigaciones  para diagnosticar y divulgar la situación de los derechos de las mujeres y transversalizar el enfoque de género y diferencial metodológicamente</t>
  </si>
  <si>
    <t>489. Investigaciones realizadas</t>
  </si>
  <si>
    <t>404. Alcanzar la paridad en al menos el 50% de las instancias de participación del Distrito Capital</t>
  </si>
  <si>
    <t>431. Porcentaje de instancias con participación paritaria en el Distrito</t>
  </si>
  <si>
    <t>426. Implementar una estrategia de formación para el desarrollo de capacidades de incidencia, liderazgo, empoderamiento y participación política de las Mujeres</t>
  </si>
  <si>
    <t>459. Número de mujeres vinculadas a procesos de formación para el desarrollo de capacidades de incidencia, liderazgo, empoderamiento y participación política de las mujeres</t>
  </si>
  <si>
    <t>428. Incorporar e implementar el enfoque de género y diferencial en los ejercicios de los presupuestos participativos.</t>
  </si>
  <si>
    <t>461. Documento de lineamiento de presupuesto participativo sensible al género, formulado y adoptado</t>
  </si>
  <si>
    <t>518. Implementar buenas prácticas de gestión administrativa y organizacional para el cumplimiento de las metas misionales a cargo de la Secretaría Distrital de la Mujer</t>
  </si>
  <si>
    <t>567. Número de buenas prácticas de gestión administrativa y organizacionales implementadas</t>
  </si>
  <si>
    <t>METAS ESTRATEGICAS</t>
  </si>
  <si>
    <t>Número de acciones estratégicas realizadas para la prevención, atención y sanción de las violencias contra las mujeres en el marco de los componente del Sistema Sofía</t>
  </si>
  <si>
    <t>Porcentaje (%) de Implementación de la estrategia para enfrentar y prevenir el acoso contra la mujer dentro del sistema Transmilenio</t>
  </si>
  <si>
    <t>METAS TRAZADORAS</t>
  </si>
  <si>
    <t>Disminuir el porcentaje de percepción de las mujeres que consideran que las mujeres son mejores para el trabajo doméstico que los hombres</t>
  </si>
  <si>
    <t>Disminuir el porcentaje de percepción de los hombres que consideran que las mujeres son mejores para el trabajo doméstico que los hombres</t>
  </si>
  <si>
    <t>Número de registros por presunto delito sexual</t>
  </si>
  <si>
    <t>Reducir el porcentaje de aceptación social a las violencias contra las mujeres</t>
  </si>
  <si>
    <t xml:space="preserve">ACTIVIDAD </t>
  </si>
  <si>
    <t xml:space="preserve">PRIMER TRI </t>
  </si>
  <si>
    <t xml:space="preserve">SEGUNDO TRIM </t>
  </si>
  <si>
    <t xml:space="preserve">TERCER TRIM </t>
  </si>
  <si>
    <t xml:space="preserve">TOTAL </t>
  </si>
  <si>
    <t>META 1</t>
  </si>
  <si>
    <t>META 2</t>
  </si>
  <si>
    <t>META 3</t>
  </si>
  <si>
    <t>META 4</t>
  </si>
  <si>
    <t>META 5</t>
  </si>
  <si>
    <t>META 6</t>
  </si>
  <si>
    <t>META 7</t>
  </si>
  <si>
    <t>META 10</t>
  </si>
  <si>
    <t>META 11</t>
  </si>
  <si>
    <t>META 12</t>
  </si>
  <si>
    <t>META 14</t>
  </si>
  <si>
    <t>META 15</t>
  </si>
  <si>
    <t>Actividad no programada para el mes de enero, en febrero se retomaron acciones relacionadas con el acompañamiento técnico para el CTPD, se envía correo electrónico a las tres consejeras territoriales informando el inicio de acciones para la vigencia 2023. Se llevó a cabo mesa de trabajo con el nuevo profesional encargado de la coordinación de la secretaría técnica de la instancias por parte de la Secretaría Distrital de Planeación  el día 07/02/2023 en donde se dio contexto de las acciones proyectada para la vigencia 2023. Se llevó a cabo mesa de trabajo con profesional de la estrategia Bogotá 50/50 Ruta por la Paridad de la Dirección de Territorialización el día 21/02/23 en donde se retomó el proceso de articulación para el desarrollo de acciones proyectas para ejecutar durante la vigencia 2023. Se llevó a cabo mesa de trabajo con la consejera Aura Abril el día 08/02/2023 en donde se da a conocer como avanza su ejercicio de representación como consejera consultiva ante el CTPD. Se tramitó solicitud del Consejo Territorial de Planeación Distrital relacionada con la delegación de la consejera por el CCM para el CTPD, se dio respuesta a través de oficio 1-2023-001297 del 10/02/23 y se copió a la Secretaría Distrital de Planeación con oficio 1-2023-001296 del 10/02/23. Se tramitó solicitud de la consejera Alexandra Useche relacionada con la grabación de la sesión de delegación de la consejera por el CCM para el CTPD, se dio respuesta a través de oficio con radicado 1-2023-001798 del 22/02/23. Se compartió a través de correo electrónico el documento de Caja de Herramientas a la consejera territorial Sandra Mazo, para que este sea socializado en sesión de plenaria del CTPD. 
Durante el mes de marzo se retomaron acciones relacionadas con el acompañamiento técnico para el CTPD.
Se llevó a cabo mesa de trabajo presencial con las consejeras electas por el sector mujer para el CTPD el día 06/03/2023 en donde se realizó el respectivo seguimiento para retomar acciones proyectadas para la vigencia 2023. Se llevó a cabo mesa de trabajo del equipo de promoción de la participación el día 13/03/2023 para elaborar el acta de la pasada sesión de trabajo con las tres consejeras electas por el sector mujer. Se compartió a través de correo electrónico a las tres consejeras territoriales el acta de la sesión del pasado 06/03/2023 con el link de la página web de la SDMujer, en donde está cargado el documento de Caja de Herramientas para que este sea socializado en sesión de plenaria del CTPD. Se solicitó a través de correo electrónico a profesional que realiza acompañamiento al CTPD desde la Secretaría Distrital de Planeación el acta y grabación de la sesión donde se socializó en la instancia el proyecto de acuerdo del Sistema Distrital de Cuidado. 
Durante el mes de abril se retomaron acciones relacionadas con el acompañamiento técnico para el CTPD.
Se llevaron a cabo mesas de trabajo con las consejeras electas por el sector mujer para el CTPD los días 18/04/2023 y 27/04/2023 en donde se realizó el respectivo seguimiento para retomar acciones proyectadas para la vigencia 2023 como la socialización de la Caja de Herramientas, la socialización y firma del Pacto por la Paridad y el plan de acción del Lineamiento del CTPD.
Se llevó a cabo mesa de trabajo del equipo de promoción de la participación el día 18/04/2023 para revisar el plan de acción propuesto en el Lineamiento del CTPD.
Se llevó a cabo mesa con profesional de la estrategia de emprendimiento y empleabilidad el día 28/04/2023 para revisar el portafolio de oferta institucional relacionada con la garantía del derecho a la educación, para dar respuesta al plan de acción del Lineamiento del CTPD.
Se solicitó a través de correo electrónico la consecución de una mesa de trabajo para retomar acciones de articulación con la Estrategia Clínica Lidera Par de la Dirección de Territorialización de Derechos.
Se llevó a cabo mesa de trabajo el día 09/05/2023, con la Subsecretaria del Cuidado y Políticas de Igualdad y profesional del área jurídica en donde se trabajó en la alerta generada por la situación que se viene presentando en el relacionamiento entre las consejeras electas por el sector mujeres para el CTPD, se generaron alternativas de solución desde el quehacer institucional. 
Se llevó a cabo mesa de trabajo del equipo de promoción de la participación y representación de las mujeres y profesionales de las estrategias Lidera Par y Hablemos de Paridad de la Dirección de Territorialización de Derechos, el día 29/05/2023, en donde se concretaron acuerdos para el acompañamiento técnico del Consejo Territorial de Planeación Distrital-CTPD y el Consejo Distrital de Juventud para lo que resta de la vigencia, teniendo en cuenta las acciones pendientes con las instancias de participación distrital.
Se llevó a cabo mesa de trabajo con profesional de la Dirección de Diseño de Política encargada de liderar el Derecho a la Educación el 02/05/2023, en donde se revisó la oferta institucional para la garantía de este derecho, buscando dar respuesta al plan de acción propuesto en el documento de Lineamientos del CTPD.
Se llevó a cabo mesa de trabajo con profesional encargada de liderar el convenio Sena desde la Subsecretaría del Cuidado y Políticas de Igualdad el 29 /05/2023, en donde se revisó el portafolio del convenio para procurar el proceso de articulación dando respuesta al plan de acción propuesto en el documento de Lineamientos  del CTPD.
Se realizó PPT sobre la Caja de Herramientas pedagógicas para la socialización con el CTPD.
Se envío vía correo electrónico a las consejeras por el sector mujeres para el CTPD información sobre el proyecto C40.
Se llevó a cabo mesa de trabajo con profesional de la Secretaría Distrital de Planeación, el día 02/06/23 en donde se planteó la alerta que se viene presentando entre las consejeras electas por el sector mujeres para el CTPD, lo que ha dificultado el proceso de acompañamiento técnico desde la SDMujer para la instancia de participación distrital. 
Se llevaron a cabo mesas de trabajo con la Dirección de Gestión del Conocimiento el 07/06/23 y con la Dirección del Sistema de Cuidado el 22/06/23 donde se revisó la la oferta institucional relacionada con procesos de formación para socializar con el CTPD.
En el marco del plan de acción propuesto en el documento de Lineamientos para la transversalización de los enfoques de derechos de las mujeres, de género y diferencial se llevó a cabo mesa de trabajo con la coordinación del equipo el 28/06/23 en donde se revisó la proyección del correo electrónico, posteriormente se envío con información al CTPD relacionada con la oferta institucional sobre procesos de formación y cualificación, además se compartieron las convocatorias para la cuarta Feria de Educación Superior, el evento Women Deliver Américas 2023 liderado por la SDMujer y la capacitación sobre la Plataforma Colibrí de la Veeduría Distrital.
Se elaboró oficio dirigido a la Dirección de Participación y Comunicación para la Planeación de la Secretaría Distrital de Planeación en donde se solicita de manera formal información relacionada con los periodos de delegación de las consejeras electas por el sector mujeres para el CTPD, también se elaboró oficio de respuesta dirigido a consejera electa por el sector mujeres para el CTPD, por medio del cual se da respuesta a su requerimiento y se deja trazabilidad del proceso con los vistos buenos del equipo de la Subsecretaría del Cuidado y Políticas de Igualdad. Los dos documentos pasaron por la cadena de revisión del equipo profesional de la SCPI hasta tener la aprobación de la subsecretaria. 
Se llevó a cabo mesa de trabajo con las tres consejeras electas por el sector mujeres para el CTPD el día 10/07/2023, en donde se realizó seguimiento a los acuerdos frente al acompañamiento técnico para la instancia de participación teniendo en cuenta la fecha de la vigencia, dandole fuerza a la socialización de la Caja de Herramentas y la firma del Pacto por la Paridad, se renovaron los acuerdos para lo que resta de la vigencia.
Se envío correo electrónico al CTPD y las tres consejeras electas por el sector mujeres con la invitación a la capacitación de la plataforma SECOP II, la cual se desarrollará en articulación con Colombia Compra Eficiente el próximo 09/07/2023 y está dirigida a la ciudadanía en general.
Se presentó alerta a partir del acompañamiento técnico al CTPD, se realizó PPT teniendo en cuenta las dificultades que se han venido presentando en el desarrollo de la asistencia técnica en el CTPD a partir del conflicto interpersonal entre las tres consejeras electas por el sector mujeres, la Subsecretaría del Cuidado y Políticas de Igualdad presentó la alerta a la Oficina de Control Interno de la SDMujer.
Se elaboró el informe de gestión trimestral de acompañamiento técnico al CTPD para el periodo de abril-mayo-junio de 2023 y se apoyó en la elaboración del informe semestral de la Estrategia de Fortalecimiento de Capacidades, informando el avance a partir del acompañamiento técnico al CTPD.
Se llevó a cabo mesa de trabajo con las tres consejeras electas por el sector mujeres para el CTPD el día 17/08/23, se realizó seguimiento a los acuerdos frente al acompañamiento técnico para la instancia de participación, dandole fuerza a la socialización de la Caja de Herramentas y la firma del Pacto por la Paridad.
Se llevaron a cabo mesas de trabajo el 08/08/2023 para acordas detalles del espacio de fortalecimiento para las consejeras del CTPD y el 31/08/23 para preparar la intervención de la plenaria del CTPD. 
Se partició en el foro organizado por la Comisión de Participación del CTPD llevado a cabo el 26/08/2023, se participó en la plenaria del CTPD en donde se socializó la Caja de Herramentas y llegaron a acuerdos para la firma del Pacto por la Paridad.
Se envío correo electrónico al CTPD y las tres consejeras electas por el sector mujeres con la invitación a la capacitación de la plataforma SECOP II, la cual se llevó a cabo el 09/07/2023.
Se enviaron correos electrónicos a la instancia de participación con los compromisos por parte de la SDMujer.
Se elaboró PPT sobre la Caja de Herramientas y se ajustó el documento del Pacto por la Paridad.
En el mes de septiembre se participó del evento de firma del Pacto por la Paridad del CTPD el día 14/09/23 en las instalaciones de la SDPlaneación.
Se llevaron a cabo mesas de trabajo el 07/09/2023 para ajustar los bullets para la firma del Pacto por la Paridad, el 11/09/2023 para revisar los comentarios de la OAJ sobre el documento del Pacto por la Paridad y el 25/09/2023 para proyectar el plan de acción del Pacto por la Paridad. 
Se realizó recorrido por la CIOM Kennedy el 29/09/2023 para preparar la jornada de fortalecimiento de las mujeres del CTPD.
Se envío correo electrónico al CTPD, las tres consejeras electas por el sector mujeres y la SDPlaneación con la entrega oficial de la Caja de Herramientas Pedagógicas y el documento del Pacto por la Paridad.
Se ajustó el documento del Pacto por la Paridad teniendo en cuenta las indicaciones de la abogada de la SCPI y la OAJ.</t>
  </si>
  <si>
    <t>No se presentaron retrasos</t>
  </si>
  <si>
    <t xml:space="preserve">No se presentaron retrasos </t>
  </si>
  <si>
    <t xml:space="preserve">Cargo: Subsecretaria del Cuidado y Políticas de Igualdad </t>
  </si>
  <si>
    <t>Nombre: Angie Mesa Rojas</t>
  </si>
  <si>
    <t>Se precisa que para el mes de septiembre se cumplió con la transversalización del enfoque diferencial con  los 15  sectores de la administración distrital: Salud, Desarrollo Económico, Hacienda, Jurídica, Seguridad Convivencia y Justicia, Mujeres, Ambiente, Gestión Pública, Movilidad, Cultura, Educación, Gobierno, Hábitat, Planeación e Integración Social.</t>
  </si>
  <si>
    <r>
      <t>Se precisa que para el mes de septiembre se cumplió con la transversalización del enfoque diferencial con los 15 sectores de la administración distrital:</t>
    </r>
    <r>
      <rPr>
        <b/>
        <sz val="11"/>
        <color indexed="8"/>
        <rFont val="Times New Roman"/>
        <family val="1"/>
      </rPr>
      <t xml:space="preserve"> 
</t>
    </r>
    <r>
      <rPr>
        <sz val="11"/>
        <color indexed="8"/>
        <rFont val="Times New Roman"/>
        <family val="1"/>
      </rPr>
      <t>Salud, Desarrollo Económico, Hacienda, Jurídica, Seguridad Convivencia y Justicia, Mujeres, Ambiente, Gestión Pública, Movilidad, Cultura, Educación, Gobierno, Hábitat, Planeación e Integración Social.</t>
    </r>
  </si>
  <si>
    <r>
      <t xml:space="preserve">Durante el mes de </t>
    </r>
    <r>
      <rPr>
        <b/>
        <sz val="11"/>
        <color theme="1"/>
        <rFont val="Times New Roman"/>
        <family val="1"/>
      </rPr>
      <t>octubre</t>
    </r>
    <r>
      <rPr>
        <sz val="11"/>
        <color theme="1"/>
        <rFont val="Times New Roman"/>
        <family val="1"/>
      </rPr>
      <t xml:space="preserve"> de 2023  se atendieron en el área jurídica 223 mujeres y se realizaron 429 atenciones desagregadas así: 86 asesorías, 310 seguimientos y 33 valoraciones iniciales. Se cumplió en forma oportuna y efectiva con la orientación y asesoría requerida por las personas asistentes, con la entrega de la información precisa sobre los temas consultados y las acciones legales pertinentes respectivas. Se prestó atención telefónica y presencial, en el marco de estas atenciones, durante el periodo se logró además de dar las asesorías requeridas, el seguimiento a casos en curso y la elaboración y trámite de: 
*14 Derechos de petición
*8 Impulsos procesales
*17 Procesos de representación
*3 Comités estudio de casos
*4 Audiencias
*1 Acción de tutela
*1 Comités interdisciplinares de estudio de caso</t>
    </r>
  </si>
  <si>
    <r>
      <t xml:space="preserve">Durante los meses de enero a </t>
    </r>
    <r>
      <rPr>
        <b/>
        <sz val="11"/>
        <rFont val="Times New Roman"/>
        <family val="1"/>
      </rPr>
      <t>octubre</t>
    </r>
    <r>
      <rPr>
        <sz val="11"/>
        <rFont val="Times New Roman"/>
        <family val="1"/>
      </rPr>
      <t xml:space="preserve"> de 2023, se atendieron en el área jurídica 707 mujeres y se realizaron 3.198 atenciones desagregadas así: 809 asesorías, 2.152 seguimientos y 237 valoraciones iniciales. Se cumplió en forma oportuna y efectiva con la orientación y asesoría requerida por las personas asistentes, con la entrega de la información precisa sobre los temas consultados y las acciones legales pertinentes respectivas. Se prestó atención telefónica y presencial, en el marco de estas atenciones, durante el periodo se logró además de dar las asesorías requeridas, el seguimiento a casos en curso y la elaboración y trámite de: 
*99 Derechos de petición
*34 Impulsos procesales
*4 Escritos de denuncia
*23 Comités jurídicos de estudio de caso
*11 Comités interdisciplinares de estudio de caso
*19 Audiencias
*119 Procesos en representación
*5 Tutela</t>
    </r>
  </si>
  <si>
    <r>
      <t xml:space="preserve">Durante el mes de </t>
    </r>
    <r>
      <rPr>
        <b/>
        <sz val="11"/>
        <color theme="1"/>
        <rFont val="Times New Roman"/>
        <family val="1"/>
      </rPr>
      <t>octubre</t>
    </r>
    <r>
      <rPr>
        <sz val="11"/>
        <color theme="1"/>
        <rFont val="Times New Roman"/>
        <family val="1"/>
      </rPr>
      <t xml:space="preserve"> de 2023 se atendieron 149 mujeres en el área psicosocial y se realizaron 197 atenciones desagregadas así: 21 asesorías, 171 seguimientos y 5 valoración inicial. La atención se prestó de manera presencial y telefónica acorde a la agenda programada.  Se han realizado primeras atenciones y orientación psicosocial con énfasis en  gestión del malestar emocional manifiesto por las mujeres, se brindaron herramientas psicológicas dirigidas a gestionarlo, facilitar la expresión de sentimientos y avanzar en su reconocimiento como sujetas de derechos. Así mismo, se motivó la corresponsabilidad para el cuidado de su salud mental, focalizándoles en su proyecto de vida y preparación para la toma de decisiones y mejorar su situación actual. </t>
    </r>
  </si>
  <si>
    <r>
      <t xml:space="preserve">Durante los meses de enero a </t>
    </r>
    <r>
      <rPr>
        <b/>
        <sz val="11"/>
        <rFont val="Times New Roman"/>
        <family val="1"/>
      </rPr>
      <t>octubre</t>
    </r>
    <r>
      <rPr>
        <sz val="11"/>
        <rFont val="Times New Roman"/>
        <family val="1"/>
      </rPr>
      <t xml:space="preserve"> de 2023 se atendieron 416 mujeres en el área psicosocial y se realizaron 1.988 atenciones desagregadas así: 349 asesorías, 1.462 seguimientos y 177 valoración inicial. La atención se prestó de manera presencial y telefónica acorde a la agenda programada. Se han realizado primeras atenciones y orientación psicosocial con énfasis en gestión del malestar emocional manifiesto por las mujeres, se brindaron herramientas psicológicas dirigidas a gestionar, facilitar la expresión de sentimientos y avanzar en su reconocimiento como sujetas de derechos. Así mismo, se motivó la corresponsabilidad para el cuidado de su salud mental, focalizándoles en su proyecto de vida y preparación para la toma de decisiones y mejorar su situación actual. </t>
    </r>
  </si>
  <si>
    <r>
      <t xml:space="preserve">Durante el mes de </t>
    </r>
    <r>
      <rPr>
        <b/>
        <sz val="11"/>
        <rFont val="Times New Roman"/>
        <family val="1"/>
      </rPr>
      <t>octubre</t>
    </r>
    <r>
      <rPr>
        <sz val="11"/>
        <rFont val="Times New Roman"/>
        <family val="1"/>
      </rPr>
      <t xml:space="preserve"> de 2023 se atendieron 281 mujeres en trabajo social y se realizaron 440 atenciones desagregadas así: 156 intervenciones, 220 seguimientos y 64 valoraciones iniciales. Durante el periodo se realizó atención presencial y telefónica. A través de la atención, en el periodo se logró dar respuesta a las siguientes necesidades específicas:
A través de la atención  se logró dar respuesta a los procesos de: 
* 5 Portabilidad.                                                                                                                                                                              
* 24 Solicitud de encuesta socioeconomica SISBEN
* 15 Afiliaciones al sistema de salud
* 18 Activación servicios de SDIS, proyecto enlace emergencia social , bono de adulto mayor y jardines
*9 Solicitud cupo DLE.                                                                             
*18 Proceso educación flexible. 
*4 Formación cursos técnicos SENA.
*13 Formación para el trabajo (Miquelina y Conviventia).
*43 Pruebas rápidas con secretaria de salud. 
*23 Fondo Nacional del Ahorro. 
*7 Subsidios con Hábitat.                    
*18 Empleabilidad. 
*0 educación superior       
*19 Anticoncepción     
*2 IVE    
*1 cedulación    
*3 victimas                                                                                              
*3 traslado municipio salud.
*3 movilidad salud  
*1 movilidad escolar 
Se remitió con entidades como:  Secretaria de Salud, Fundación Miquelina, Fondo Nacional del Ahorro, Registraduría, Secretaría Desarrollo Económico, Secretaria de Educación, Secretaria Integracion Social, Secretaria de Planeación, Orientame, Secretaria de habitat, Conviventia, AHF, Agencia de empleo del SENA.</t>
    </r>
  </si>
  <si>
    <r>
      <t xml:space="preserve">Durante los meses de enero a </t>
    </r>
    <r>
      <rPr>
        <b/>
        <sz val="11"/>
        <rFont val="Times New Roman"/>
        <family val="1"/>
      </rPr>
      <t>octubre</t>
    </r>
    <r>
      <rPr>
        <sz val="11"/>
        <rFont val="Times New Roman"/>
        <family val="1"/>
      </rPr>
      <t xml:space="preserve"> de 2023 se atendieron 1.553 mujeres en trabajo social y se realizaron 4.007 atenciones desagregadas así: 1.336 intervenciones, 2.280 seguimientos y 391 valoraciones iniciales. Durante el periodo se realizó atención presencial y telefónica. A través de la atención, en el periodo se logró dar respuesta a las siguientes necesidades específicas:
A través de la atención, se logró dar respuesta a los procesos de: 
*165 Activación servicios de SDIS
*100 Afiliaciones al sistema de salud
*79 Anticoncepción
*16 Duplicados de cédula
*8 Educacion superior
*155 Empleabilidad
*166 Fondo Nacional del Ahorro
*157 Formación para el trabajo (Miquelina y Conviventia)
*22 Formación cursos técnicos SENA
*4 Movilidad escolar
*61 Portabilidad
*186 Proceso educación flexible
*399 Pruebas rápidas con secretaria de salud
*26 Remisiones para IVE
*9 Salud Movilidad
*226 Salud sexual y reproductiva liga contra el cancer
*78 Solicitud cupo DLE
*187 Solicitud de encuesta socioeconomica SISBEN
*56 Subsidios con Habitat
*17 Traslado municipio salud
*17 Ruta de victimas conflicto armado</t>
    </r>
  </si>
  <si>
    <t>Entre enero y octubre se realizaron atenciones a 3784 mujeres nuevas en sus diferencias y diversidad desde la Dirección de Enfoque Diferencial</t>
  </si>
  <si>
    <r>
      <t>La actividad no estaba programada para el mes de enero. Durante el mes de febrero se realizó el ajuste en las metodologías para población Raizal y mujeres que realizan ASP, de acuerdo a las sugerencias de las referentas de cada grupo, destacando la incorporación de la cartografía corporal e inteligencia financiera. En el mes de marzo, se realizaron ajustes en las metodologías de Afro, Palenqueras y Raizal. Se construyeron las  metodologías para las jornadas significativas del Colegio Juan Rey y  para la primera sesión de semillero con el grado séptimo . En  abril</t>
    </r>
    <r>
      <rPr>
        <b/>
        <sz val="12"/>
        <rFont val="Times New Roman"/>
        <family val="1"/>
      </rPr>
      <t xml:space="preserve"> </t>
    </r>
    <r>
      <rPr>
        <sz val="12"/>
        <rFont val="Times New Roman"/>
        <family val="1"/>
      </rPr>
      <t>se realizó el ajuste a la metodología para mujeres que realizan ASP y se construyeron las metodologías para adolescentes campesinas y segunda sesión de semillero con adolescentes de los grados séptimos del Colegio Juan Rey. En  mayo</t>
    </r>
    <r>
      <rPr>
        <b/>
        <sz val="12"/>
        <rFont val="Times New Roman"/>
        <family val="1"/>
      </rPr>
      <t xml:space="preserve"> </t>
    </r>
    <r>
      <rPr>
        <sz val="12"/>
        <rFont val="Times New Roman"/>
        <family val="1"/>
      </rPr>
      <t>se construyeron las metodologías correspondientes para las tres sesiones de semilleros de empoderamiento con estudiantes de los grados tercero, cuarto y quinto del Colegio Juan Rey. En el mes de</t>
    </r>
    <r>
      <rPr>
        <b/>
        <sz val="12"/>
        <rFont val="Times New Roman"/>
        <family val="1"/>
      </rPr>
      <t xml:space="preserve"> </t>
    </r>
    <r>
      <rPr>
        <sz val="12"/>
        <rFont val="Times New Roman"/>
        <family val="1"/>
      </rPr>
      <t xml:space="preserve">junio se construyó la metodología para el PICNIC de participación a mujeres jóvenes y para el Comité Primario de junio de la Dirección de Enfoque Diferencial. En julio se construyó  propuesta metodológica para la jornada significativa que se realizó con mujeres jóvenes. En </t>
    </r>
    <r>
      <rPr>
        <b/>
        <sz val="12"/>
        <rFont val="Times New Roman"/>
        <family val="1"/>
      </rPr>
      <t xml:space="preserve"> </t>
    </r>
    <r>
      <rPr>
        <sz val="12"/>
        <rFont val="Times New Roman"/>
        <family val="1"/>
      </rPr>
      <t>agosto</t>
    </r>
    <r>
      <rPr>
        <b/>
        <sz val="12"/>
        <rFont val="Times New Roman"/>
        <family val="1"/>
      </rPr>
      <t xml:space="preserve"> </t>
    </r>
    <r>
      <rPr>
        <sz val="12"/>
        <rFont val="Times New Roman"/>
        <family val="1"/>
      </rPr>
      <t xml:space="preserve">se realizaron las  propuestas metodológica para el semillero de mujeres Palenqueras, Gitanas  y jornadas significativas para estudiantes del Colegio Juan Rey. En septiembre se realizó desarrollo metodológico para el semillero Indígena y las metodologías para las jornadas significativas con jóvenes de la Universidad UNINPAHU y para adolescentes invitadas para el lanzamiento de la Política Pública de Infancia y Adolescencia - PPPIIA. En </t>
    </r>
    <r>
      <rPr>
        <b/>
        <sz val="12"/>
        <rFont val="Times New Roman"/>
        <family val="1"/>
      </rPr>
      <t>octubre</t>
    </r>
    <r>
      <rPr>
        <sz val="12"/>
        <rFont val="Times New Roman"/>
        <family val="1"/>
      </rPr>
      <t xml:space="preserve"> se realizó desarrollo metodológico para jornada significativa con mujeres sordas.
</t>
    </r>
  </si>
  <si>
    <r>
      <t>La actividad se programó en enero. En febrero se realizaron reuniones de planeación de semilleros para el Colegio Juan Rey y semilleros Raizal, Afro y Palenqueras y de mujeres en ASP. En marzo se</t>
    </r>
    <r>
      <rPr>
        <b/>
        <sz val="12"/>
        <rFont val="Times New Roman"/>
        <family val="1"/>
      </rPr>
      <t xml:space="preserve"> </t>
    </r>
    <r>
      <rPr>
        <sz val="12"/>
        <rFont val="Times New Roman"/>
        <family val="1"/>
      </rPr>
      <t>realizaron semilleros con: Niñas Afro Usme (33 personas), Niñas Afro Engativá (27 personas), Adolescentes y jóvenes Palenqueras ( 14 personas), Jóvenes Raizales (9 personas), adolescentes Colegio Juan Rey Grado 701 (30 personas) Grado 702 (29 personas) .Se realizaron 4 jornadas significativas en el Colegio Juan Rey en los grados transición, tercero, sexto y once (69 personas). En abril</t>
    </r>
    <r>
      <rPr>
        <b/>
        <sz val="12"/>
        <rFont val="Times New Roman"/>
        <family val="1"/>
      </rPr>
      <t xml:space="preserve"> </t>
    </r>
    <r>
      <rPr>
        <sz val="12"/>
        <rFont val="Times New Roman"/>
        <family val="1"/>
      </rPr>
      <t>se realizó semillero de empoderamiento con mujeres que realizan ASP (14 personas) y se realizó sesión de semillero  con adolescentes de los grados séptimo del Colegio Juan Rey (59 personas). En el mes de mayo se realizó la tercera sesión de semillero de empoderamiento con los grados séptimos del Colegio Juan Rey (61 personas). Se llevó a cabo la primera sesión de semillero de empoderamiento con el grado 501 del Colegio Juan Rey (35) participantes. Y se realizaron dos semilleros con los  grados 301  y 404 del Colegio Juan Rey de tres sesiones cada uno (62 personas). En el mes de junio se llevaron a cabo la segunda y tercera sesión con el grado 501 del Colegio Juan Rey  (35) participantes. En el mes de julio se realizó un semillero de empoderamiento con estudiantes del grado 502 del Colegio Juan Rey (31 personas). Se realizó una jornada significativa con mujeres jóvenes (5 personas). En</t>
    </r>
    <r>
      <rPr>
        <b/>
        <sz val="12"/>
        <rFont val="Times New Roman"/>
        <family val="1"/>
      </rPr>
      <t xml:space="preserve"> </t>
    </r>
    <r>
      <rPr>
        <sz val="12"/>
        <rFont val="Times New Roman"/>
        <family val="1"/>
      </rPr>
      <t>agosto se realizó un semillero con mujeres Palenqueras (20 personas) y  4 jornadas siginificativas con estudiantes de grado décimo del Colegio Juan Rey (45 personas).En</t>
    </r>
    <r>
      <rPr>
        <b/>
        <sz val="12"/>
        <rFont val="Times New Roman"/>
        <family val="1"/>
      </rPr>
      <t xml:space="preserve"> </t>
    </r>
    <r>
      <rPr>
        <sz val="12"/>
        <rFont val="Times New Roman"/>
        <family val="1"/>
      </rPr>
      <t>septiembre</t>
    </r>
    <r>
      <rPr>
        <b/>
        <sz val="12"/>
        <rFont val="Times New Roman"/>
        <family val="1"/>
      </rPr>
      <t xml:space="preserve"> </t>
    </r>
    <r>
      <rPr>
        <sz val="12"/>
        <rFont val="Times New Roman"/>
        <family val="1"/>
      </rPr>
      <t xml:space="preserve">se realizó: un semillero con Gitanas (29 personas), tres semilleros con Indígenas (112 personas), tres jornadas significativas UNINPAHU (61 personas) y una jornada significativa adolescentes PPPIIA (63 personas).En </t>
    </r>
    <r>
      <rPr>
        <b/>
        <sz val="12"/>
        <rFont val="Times New Roman"/>
        <family val="1"/>
      </rPr>
      <t xml:space="preserve">octubre </t>
    </r>
    <r>
      <rPr>
        <sz val="12"/>
        <rFont val="Times New Roman"/>
        <family val="1"/>
      </rPr>
      <t>se realizó una jornada significativa con mujeres sordas (9 personas)</t>
    </r>
  </si>
  <si>
    <r>
      <t xml:space="preserve">Durante los meses de enero a </t>
    </r>
    <r>
      <rPr>
        <b/>
        <sz val="12"/>
        <rFont val="Times New Roman"/>
        <family val="1"/>
      </rPr>
      <t xml:space="preserve">octubre </t>
    </r>
    <r>
      <rPr>
        <sz val="12"/>
        <rFont val="Times New Roman"/>
        <family val="1"/>
      </rPr>
      <t>de 2023 se atendieron 1.553 mujeres en trabajo social y se realizaron 4.007 atenciones desagregadas así: 1.336 intervenciones, 2.280 seguimientos y 391 valoraciones iniciales. Durante el periodo se realizó atención presencial y telefónica. A través de la atención, en el periodo se logró dar respuesta a las siguientes necesidades específicas:
A través de la atención, se logró dar respuesta a los procesos de: 
*165 Activación servicios de SDIS
*100 Afiliaciones al sistema de salud
*79 Anticoncepción
*16 Duplicados de cédula
*8 Educacion superior
*155 Empleabilidad
*166 Fondo Nacional del Ahorro
*157 Formación para el trabajo (Miquelina y Conviventia)
*22 Formación cursos técnicos SENA
*4 Movilidad escolar
*61 Portabilidad
*186 Proceso educación flexible
*399 Pruebas rápidas con secretaria de salud
*26 Remisiones para IVE
*9 Salud Movilidad
*226 Salud sexual y reproductiva liga contra el cancer
*78 Solicitud cupo DLE
*187 Solicitud de encuesta socioeconomica SISBEN
*56 Subsidios con Habitat
*17 Traslado municipio salud
*17 Ruta de victimas conflicto armado</t>
    </r>
  </si>
  <si>
    <r>
      <t xml:space="preserve">Durante los meses de enero a </t>
    </r>
    <r>
      <rPr>
        <b/>
        <sz val="12"/>
        <rFont val="Times New Roman"/>
        <family val="1"/>
      </rPr>
      <t>octubre</t>
    </r>
    <r>
      <rPr>
        <sz val="12"/>
        <rFont val="Times New Roman"/>
        <family val="1"/>
      </rPr>
      <t xml:space="preserve"> de 2023 se atendieron 416 mujeres en el área psicosocial y se realizaron 1.988 atenciones desagregadas así: 349 asesorías, 1.462 seguimientos y 177 valoración inicial. La atención se prestó de manera presencial y telefónica acorde a la agenda programada. Se han realizado primeras atenciones y orientación psicosocial con énfasis en gestión del malestar emocional manifiesto por las mujeres, se brindaron herramientas psicológicas dirigidas a gestionar, facilitar la expresión de sentimientos y avanzar en su reconocimiento como sujetas de derechos. Así mismo, se motivó la corresponsabilidad para el cuidado de su salud mental, focalizándoles en su proyecto de vida y preparación para la toma de decisiones y mejorar su situación actual. </t>
    </r>
  </si>
  <si>
    <r>
      <t xml:space="preserve">Durante los meses de enero a </t>
    </r>
    <r>
      <rPr>
        <b/>
        <sz val="12"/>
        <rFont val="Times New Roman"/>
        <family val="1"/>
      </rPr>
      <t xml:space="preserve">octubre </t>
    </r>
    <r>
      <rPr>
        <sz val="12"/>
        <rFont val="Times New Roman"/>
        <family val="1"/>
      </rPr>
      <t>de 2023, se atendieron en el área jurídica 707 mujeres y se realizaron 3.198 atenciones desagregadas así: 809 asesorías, 2.152 seguimientos y 237 valoraciones iniciales. Se cumplió en forma oportuna y efectiva con la orientación y asesoría requerida por las personas asistentes, con la entrega de la información precisa sobre los temas consultados y las acciones legales pertinentes respectivas. Se prestó atención telefónica y presencial, en el marco de estas atenciones, durante el periodo se logró además de dar las asesorías requeridas, el seguimiento a casos en curso y la elaboración y trámite de: 
*99 Derechos de petición
*34 Impulsos procesales
*4 Escritos de denuncia
*23 Comités jurídicos de estudio de caso
*11 Comités interdisciplinares de estudio de caso
*19 Audiencias
*119 Procesos en representación
*5 Tutela</t>
    </r>
  </si>
  <si>
    <r>
      <rPr>
        <sz val="12"/>
        <color rgb="FF000000"/>
        <rFont val="Times New Roman"/>
        <family val="1"/>
      </rPr>
      <t>Durante los meses de enero a</t>
    </r>
    <r>
      <rPr>
        <b/>
        <sz val="12"/>
        <color rgb="FF000000"/>
        <rFont val="Times New Roman"/>
        <family val="1"/>
      </rPr>
      <t xml:space="preserve"> octubre </t>
    </r>
    <r>
      <rPr>
        <sz val="12"/>
        <color rgb="FF000000"/>
        <rFont val="Times New Roman"/>
        <family val="1"/>
      </rPr>
      <t>de 2023 se consolidaron y elaboraron los siguiente boletines:
1-Boletín caracterización de personas ASP atendidas en Casa de Todas en Trim I 2023
2-Informe_Encuesta_Satisfacción_II Sem 2022
3-Boletín caracterizadas I-Trim 2023 Comparativo Ven - Col
4-Boletín Atendidas_2022
5-Informe_Encuesta_Evaluación_Servicios_I Sem 2023
6-Boletín Atendidas I-Sem 2023
7-Boletin_Caracterizadas Localidad de Los Mártires corte 30 de Junio
8-Boletín Caracterizadas Junio 2023 Comparativo Los Mártires - Otras localidades.pdf
9- Producto violencias ASP enero 2022 a junio 2023.pdf</t>
    </r>
  </si>
  <si>
    <r>
      <t xml:space="preserve">Durante los meses de </t>
    </r>
    <r>
      <rPr>
        <b/>
        <sz val="12"/>
        <rFont val="Times New Roman"/>
        <family val="1"/>
      </rPr>
      <t>enero a octubre</t>
    </r>
    <r>
      <rPr>
        <sz val="12"/>
        <rFont val="Times New Roman"/>
        <family val="1"/>
      </rPr>
      <t>, se hicieron reuniones para las alianzas con el ICFES, BID y la Agencia Atenea en el marco de la implementación de la Estrategia de Educación Flexible (EEF). Asimismo, se realizó cronograma de estrategia. Se inició contrato interadministrativo con ICFES y bienvenida e inducción con una participación de 105 mujeres y 12 jornadas de fortalecimiento en junio y julio, además se realizó simulacro de Pruebas Saber 11, y en agosto se hizo convocatoria presentación de Prueba Saber 11, presentaron 130 mujeres de 200. Se hizo 3 talleres con el ICFES, 2 virtual con asistencia de 77 mujeres y 1 presencial 20 mujeres. Se realizó Feria de Educación Superior, con participación de 27 instituciones y 179 mujeres, para un total de 248 participantes y se efectuó reunión de planeación para la segunda feria, así como convocatoria y reunión preparatoria con universidades. Se continuó articulación con ACNUR para apoyo económico a 10 mujeres en la EEF en la Casa de Todas que participan en educación flexible en primer y segundo semestre, se graduaron 4 mujeres como bachilleres y se evaluaron las lecciones aprendidas del pilotaje. Se articuló con la Dirección de Gestión del Conocimiento y se envió la inscripción con 119 mujeres a 3 cursos inglés terminaron satisfactoriamente 36 mujeres con el SENA de los cuales uno con campesinas y rurales que finalizó en agosto. Se envío a la directora de Enfoque Diferencial el Manual de Inclusión. Se articuló con Atenea para Programa Jóvenes a la U y Makaia para becas en Programación.  Asimismo, se continuó la caracterización de 186 mujeres de la EEF y se cuenta con un documento de los 3 grupos focales sobre barreras de acceso y se incorporó el manual de inclusión en la caja de herramientas de la DED.</t>
    </r>
  </si>
  <si>
    <r>
      <t>Durante febrero, se realizó articulación con el ICFES para contrato interadministrativo Pruebas Saber 11. se realizó estudios previos. Durante marzo se solicitó cotización para ICFES, se realizó una reunión de empalme de la Estrategia con la directora de Enfoque Diferencial. Se inicio articulación y asignación de cupos para el Programa Parceros por Bogotá. Durante abril se realizó la convocatoria preinscripción de Pruebas Saber 11, se cuenta con 220 mujeres preinscritas; se seleccionarán 200 que cumplen con los requisitos y se continuo la articulación con Parceros. Se convocó y seleccionó docentes para jornadas de fortalecimiento Pruebas Saber 11. Durante mayo, se firmó contrato inter administrativo con el ICFES, e inscripción de 200 mujeres y jornada de la bienvenida presencial a 105 mujeres inscritas a Pruebas Saber 11, 25 acompañantes y funcionarias, para un total de 130 personas. Durante junio se realizaron, jornadas de fortalecimiento de las Pruebas Saber 11, se realizaron 6 jornadas en el Colegio Panamericano: 4 presenciales y 2 virtuales y taller de socialización de las Pruebas Saber 11 en el marco del contrato interadministrativo con ICFES. Durante julio se realizaron 3 talleres ICFES, 2 virtuales, con una asistencia de 77 mujeres y uno presencial con 20 mujeres. Igualmente, se realizaron 4 jornadas de fortalecimiento presencial con un promedio de 25 mujeres y 2 jornadas virtuales, con promedio de 120 mujeres. se realizó simulacro de Prueba Saber 11, con una asistencia presencial de 25 mujeres y 77 mujeres virtual. Durante agosto</t>
    </r>
    <r>
      <rPr>
        <b/>
        <sz val="12"/>
        <rFont val="Times New Roman"/>
        <family val="1"/>
      </rPr>
      <t xml:space="preserve"> </t>
    </r>
    <r>
      <rPr>
        <sz val="12"/>
        <rFont val="Times New Roman"/>
        <family val="1"/>
      </rPr>
      <t>se realizó la convocatoria para la presentación de la Prueba Saber 11 en la que participaron 130 mujeres de las 200 inscritas. Asimismo, se continuó con la caracterización de 176 mujeres y se fortaleció la información con 3 grupos focales sobre barreras de acceso para la educación superior. Durante septiembre se realizó documento de grupo focal y se avanzó en la caracterización de 186 mujeres. Durante</t>
    </r>
    <r>
      <rPr>
        <b/>
        <sz val="12"/>
        <rFont val="Times New Roman"/>
        <family val="1"/>
      </rPr>
      <t xml:space="preserve"> octubre</t>
    </r>
    <r>
      <rPr>
        <sz val="12"/>
        <rFont val="Times New Roman"/>
        <family val="1"/>
      </rPr>
      <t xml:space="preserve"> se entregó documento de caracterización y grupo focal al ICFES. </t>
    </r>
  </si>
  <si>
    <r>
      <t xml:space="preserve">Durante febrero se logró 2 encuentros de planeación y articulación con el equipo de la EEF.  Igualmente, se realizó una reunión con la Agencia de Educación Superior, Ciencia y Tecnología (ATENEA), se retomó la articulación y con la Dirección de Derechos y Diseño de Políticas (DDDP) y La Dirección de Eliminación de Violencias contra las Mujeres y Acceso a la Justicia (DEVAJ) para los procesos de vinculación y permanencia en educación superior de las mujeres. Durante marzo se realizó jornada de empalme de la EEF. Asimismo, en alianza con el BID, se realizó la revisión al documento final de sistematización programa de educación flexible con la Secretaría de Educación Distrital (SED) y Casa de la Mujer. Igualmente, se realizó encuentro con la Dirección de Gestión de Conocimiento los pasos de la publicación del Manual de Inclusión de Educación Superior 2023. Durante el mes de abril, se retroalimentó Manual retroalimentado con los aportes de la DDDP de la SDMujer. Durante mayo, se realizó articulación con la Dirección de Diseño de Políticas de la SDMujer para compartir la Feria de Educación Superior y se identificaron lecciones aprendidas de las Ferias. Durante junio se realizó IV Feria de educación superior, se realizaron 2 reuniones de gestión, aprestamiento con Universidades y Equipo de la Estrategia. En la Feria, participaron 31 instituciones de Educación Superior, ACNUR y Opción Legal y 1 red de mujeres, 179 mujeres. Durante julio, se envió el Manual para la Inclusión de Mujeres Diversas en Educación Superior, a directora DED con los ajustes sugeridos por la DDDP y se envió a la Dirección de Gestión del Conocimiento. Durante agosto, se realizó reunión de planeación de la segunda Feria de Educación Superior proyectada para noviembre y se tuvo reunión con la encargada de transversalización la Dirección de Enfoque Diferencial -  DED, para incorporar el manual de inclusión realizado en el 2022 en la caja de herramientas de la DED. Durante </t>
    </r>
    <r>
      <rPr>
        <b/>
        <sz val="12"/>
        <rFont val="Times New Roman"/>
        <family val="1"/>
      </rPr>
      <t>s</t>
    </r>
    <r>
      <rPr>
        <sz val="12"/>
        <rFont val="Times New Roman"/>
        <family val="1"/>
      </rPr>
      <t xml:space="preserve">eptiembre se realizó reunión de planeación de Feria de Educación Superior con el equipo de Educación Flexible. Durante </t>
    </r>
    <r>
      <rPr>
        <b/>
        <sz val="12"/>
        <rFont val="Times New Roman"/>
        <family val="1"/>
      </rPr>
      <t>octubre</t>
    </r>
    <r>
      <rPr>
        <sz val="12"/>
        <rFont val="Times New Roman"/>
        <family val="1"/>
      </rPr>
      <t xml:space="preserve"> se realizó convocatoria a Feria y reunión preparatoria con universidades. Revisión manual de inclusión por Gestión de Conocimiento.</t>
    </r>
  </si>
  <si>
    <r>
      <t xml:space="preserve">Durante febrero en alianza con el BID, se realizó reunión con el Sistema Distrital de Cuidado (SIDICU) y Casa de la Mujer, se programó la revisión del documento de sistematización Secretaría de Educación Distrital (SED) y Casa de la Mujer, en la Manzana de Cuidado de Mártires, para cuidadoras colombianas y migrantes. Se inició convocatoria en Casa de Todas para la vinculación de mujeres para Educación Flexible de la SED, con mujeres en Actividades Sexuales Pagadas (ASP). Durante marzo, se continuo proceso de Educación Flexible y se articuló con ACNUR para asistencias económicas y cursos de inglés con el SENA. Durante abril se articuló con Makaia y ACNUR, para 10 apoyos económicos mujeres (ASP). Informo sobre Feria de Empleabilidad y de emprendimiento con mujeres (ASP). Durante mayo se inició pilotaje de asistencia económica a mujeres (ASP) de las cuales 4 se gradúan de bachiller. Se siguió articulación con Atenea e invitó a Feria de Educación Superior y se inició articulación con Universidad Javeriana. Se avanzó en articulación para cursos inglés SENA. Durante junio se continuó la articulación con la Dirección de Gestión del Conocimiento (DGC)  y se envió la inscripción de 3 cursos con 119 mujeres a inglés con el SENA uno con campesinas y rurales. Asimismo, con ACNUR se evaluó las 10 asistencias Económicas con mujeres ASP en Casa de Todas. Durante julio iniciaron los tres cursos de inglés con el SENA con 119 mujeres, se participó en reunión con ACNUR, para asistencias económicas y se articuló con Atenea para invitación de Programa Jóvenes a la U y firma convenio con Makaia para el programa becas en Programación. Durante agosto se realizó reunión de difusión de Becas con Makaia, ACNUR para asistencias económicas y se envío correo a la Fundación Universitaria Cafam para articulación respecto a ofrecimiento de becas. Se continuaron los cursos de inglés que viene realizando la DGC con mujeres participantes de la EEF.Durante septiembre se realizó acompañamiento a la caracterización realizada por ACNUR para las asistencias económicas que recibirán las 12 mujeres, se continuó la articulación con Parceros con actividades puntuales para los siguientes meses y se recibió la lista que 36 mujeres que finalizaron el curso de inglés. Durante </t>
    </r>
    <r>
      <rPr>
        <b/>
        <sz val="12"/>
        <rFont val="Times New Roman"/>
        <family val="1"/>
      </rPr>
      <t xml:space="preserve">octubre </t>
    </r>
    <r>
      <rPr>
        <sz val="12"/>
        <rFont val="Times New Roman"/>
        <family val="1"/>
      </rPr>
      <t xml:space="preserve">se continuó la articulación con Parceros, Makaia y ACNUR en Casa de Todas, con las asistencias económicas. </t>
    </r>
  </si>
  <si>
    <r>
      <t xml:space="preserve">La actividad no estaba programada para el mes de enero. En febrero la actividad no presentó avance, por trámites contractuales. En marzo se realizó la Primera Mesa de Cuidado Menstrual en adelante (MCM). Son corresponsables de la mesa la Secretaría de Salud, Secretaría de Integración Social, IDIPRON y SDMujer como líder técnico. Se definió el Plan de Acción y cronograma de jornadas y recorridos por la Dignidad Menstrual para el año sin fechas exactas. A agosto se han realizado seis mesas de cuidado menstrual y mes a mes las entidades acuerdan las acciones afirmativas interinstitucionales a ejecutar en el mes siguiente. En septiembre se realizó reunión presencial de la séptima MCM y se planearon los fortalecimientos a Salud, el recorrido para el 18 de octubre en las localidades de Pte Aranda y Antonio Nariño y se dialogó temas relevantes a incluir en los informes de empalme de las entidades corresponsables del Cuidado Menstrual en Bogotá. No hay atraso en la implementación. En septiembre se realizó reunión presencial de la séptima MCM y se planearon los fortalecimientos a Salud, el recorrido para el 18 de octubre en las localidades de Pte Aranda y Antonio Nariño y se dialogó temas relevantes a incluir en los informes de empalme de las entidades corresponsables del Cuidado Menstrual en Bogotá. No hay atraso en la implementación. En </t>
    </r>
    <r>
      <rPr>
        <b/>
        <sz val="12"/>
        <rFont val="Times New Roman"/>
        <family val="1"/>
      </rPr>
      <t>octubre</t>
    </r>
    <r>
      <rPr>
        <sz val="12"/>
        <rFont val="Times New Roman"/>
        <family val="1"/>
      </rPr>
      <t xml:space="preserve"> se realizó reunión virtual de la octava MCM, en la que que se planearon los fortalecimientos a IDIPRON y enfermeras de SDIS, y los recorridos DM en Pte Aranda y Kennedy. Se entregó instrumento de recolección de info. para informes finales.    </t>
    </r>
  </si>
  <si>
    <t>La actividad no estaba programada para enero, febrero y marzo, pero, aunque no estaba programada, se avanzó en la gestión en la Mesa Distrital de Cuidado Menstrual. Para abril se realizó articulación con Casa de Todas para realizar EMAA con Mujeres que realizan ASP; no obstante, y a pesar de la socialización del evento no llegó ninguna mujer al espacio.  En mayo se realizaron 4 jornadas EMAA con estudiantes del Verjón Alto de la localidad de Santa Fé, con 4, 5 y 6to y se realiza jornada EMAA con 14 mujeres en ASP en Casa de Todas (CdeT), además se realizó fortalecimiento institucional a 22 profesionales territoriales de la SDIS. En junio se realizó fortalecimiento institucional a 21 profesionales territoriales SDIS y a 4 mujeres activistas menstruales de grupo de la Universidad Distrital; Los días 14 (22 mujeres) y 28 (9 mujeres) se llevaron a cabo jornadas EMAA con mujeres que realizan ASP, se entregaron 31 Discos Menstruales gestionados por CdT. En julio se realizó una Jornada EMAA para mujeres que realizan ASP en CdT, se trabajó con 6 mujeres a quienes se les entregó disco menstrual. A lo largo del mes se realizó fortalecimiento de capacidades con la referenta de mujeres sordas de la DED con el fin de construir metodología para este grupo poblacional. En agosto se realizaron dos jornadas EMAA: 1 con mujeres mayores (17) y una con mujeres sordas (16). Se realizó fortalecimiento de capacidades a ACNUR-SDMujer (4) y evaluación del pilotaje de copas menstruales a la que solo llegó 1 mujer en ASP. En septiembre se realizaron 4 sesiones EMAA; 2 con mujeres rurales (9 y 13 per) y 1 con muj. NAJ en el Castillo de las Artes (22 per) y Fundación Servicio Juvenil Casa Bosconia (18 per). Se realizaron 4 fortalecimientos institucionales 2 con SDSalud Centros de Escucha (28 y 10 per) y 2 con el equipo sicosocial del IDIPRON (28 y 17). En octubre se realizaron 6 jornadas EMAA; 1 con muj sordas (13 muj), 2 con madres y padres del colegio Acacias II (13 y 3 pers), 2 en articulación y apoyo a ACNUR (13 y 24muj) y 1 en casa LGBT Casa Amapola (13). Se finalizó el fortalecimiento institucional a SDSalud equipo Centros de Escucha (45 servidorxs) y Secretaría de Seguridad (15). Esta actividad no presenta retrasos en su ejecución.</t>
  </si>
  <si>
    <r>
      <t xml:space="preserve">La actividad no estaba programada para el mes de enero. En el mes de febrero la actividad no presentó avance, dado trámites contractuales. En el mes de marzo se reestablece quien es el contacto en el área de Comunicaciones de la SDMujer y en el diálogo con ella no es posible realizar reunión antes de finalizar el mes por temas de acuerdos y productos pendientes. En el mes de abril se realizó reunión con Comunicaciones y se estableció estrategia de trabajo con el fin de avanzar en la implementación de la estrategia comunicativa con las herramientas con las que se cuenta. Se seleccionó una pieza comunicativa que apunta a la prevención del taponamiento y se dispuso actualizar la información allí relacionada con las profesionales de Casa de Todas y en la Mesa Distrital de Cuidado Menstrual. En el mes de mayo se realizó gestión y consolidación de información que hará parte de las piezas comunicativas de la estrategia de comunicaciones, se realizaron ajustes al Folleto de Prevención del taponamiento, el cual se aprueba a través de la Mesa Distrital de Cuidado Menstrual y se aprueban piezas para redes sociales. En el mes de junio se aprobaron las piezas comunicativas de la estrategia de comunicaciones, se entregó en la Mesa Distrital de Cuidado Menstrual el Folleto de Prevención del taponamiento y se comparten piezas comunicativas publicadas en redes sociales de la SDMujer. En el mes de julio se continuó con la implementación de la estrategia de comunicaciones en redes sociales y se enviaron insumos para la creación de video que resume el primer semestre de 2023. En agosto se continuó con la implementación de la estrategia de comunicaciones en redes sociales y se enviaron insumos para la creación de video que resume los esfuerzos de los recorridos de dignidad menstrual, con esta acción se subsana el atraso en la implementación del 3% . En septiembre se avanzó en la publicación de las piezas comunicativas creadas y en la entrega del folleto a los equipos de Salud por su trabajo territorial. https://www.facebook.com/reel/591970346256638. En </t>
    </r>
    <r>
      <rPr>
        <b/>
        <sz val="12"/>
        <rFont val="Times New Roman"/>
        <family val="1"/>
      </rPr>
      <t>octubre</t>
    </r>
    <r>
      <rPr>
        <sz val="12"/>
        <rFont val="Times New Roman"/>
        <family val="1"/>
      </rPr>
      <t xml:space="preserve"> se consolidó información y se realizó solicitud de creación de pieza comunicativa en torno a qué es el ciclo y cómo llevar un calendario menstrual. </t>
    </r>
  </si>
  <si>
    <r>
      <t xml:space="preserve">En enero y febrero la actividad no presentó avance, por programación y trámites contractuales.  En marzo se realizó una Jornada de Dignidad Menstrual (en adelante JDM) en la localidad de Los Mártires, en la que se realizó taller de cuidado menstrual a 36 personas que se reportan en SIMISIONAL y se entregaron 25 kits de cuidado menstrual (CM). En abril se realizaron 2 Recorridos por la Dignidad Menstrual (en adelante RDM) en las localidades de 1) San Cristóbal 9 mujeres habitantes de calle abordadas, se entregaron 5 kits CM y 2) Bosa 6 mujeres habitantes de calle, se entregaron 5 kits CM.  En mayo se realizó JDM en la localidad de Santa Fe trabajó taller de cuidado menstrual con 38 mujeres (SDMujer no entregó elementos de Cuidado Menstrual, los elementos de CM fueron asumidos por SDIS e IDIPRON) y se realizó un RDM en la localidad de Usaquén, se atendieron 5 mujeres habitantes de calle, SDMujer entregó 5 Kits CM.  En junio se realizó RDM en la localidad de Suba en donde se atendieron 8 mujeres habitantes de calle, SDMujer les entregó 6 Kits CM (dos de las mujeres no estaban en condiciones de salud mental para recibir kit). En Julio se realizó: 1 JDM en Barrios Unidos en donde se atendieron 11 mujeres, solo 2 eran habitantes de calle, la entrega de elementos de Cuidado Menstrual la realiza la SDIS y se llevó a cabo un RDM en Engativá donde 13 mujeres son abordadas y se entregaron 8 kits CM.  En agosto se realizó recorrido por la dignidad menstrual en la localidad de Ciudad Bolívar en donde se atendieron 9 mujeres habitantes de calle, se entregaron 8 kits CM. En septiembre se realizó la 4 JDM en Rafael Uribe Uribe en donde se atendieron 13 personas HC y en riesgo y 1 RDM en Teusaquillo donde se abordan 7 mujeres y se les entregó kit de cuidado menstrual (CM). Esta actividad no presenta retrasos en su ejecución. En </t>
    </r>
    <r>
      <rPr>
        <b/>
        <sz val="12"/>
        <rFont val="Times New Roman"/>
        <family val="1"/>
      </rPr>
      <t>octubre</t>
    </r>
    <r>
      <rPr>
        <sz val="12"/>
        <rFont val="Times New Roman"/>
        <family val="1"/>
      </rPr>
      <t xml:space="preserve"> se realizó un RDM en Antonio Nariño y Puente Aranda en donde se atendieron 6 mujeres CHC y se entregaron 6 kits CM.</t>
    </r>
  </si>
  <si>
    <r>
      <t>En la</t>
    </r>
    <r>
      <rPr>
        <b/>
        <sz val="12"/>
        <rFont val="Times New Roman"/>
        <family val="1"/>
      </rPr>
      <t xml:space="preserve"> Estrategia de empoderamiento </t>
    </r>
    <r>
      <rPr>
        <sz val="12"/>
        <rFont val="Times New Roman"/>
        <family val="1"/>
      </rPr>
      <t xml:space="preserve">para el mes de octubre no se presentaron retrasos en el desarrollo de la estrategia.
En la </t>
    </r>
    <r>
      <rPr>
        <b/>
        <sz val="12"/>
        <rFont val="Times New Roman"/>
        <family val="1"/>
      </rPr>
      <t>Estrategia de capacidades psicoemocionales</t>
    </r>
    <r>
      <rPr>
        <sz val="12"/>
        <rFont val="Times New Roman"/>
        <family val="1"/>
      </rPr>
      <t xml:space="preserve"> no se presenta retraso. 
En la </t>
    </r>
    <r>
      <rPr>
        <b/>
        <sz val="12"/>
        <rFont val="Times New Roman"/>
        <family val="1"/>
      </rPr>
      <t>Estrategia de Cuidado Menstrual</t>
    </r>
    <r>
      <rPr>
        <sz val="12"/>
        <rFont val="Times New Roman"/>
        <family val="1"/>
      </rPr>
      <t xml:space="preserve"> no se presenta retraso.</t>
    </r>
  </si>
  <si>
    <r>
      <t xml:space="preserve">En </t>
    </r>
    <r>
      <rPr>
        <b/>
        <sz val="12"/>
        <rFont val="Times New Roman"/>
        <family val="1"/>
      </rPr>
      <t>octubre</t>
    </r>
    <r>
      <rPr>
        <sz val="12"/>
        <rFont val="Times New Roman"/>
        <family val="1"/>
      </rPr>
      <t xml:space="preserve"> se avanzó en la implementación de las acciones de asistencia – AT con 3 de los 4 sectores (Jurídica, Ambiente y Movilidad). Se coordinó con Secretaría Jurídica la segunda jornada informativa sobre entidades sin ánimo de lucro con enfoque diferencial y se hizo seguimiento a la AT con el equipo de profesionales. Se realizaron 2 acciones de transversalización del enfoque diferencial: 1 con Mujeres y 1 con Hábitat. Se caracterizó 1 herramienta y se validó la caracterización de una herramienta. Se reiteró memorando a las distintas dependencias de la SDMujer, con versión final del Plan de Fortalecimiento para que definieran las metas, tiempos y responsables de cada una de las acciones propuestas para la eliminación de barreras de acceso a los servicios y se apoyó a la Dirección de Enfoque Diferencial – Casa de Todas en su diligenciamiento. </t>
    </r>
  </si>
  <si>
    <r>
      <t xml:space="preserve">De enero a septiembre se ajustó el Procedimiento de Asistencia Técnica – AT; se coordinó con DDYDP la AT con 4 sectores, se definieron las actividades de AT con los sectores y se avanzó en su implementación y seguimiento. Se adelantaron 29 acciones de transversalización del enfoque diferencial – ED (Salud 3, Mujeres 13, Desarrollo Económico 1, Hacienda 1, Seguridad 2, Gestión Pública 1, Ambiente 2, Cultura 1, Educación 3, Gobierno 1, Movilidad 1). En </t>
    </r>
    <r>
      <rPr>
        <b/>
        <sz val="12"/>
        <color rgb="FF000000"/>
        <rFont val="Times New Roman"/>
        <family val="1"/>
      </rPr>
      <t>octubre</t>
    </r>
    <r>
      <rPr>
        <sz val="12"/>
        <color rgb="FF000000"/>
        <rFont val="Times New Roman"/>
        <family val="1"/>
      </rPr>
      <t xml:space="preserve"> se avanzó en la AT, así: Jurídica: 1 jornada informativa sobre entidades sin ánimo de lucro dirigida a mujeres jóvenes, adultas, mayores, campesinas, con discapacidad, lesbianas y bisexuales; Ambiente: 1 taller con personal de la Secretaría de Ambiente sobre ED, identidad y sistemas de discriminación; Movilidad: 1 jornada de información con la mesa de género del sector, sobre sistemas de discriminación, interseccionalidad y herramientas para la transversalización de los enfoques de género y diferencial y 1 jornada de transferencia de conocimientos de la Estrategia de Capacidades Psicosociales de la SDMujer con el equipo psicosocial de la Dirección Técnica de Seguridad de Transmilenio. Se coordinó con el sector Jurídica la 2da jornada informativa sobre entidades sin ánimo de lucro y se hizo seguimiento a la AT. Se adelantaron 2 acciones de transversalización del ED con 2 sectores: Mujeres: prestación de 21 servicios de interpretación para la inclusión y atención a mujeres sordas; Hábitat: participación en conversatorio sobre derechos de las mujeres transgénero con personal de la Empresa de Acueducto, Alcantarillado y Aseo de Bogotá. </t>
    </r>
  </si>
  <si>
    <r>
      <t xml:space="preserve">De enero a septiembre se elaboró propuesta metodológica para avanzar en la consolidación de la caja de herramientas y se definió un cronograma preliminar de actividades, que se remitió a la directora de Enfoque Diferencial para revisión y aprobación. Se recibió aprobación por parte de la directora y se socializó y validó con las profesionales que lideraron la elaboración de las herramientas. Se diseñó matriz para caracterizar las herramientas, se avanzó en la caracterización de 16 herramientas de las 20 identificadas inicialmente y algunas nuevas, se coordinó y avanzó en el ajuste al Manual de atención a mujeres trans y personas no binarias en el Distrito Capital y se validó la caracterización de 14 herramientas. En </t>
    </r>
    <r>
      <rPr>
        <b/>
        <sz val="12"/>
        <rFont val="Times New Roman"/>
        <family val="1"/>
      </rPr>
      <t>octubre</t>
    </r>
    <r>
      <rPr>
        <sz val="12"/>
        <rFont val="Times New Roman"/>
        <family val="1"/>
      </rPr>
      <t xml:space="preserve"> se avanzó en la caracterización de 1 herramienta: 4 videos de mujeres mayores donde comparten cómo ellas celebran su vejez y se validó la caracterización de la caja de herramientas “Mujeres reveladas” Recomendaciones para prevenir la discriminación en los medios hacia las mujeres en sus diferencias y diversidad.</t>
    </r>
  </si>
  <si>
    <t>En el mes de octubre se realizaron dos (2) actividades de alistamiento:
Se realizó la coordinación con la Dirección de Inspección, Vigilancia y Control de la Secretaría Jurídica Distrital, de la convocatoria y desarrollo de la segunda jornada de orientación sobre fortalecimiento y/o constitución de Entidades sin Ánimo de Lucro – ESAL, en el marco de la asistencia técnica al Sector Jurídica. Esta jornada estaba dirigida a mujeres jóvenes, adultas, mayores, con discapacidad, campesinas y mujeres lesbianas y bisexuales (6-10-2023)
Se realizó reunión de seguimiento a la asistencia técnica con el equipo de profesionales para identificar los avances de cada sector (26-10-2023).</t>
  </si>
  <si>
    <t>A octubre se han implementado 19 actividades de alistamiento, seguimiento y evaluación de la asistencia técnica.</t>
  </si>
  <si>
    <t>En el mes de octubre se realizaron cuatro (4) actividades de asistencia técnica:
Una (1) acción de acompañamiento con el sector Jurídica: se llevó a cabo la segunda jornada informativa con enfoque diferencial sobre entidades sin ánimo de lucro - ESAL, dirigida a mujeres jóvenes, adultas, mayores, con discapacidad, campesinas y mujeres lesbianas y bisexuales (24-10-2023).
Una (1) acción de formación con el sector Ambiente: taller con 10 servidoras, servidores y contratistas de la Secretaría Distrital de Ambiente sobre sobre enfoque diferencial, identidad y sistemas de discriminación (26-10-2023).
Dos (2) acciones de formación con el sector Movilidad: una (1) jornada de información con el equipo de la mesa de género del Sector Movilidad con 10 personas, sobre sistemas de discriminación, interseccionalidad y herramientas para la transversalización de los enfoques de género y diferencial (9-10-2023) y una (1) jornada de información sobre transferencia de conocimientos de la Estrategia de Fortalecimiento de Capacidades Psicoemocionales de la Dirección de Enfoque Diferencial de la SDMujer al equipo psicosocial de la Dirección Técnica de Seguridad de Transmilenio, quienes  realizan atención y acompañamiento a situaciones de violencias contra las mujeres y discriminación dentro del sistema (12-10-2023)</t>
  </si>
  <si>
    <t>A octubre se han implementado 28 actividades de asistencia técnica para la transversalización del enfoque diferencial.</t>
  </si>
  <si>
    <r>
      <t>Entre</t>
    </r>
    <r>
      <rPr>
        <b/>
        <sz val="12"/>
        <rFont val="Times New Roman"/>
        <family val="1"/>
      </rPr>
      <t xml:space="preserve"> enero y octubre </t>
    </r>
    <r>
      <rPr>
        <sz val="12"/>
        <rFont val="Times New Roman"/>
        <family val="1"/>
      </rPr>
      <t>se avanzó en la construcción del paso a paso de las conmemoraciones y se definieron las actividades a realizar durante la vigencia 2023, se realizó socialización del paso a paso de las conmemoraciones al equipo de la DED de la SDMujer, se construyó  la metodología de encuentros diferenciales y se han desarrollado 15 encuentros diferenciales con mujeres que realizan ASP, raizales, indígenas, con discapacidad, gitanas, afro, palenqueras, habitantes de calle, adultas, mayores, migrantes, campesinas y rurales, jóvenes,  lesbianas y bisexuales, y trans con un total de 222 participantes. Se han desarrollado 11 conmemoraciones: Mujeres que realizan ASP (28 mujeres), Negras/afrocolombianas (197 mujeres) y Lesbianas y Bisexuales (145 mujeres), Jóvenes (70 mujeres), Indígenas (53 mujeres), cuidadadoras de personas con discapacidad (149 mujeres) y mujeres sordas (61 mujeres), 2 con mujeres gitanas con PRORROM (61 mujeres )  y Unión Romani (55 mujeres), mujeres Raizales (58 mujeres ) Mujeres Palenqueras (75 mujeres) con la participación total de 952  mujeres. Con la metodología aprobada y vinculación de las referentas de las Estrategias de la DED de la SDMujer se efectuaron (2) jornadas de sensibilizaciones a los equipos de planeación de los sectores de las administración distrital, con la participación de 47 funcionarias/os de 10 sectores.</t>
    </r>
  </si>
  <si>
    <r>
      <t xml:space="preserve">Entre enero y julio se avanzó en la construcción del paso a paso de las conmemoraciones y se definieron las actividades a realizar durante la vigencia 2023, se realizó socialización del paso a paso de las conmemoraciones al equipo de la DED de la SDMujer, se construyó  la metodología de encuentros diferenciales y se desarrollaron 14 encuentros diferenciales con mujeres que realizan ASP, raizales, indígenas, con discapacidad, gitanas, afro, palenqueras, habitantes de calle, adultas, mayores, migrantes, campesinas y rurales, jóvenes, lesbianas y bisexuales, con un total de 206 participantes, lo anterior con el objetivo de  brindar la base para la construcción de las propuesta de conmemoración. Se desarrollaron 3 conmemoraciones de: Mujeres que realizan ASP (28 mujeres), Negras/afrocolombianas (197 mujeres) y Lesbianas y Bisexuales (145 mujeres) con la participación total de 370 mujeres. Para agosto se realizó 1 conmemoración: Mujeres Jóvenes en la que participaron 70 mujeres. De igual manera, se avanzó en el alistamiento de las conmemoraciones de Mujeres habitantes de calle y Mujeres cuidadoras de personas con discapacidad, y el seguimiento de la conmemoración de Mujeres sordas. Para septiembre se realizaron 3  conmemoraciones de mujeres Indígenas (53), cuidadadoras de personas con discapacidad (149) y mujeres sordas (61), Para </t>
    </r>
    <r>
      <rPr>
        <b/>
        <sz val="12"/>
        <rFont val="Times New Roman"/>
        <family val="1"/>
      </rPr>
      <t>octubre</t>
    </r>
    <r>
      <rPr>
        <sz val="12"/>
        <rFont val="Times New Roman"/>
        <family val="1"/>
      </rPr>
      <t xml:space="preserve"> se realizarón 4 conmemoraciones:  2 con Mujeres Gitanas con PRORROM (61)  y Unión Romani (55), Mujeres Raizales (58) y Mujeres Palenqueras (75).</t>
    </r>
  </si>
  <si>
    <r>
      <t>Entre enero y julio se realizaron 11 reuniones en las que se definió el desarrollo de 2 jornadas de sensibilización con los equipos de Planeación de los 15  sectores de las administración distrital que permitirán la incorporación del enfoque diferencial y la visibilización de las mujeres en sus diferencias y diversidad, cuenta con la metodología aprobada para estas jornadas y se desarrollarán el</t>
    </r>
    <r>
      <rPr>
        <b/>
        <sz val="12"/>
        <rFont val="Times New Roman"/>
        <family val="1"/>
      </rPr>
      <t xml:space="preserve"> </t>
    </r>
    <r>
      <rPr>
        <sz val="12"/>
        <rFont val="Times New Roman"/>
        <family val="1"/>
      </rPr>
      <t>09 y 23 de agosto de 2023.</t>
    </r>
    <r>
      <rPr>
        <b/>
        <sz val="12"/>
        <rFont val="Times New Roman"/>
        <family val="1"/>
      </rPr>
      <t xml:space="preserve"> </t>
    </r>
    <r>
      <rPr>
        <sz val="12"/>
        <rFont val="Times New Roman"/>
        <family val="1"/>
      </rPr>
      <t xml:space="preserve"> Para agosto se realizó el envío del oficio de invitación a  los secretarios de los 15 sectores para delegar a servidores y servidoras de las oficinas de planeación para la participación  en las jornadas de sensibilización. El 15 de agosto se realizó reunión con las referentas de las Estrategias de la DED de la SDMujer para definir su vinculación a las sensibilizaciones y se les solicitó el envío de un documento que incorpore 5 enunciados denominados "sabías que" en el que se genere reconocimiento de los grupos poblacionales. En  este mismo sentido se definió el desarrollo de las jornadas para el día 13 y 27 de septiembre de 2023. Para septiembre se realizaron 2 jornadas de sensibilizaciones a los equipos de planeación de los sectores de la administración distrital, los días 13 y 27 de septiembre de 2023, con la metodología aprobada y se vinculó a la referentas de las Estrategias de la DED de la SDMujer; en estas jornadas participaron 47 funcionarios de 10 sectores. Para</t>
    </r>
    <r>
      <rPr>
        <b/>
        <sz val="12"/>
        <rFont val="Times New Roman"/>
        <family val="1"/>
      </rPr>
      <t xml:space="preserve"> octubre</t>
    </r>
    <r>
      <rPr>
        <sz val="12"/>
        <rFont val="Times New Roman"/>
        <family val="1"/>
      </rPr>
      <t xml:space="preserve"> se realizaron  2 reuniones para el seguimiento y cierre  en el marco de la Estrategia. </t>
    </r>
  </si>
  <si>
    <r>
      <t xml:space="preserve">Enero: La actividad no estaba programada . 
Febrero: construcción del plan de trabajo correspondiente al desarrollo de la estrategia de difusión y socialización de la caja de herramientas. mapeo de posibles entidades y grupos objetivo y se definió la lista de recursos para la construcción de la caja de herramientas.
Marzo: construcción de la caja de herramientas . 
Abril: • propuesta metodológica de la transferencia de conocimientos y productos de la estrategia .• Desarrollo de un encuentro de transferencia con la organización RECA   asistentes: 7 
Mayo • encuentro de transferencia con el equipo psicosocial de SIDICU. asistentes: 10
Junio • Solicitud de publicación en la página de la Secretaría Distrital de la Mujer de algunas herramientas construidas en el marco de la estrategia dirigidas a los equipos técnicos y profesionales interesados como una estrategia de difusión de las mismas, en espera de aprobación.
Julio•  publicación y difusión de contenidos construidos en la estrategia a través de la página web de la Secretaría Distrital de la Mujer: https://bogota.gov.co/mi-ciudad/mujer/cartilla-de-la-escuela-de-educacion-amarte-de-la-secretaria-de-mujer    https://sdmujer.gov.co/noticia/metodologias-para-crear-espacios-de-respiro-para-mujeres 
Agosto:•  espacio de asistencia técnica y transferencia de conocimientos y herramientas a equipo de la subdirección LGBTI de la SDIS.asistentes: 19
Septiembre:• espacio de asistencia técnica y transferencia de conocimientos y herramientas a equipo de coordinadoras de la mesa psicosocial de la SDMujer asistentes: 8
</t>
    </r>
    <r>
      <rPr>
        <b/>
        <sz val="12"/>
        <rFont val="Times New Roman"/>
        <family val="1"/>
      </rPr>
      <t>Octubre</t>
    </r>
    <r>
      <rPr>
        <sz val="12"/>
        <rFont val="Times New Roman"/>
        <family val="1"/>
      </rPr>
      <t xml:space="preserve">: espacio de asistencia técnica y transferencia de conocimientos y herramientas a equipo psicosocial de transmilenio  asistentes: 27 
</t>
    </r>
  </si>
  <si>
    <r>
      <t xml:space="preserve">Enero: no programada
Febrero: connstrucción del plan de trabajo. reuniones de concertación y búsqueda de los grupos de mujeres participantes. 
Marzo:• 1 ER M en ASP: 12 • 1 ER M adultas y mayores.: 13 • 1 ER M trans.: 8
Abril:• 1 ER  M indígenas.: 20 • 2 ER  M migrantes y refugiadas. 41 • 1 ER  M adultas y mayores: 9 • 1 ER  M Gitanas: 23 • 1 ER  M Raizales: 29 • 1 ER  M en ASP: 10• 1 ER M habitantes de calle: 23
Mayo:• 1 ER mujeres indígenas: 16• 1 ER mujeres migrantes y refugiadas: 16 • 1 ER mujeres adultas y mayores: 16• 1 ER mujeresCampesinas y rurales: 13• 2 ER mujeres en riesgo de habitar calle: 82• 1 ER mujeres en ASP. Total: 8• 1 ER mujeres palenqueras: 12• 1 ER mujeres jóvenes: 3• 3 ER mujeres con discapacidad: 38• 1 ER mujeres en sus diferencias y diversidad virtual 30
Junio:• 1 ER mujeres en ASP: 5• 2 ER mujeres con discapacidad: 38• 1 ER mujeres habitantes de calle: 12• 1 ER mujeres lesbianas y bisexuales.: 16• 1 ER mujeres adultas y mayores. : 12• 1 ER mujeres campesinas.: 12• 2 ER mujeres jóvenes: 19
Julio:• 1 ER mujeres migrantes: 9• 1 ER mujeres campesinas: 11• 1 ER mujeres en ASP: 23• 1 ER mujeres lesbianas y isexuales: 8• 4 ER mujeres jóvenes: 52• 4 ER mujeres adultas y mayores.: 69
Agosto:• 1 ER mujeres campesinas: 6• 1 ER mujeres jóvenes: 13• 1 ER mujeres lesbianas y bisexuales:10• 2 ER mujeres dultas y mayores: 35• 2 ER mujeres en ASP: 29• 2 ER mujeres migrantes y refugiadas: 34
Septiembre:• 1 ER M privadas de la libertad. 20• 1 ER M  jóvenes. 10• 1 ER M  indígenas. 15• 1 ER M  víctimas del conflicto armado. 5  • 2 ER M  migrantes. 23                                                                                                                                                                                                                                                       
</t>
    </r>
    <r>
      <rPr>
        <b/>
        <sz val="12"/>
        <rFont val="Times New Roman"/>
        <family val="1"/>
      </rPr>
      <t>Octubre</t>
    </r>
    <r>
      <rPr>
        <sz val="12"/>
        <rFont val="Times New Roman"/>
        <family val="1"/>
      </rPr>
      <t>: *1 ER M  hab. calle 13* 1 ER M disc. auditiva 13*1 ER M  migrantes privadas de la libertad   22* 2 ER M diversas 26</t>
    </r>
    <r>
      <rPr>
        <b/>
        <sz val="12"/>
        <color rgb="FFFF0000"/>
        <rFont val="Times New Roman"/>
        <family val="1"/>
      </rPr>
      <t xml:space="preserve"> </t>
    </r>
  </si>
  <si>
    <r>
      <t xml:space="preserve">Enero: no programada
Febrero:  plan de trabajo  EEM para la vigencia 2023. Reuniones de concertación y búsqueda de los grupos de mujeres participantes.  
Marzo:• Convocatoria EEM virtual: 922 • Concertación cronograma EEM mujeres migrantes y refugiadas- Fundación Juntos se puede.
Abril:•Inicio EEM migrantes y refugiadas: 10 mujeres •Inicio EEM mujeres habitantes de calle: 21 mujeres  •Inicio EEM virtual: 1115 usuarias inscritas
Mayo:•Finalización EEM mujeres migrantes y refugiadas: 5 mujeres •Escuela de educación emocional mujeres habitantes de calle: 35 mujeres •Escuela de educación emocional virtual: 1115 usuarias inscritas de las cuales han finalizado: 87 participantes.
Junio:•Inicio EEM mujeres en ASP: 10 mujeres  •Finalización EEM mujeres habitantes de calle: 35 mujeres  •Escuela de educación emocional virtual: Durante el mes de junio fueron registradas en simisional 89 participantes.
Julio:•Inicio EEM con mujeres jóvenes: 8 Mujeres  •EEM con mujeres en ASP: 11 Mujeres
Agosto: •Continuación EEM con mujeres jóvenes:  4 Mujeres  • Inicio EEM mujeres con discapacidad visual: 25 Mujeres  •EEM con mujeres migrantes: 23 Mujeres  •EEM virtual: Durante el mes de agosto fueron registradas en simisional 89 participantes
Septiembre:• Cierre EEM con mujeres jóvenes:  4 Mujeres  • Cierre EEM mujeres con discapacidad visual: 25 Mujeres  • Inicio EEM con mujeres LB: 11 Mujeres  • Cierre 2 EEM con mujeres en ASP:30 Mujeres  • 1 EEM con mujeres migrantes: 21 Mujeres
</t>
    </r>
    <r>
      <rPr>
        <b/>
        <sz val="12"/>
        <rFont val="Times New Roman"/>
        <family val="1"/>
      </rPr>
      <t>Octubre</t>
    </r>
    <r>
      <rPr>
        <sz val="12"/>
        <rFont val="Times New Roman"/>
        <family val="1"/>
      </rPr>
      <t>: Cierre EEM LB: 16 mujeres. Cierre EEM migrantes: 19 certificadas. Inicio curso Tejiendo Redes con 858 personas de comunidad inscritas y 566 Servidoras/es inscritas.</t>
    </r>
  </si>
  <si>
    <r>
      <t>La actividad se programó en enero. En febrero se realizó difusión de la estrategia de empoderamiento a la comunidad educativa del Colegio Juan Rey . De forma interna se realizó socialización de la estrategia a las profesionales de la DED que para la vigencia 2023 van a acompañar los espacios para el desarrollo de la misma. En el mes de marzo se realizó socialización y difusión de la estrategia de empoderamiento en el Concejo de Bogotá en el marco de la quinta mesa de la Comisión Accidental por la Infancia y la Adolescencia.  En el mes de abril se realizó socialización y difusión de la estrategia de empoderamiento con profesionales de la Secretaría de Seguridad y Convivencia y  en la mesa RIAIA. En el mes de mayo se realizó socialización y difusión de la estrategia de empoderamiento con profesionales de la Secretaría Distrital de Gobierno,  Biblored y se realizó segunda sesión de socialización de la estrategia en la mesa RIAIA. En el mes de junio se realizó socialización y difusión de la estrategia de empoderamiento con lideresas juveniles de Bogotá. En el mes de julio se realizó socialización de la estrategia de empoderamiento a profesionales de la Secretaría Distrital de Integración Social - SDIS - Programa Parceros y en la Alcaldía Local de Chapinero con líderes ambientales. En agosto se realizó socialización de la estrategia de empoderamiento a profesionales de la universidad UNINPAHU. En septiembre se realizó socialización de la estrategia de empoderamiento a profesionales de IDIPRON. En</t>
    </r>
    <r>
      <rPr>
        <b/>
        <sz val="12"/>
        <rFont val="Times New Roman"/>
        <family val="1"/>
      </rPr>
      <t xml:space="preserve"> octubre </t>
    </r>
    <r>
      <rPr>
        <sz val="12"/>
        <rFont val="Times New Roman"/>
        <family val="1"/>
      </rPr>
      <t>se socializó la estrategia de empoderamiento con profesionales de Defensoría del Pueblo.</t>
    </r>
  </si>
  <si>
    <r>
      <t xml:space="preserve">Durante los meses de </t>
    </r>
    <r>
      <rPr>
        <b/>
        <sz val="12"/>
        <color rgb="FF000000"/>
        <rFont val="Times New Roman"/>
        <family val="1"/>
      </rPr>
      <t xml:space="preserve">enero a octubre </t>
    </r>
    <r>
      <rPr>
        <sz val="12"/>
        <color rgb="FF000000"/>
        <rFont val="Times New Roman"/>
        <family val="1"/>
      </rPr>
      <t>de 2023, se dio continuidad a la operación de la Estrategia Casa de Todas con atención presencial y telefónica, brindando atención integral y acompañamiento a  1.933 mujeres que realizan actividades sexuales pagadas, se realizaron 9.193 atenciones en el periodo desagregadas por área así: 4.007 intervenciones por trabajo social, 3.198 actuaciones jurídicas, 1.988 atenciones psicosociales, con el fin de contribuir a la garantía de los derechos, combatir la estigmatización y mejorar la calidad de vida de la población a través de una oferta institucional diferencial y especializada. Producto de estas asesorías, se ha logrado la caracterización detallada de la población atendida, la sistematización de las acciones realizadas, informes mensuales del trabajo realizado, y la prestación de los servicios requeridos por la población en el marco de las competencias de la entidad. Se han realizado jornadas de servicios que incluyen cuidado de salud sexual y reproductiva y socialización de la Política Pública de Actividades Sexuales Pagadas - PPASP (11) en Casa de Todas y en territorio como Plaza de la Mariposa (2), Alameda, Engativá, Fontibón, Antonio Nariño, Ciudad Bolívar, Chapinero, Usaquén, Teusaquillo, Tunjuelito y Kennedy. Se ha articulado con otras estrategias, llevando a las mujeres espacios de cuidado psicoemocional (8), tres escuelas psicoemocionales, encuentros poblacionales (1), semilleros (1), proceso educativo con mujeres emprendedoras (1), espacio de cuidado menstrual (9), feria de empleabilidad (2), encuentro de derechos (5), jornada de cine (4), jornada de autocuidado y fecha conmemorativa ASP.</t>
    </r>
  </si>
  <si>
    <r>
      <t xml:space="preserve">De enero a septiembre se consolidó información de las barreras de acceso a los servicios identificadas en 2022 con servidoras y usuarias en grupos focales y encuestas. Se elaboró y aprobó propuesta para formulación, validación, implementación y seguimiento del plan de fortalecimiento en 2023. Se organizó la información de la caracterización de servicios e identificación de barreras y elaboraron 7 documentos: 1 de Conclusiones de la caracterización de servicios e identificación de barreras y 6 donde se identifican situaciones que afectan la prestación de servicios a cargo de las dependencias. Se realizaron 6 reuniones con las dependencias para socializar documentos y consolidación de barreras y solicitar definir las acciones para su eliminación. Se realizaron 2 reuniones con SFCYO para identificar las propuestas para mitigar las barreras de acceso a los servicios y una reunión con la DGC para hacer aclaraciones frente al diligenciamiento de la matriz. Se remitió correo recordado a DSC y DGC el envío de las matrices diligenciadas, se revisaron las matrices enviadas, se elaboró versión preliminar del Plan de Fortalecimiento que contine las acciones propuestas por las dependencias, que fue posteriormente revisada y ajustada para elaborar la versión final del Plan de Fortalecimiento. Se envío a las dependencias para que definan las metas, tiempos y evidencias y designen la persona responsable del reporte de avance. En </t>
    </r>
    <r>
      <rPr>
        <b/>
        <sz val="12"/>
        <rFont val="Times New Roman"/>
        <family val="1"/>
      </rPr>
      <t>octubre</t>
    </r>
    <r>
      <rPr>
        <sz val="12"/>
        <rFont val="Times New Roman"/>
        <family val="1"/>
      </rPr>
      <t xml:space="preserve"> se apoyó al equipo del servicio Casa de Todas de la DED en definir las metas, tiempos y evidencias de las acciones propuestas para eliminar las barreras de acceso al servicio, así como la persona responsable de realizar los reportes de avance. Se esta desarrollando la recepción y consolidación del diligenciamiento de la matriz del Plan de Fortalecimiento, con la información de todas las dependencias. </t>
    </r>
  </si>
  <si>
    <r>
      <t xml:space="preserve">Desde la </t>
    </r>
    <r>
      <rPr>
        <b/>
        <sz val="12"/>
        <rFont val="Times New Roman"/>
        <family val="1"/>
      </rPr>
      <t>Estrategia de empoderamiento</t>
    </r>
    <r>
      <rPr>
        <sz val="12"/>
        <rFont val="Times New Roman"/>
        <family val="1"/>
      </rPr>
      <t xml:space="preserve">, en octubre se  realizó una jornada significativa con 9 mujeres sordas. Se realizó socialización y difusión de la estrategia de empoderamiento con profesionales de la Defensoría del Pueblo y se realizó metodologías de jornada significativa para mujeres jóvenes sordas. 
Desde la </t>
    </r>
    <r>
      <rPr>
        <b/>
        <sz val="12"/>
        <rFont val="Times New Roman"/>
        <family val="1"/>
      </rPr>
      <t>Estrategia de capacidades psicoemocionales</t>
    </r>
    <r>
      <rPr>
        <sz val="12"/>
        <rFont val="Times New Roman"/>
        <family val="1"/>
      </rPr>
      <t xml:space="preserve">, en octubre se realizaron 5 espacios respiro, para un total de 74 participantes. Asimismo se desarrollaron 2 EsEdEmo con: mujeres lesbianas y bisexuales con 16 participantes certificadas, mujeres migrantes y refugiadas con 19 mujeres participantes certificadas. Se realizó inscripción a curso virtual tejiendo redes para comunidad de 858 personas y la inscripción de 566 personas al curso tejiendo redes para servidoras/es públicos. Adicional, se realizó asistencia técnica con personas del equipo psicosocial de Transmilenio con 27 asistentes. 
Desde la </t>
    </r>
    <r>
      <rPr>
        <b/>
        <sz val="12"/>
        <rFont val="Times New Roman"/>
        <family val="1"/>
      </rPr>
      <t>Estrategia de Cuidado Menstrual</t>
    </r>
    <r>
      <rPr>
        <sz val="12"/>
        <rFont val="Times New Roman"/>
        <family val="1"/>
      </rPr>
      <t xml:space="preserve">, en octubre realizó la Octava Mesa Distrital de Cuidado Menstrual en la que se llegó a acuerdos para realizar acciones interinstitucionales en noviembre. Se realizó 1 RDM en Antonio Nariño-Pte Aranda en donde se abordaron 6 mujeres y se les entregó kit CM; se realizaron 6 jornadas EMAA; 1 con muj sordas (13 mujeres), 2 con madres y padres del colegio Acacias II (13 y 3 personas), 2 en articulación y apoyo a ACNUR (13 y 24mujeres) y 1 en casa LGBT Casa Amapola (13 personas). Se finalizó el fortalecimiento institucional a SDSalud equipo Centros de Escucha (45 servidoras-es) y Sec de Seguridad (15). Se envió información a la oficina de Comunicaciones con el fin de generar pieza comunicativa referentes al ciclo y calendario menstrual. </t>
    </r>
  </si>
  <si>
    <r>
      <rPr>
        <b/>
        <sz val="12"/>
        <rFont val="Times New Roman"/>
        <family val="1"/>
      </rPr>
      <t>A octubre</t>
    </r>
    <r>
      <rPr>
        <sz val="12"/>
        <rFont val="Times New Roman"/>
        <family val="1"/>
      </rPr>
      <t xml:space="preserve">: La </t>
    </r>
    <r>
      <rPr>
        <b/>
        <sz val="12"/>
        <rFont val="Times New Roman"/>
        <family val="1"/>
      </rPr>
      <t>Estrategia de empoderamiento</t>
    </r>
    <r>
      <rPr>
        <sz val="12"/>
        <rFont val="Times New Roman"/>
        <family val="1"/>
      </rPr>
      <t xml:space="preserve"> realizó 14 jornadas significativas  (253 partic); 16 semilleros:Afro (2), Palenqueras (2), Indígenas (3), Gitanas,Raizales, mujeres ASP, 6 en Colegio Juan Rey (Total 446 pers). Logró ampliar el margen de divulgación de la estrategia en el Distrito: Seguridad, Gobierno, Bilblored,  Mesa RIAI, Comisión Accidental los derechos de NNA, UNINPAHU, lideresas juveniles, SDIS-Parceros, líderes ambientales Chapinero, IDIPRON y Defensoría del Pueblo. Se realizaron propuestas metodológicas de semilleros y jornadas significativas. La </t>
    </r>
    <r>
      <rPr>
        <b/>
        <sz val="12"/>
        <rFont val="Times New Roman"/>
        <family val="1"/>
      </rPr>
      <t>Estrategia de capacidades psicoemocionales</t>
    </r>
    <r>
      <rPr>
        <sz val="12"/>
        <rFont val="Times New Roman"/>
        <family val="1"/>
      </rPr>
      <t xml:space="preserve"> realizó 65 espacios respiro (982 partic), implementó 14 Escuelas de Educación Emocional presencial (210 partic), 1 escuela virtual (1115 partic inscritas-certifica 178), 1 curso virtual  tejiendo redes para comunidad (858 pers inscritas), 1 curso virtual tejiendo redes servidoras-es públicos (566 pers inscritas). Realizó 5 espacios de transferencia de cto con psicosociales de RECA, SIDICU (17 pers),Subdirección LGBTI-SDIS (19 pers), equipo coordinadoras mesa psicos SDMujer (8 pers), equipo psicosocial de transmilenio (27 pers) y la publicación de herramientas en la página web de la SDMujer como difusión. La </t>
    </r>
    <r>
      <rPr>
        <b/>
        <sz val="12"/>
        <rFont val="Times New Roman"/>
        <family val="1"/>
      </rPr>
      <t xml:space="preserve">Estrategia de Cuidado Menstrual </t>
    </r>
    <r>
      <rPr>
        <sz val="12"/>
        <rFont val="Times New Roman"/>
        <family val="1"/>
      </rPr>
      <t xml:space="preserve">lideró la 8 Mesa Dist de CM, realizó 4 JDM en Mártires, Santa Fe, Barrios Unidos y Rafael Uribe (98 muj); 8 RDM: Bosa, San Cristóbal, Usaquén, Suba, Engativá, C. Bolívar, Teusaquillo y Ant Nariño-Pte Aranda (63 muj). 20 EMAA: 4 muj ASP (51), 4 Colegio Verjón Alto (80, siendo 47 niñas, adolesc muj), 2 muj sordas (29), 1 muj mayor (17), 2 muj campes (22), 2 NNJ (40), 2 padres-madres Col Acacias II (16 pers), 2 articul ACNUR (37 muj) y 1 Casa Amapola (13 pers). Fortalecimiento instituc: Equipos territ SDIS (43), CentrosEscucha SDSalud (83), IDIPRON equipo psicos (45) Sec Seguridad (15), muj UDistrital (4), ACNUR/SDMujer (4), referenta mujeres sordas-DED y apoyó evaluación pilotaje copas menstruales a 1 mujer ASP. </t>
    </r>
  </si>
  <si>
    <r>
      <t xml:space="preserve">Durante el mes </t>
    </r>
    <r>
      <rPr>
        <b/>
        <sz val="12"/>
        <color rgb="FF000000"/>
        <rFont val="Times New Roman"/>
        <family val="1"/>
      </rPr>
      <t xml:space="preserve">octubre </t>
    </r>
    <r>
      <rPr>
        <sz val="12"/>
        <color rgb="FF000000"/>
        <rFont val="Times New Roman"/>
        <family val="1"/>
      </rPr>
      <t>2023, se dio continuidad a la operación de la Estrategia Casa de Todas con atención presencial y telefónica, brindando atención integral y acompañamiento a 537 mujeres que realizan actividades sexuales pagadas, se realizaron 1.066 atenciones en el periodo desagregadas por área así: 440 intervenciones por trabajo social, 429 actuaciones jurídicas, 197 atenciones psicosociales, con el fin de contribuir a la garantía de los derechos, combatir la estigmatización y mejorar la calidad de vida de la población a través de una oferta institucional diferencial y especializada. Producto de estas asesorías, se ha logrado la caracterización detallada de la población atendida, la sistematización de las acciones realizadas, informes mensuales del trabajo realizado, y la prestación de los servicios requeridos por la población en el marco de las competencias de la entidad. Se han realizado jornadas de servicios que incluye socialización de la PPASP en Casa de Todas y una feria en territorio en la plaza de la mariposa localidad de Santa Fe, un espacio de cine club, dos espacios de autoconocimiento y autocuidado menstrual.</t>
    </r>
  </si>
  <si>
    <r>
      <t>Durante</t>
    </r>
    <r>
      <rPr>
        <b/>
        <sz val="12"/>
        <rFont val="Times New Roman"/>
        <family val="1"/>
      </rPr>
      <t xml:space="preserve"> octubre</t>
    </r>
    <r>
      <rPr>
        <sz val="12"/>
        <rFont val="Times New Roman"/>
        <family val="1"/>
      </rPr>
      <t xml:space="preserve"> se entregó documento de caracterización y grupo focal al ICFES, asimismo se realizó convocatoria a Feria y reunión preparatoria con universidades y revisión manual de inclusión por la Dirección de Gestión de Conocimiento. Se continuó la articulación con Parceros, Makaia y ACNUR en Casa de Todas, con las asistencias económicas.</t>
    </r>
  </si>
  <si>
    <r>
      <t>En</t>
    </r>
    <r>
      <rPr>
        <b/>
        <sz val="12"/>
        <rFont val="Times New Roman"/>
        <family val="1"/>
      </rPr>
      <t xml:space="preserve"> octubre </t>
    </r>
    <r>
      <rPr>
        <sz val="12"/>
        <rFont val="Times New Roman"/>
        <family val="1"/>
      </rPr>
      <t>se realizaron las conmemoraciones de: Mujeres Palenqueras con la participación de 75 mujeres,  Mujeres Raizales con la participación de 58 mujeres, Mujeres Gitanas con PRORROM con la participación de 61 mujeres y Unión Romani con la participación de 55 mujeres, para un total de 249 mujeres. Asimismo, se realizarón dos reuniones de seguimiento en el marco de la estrategia.</t>
    </r>
  </si>
  <si>
    <t xml:space="preserve">El 25 de enero se llevo a cabo la sesión ordinaria de la Mesa Coordinadora, en la cual se presento la versión final del documento del proyecto de acuerdo del Sistema Distrital de Cuidado por parte de la Secretaria Distrital de la Mujer, y se definió la estrategia a seguir para su respectiva radicación por parte del CCM en el Concejo de Bogotá.
El 22 de febrero se llevó a cabo la Mesa Coordinadora en la cual se presentaron las propuestas de modificación a tres artículos del Decreto 364 de 2021, de igual manera se socializo el ejercicio de incidencia realizado por el CCM sobre el proyecto de Acuerdo del Sistema Distrital de Cuidado. 
El 22 de febrero se acompaño  la sesión del Espacio Autónomo, en la cual se inició con la revisión y definición del Plan de Acción vigencia 2023 del CCM
El 29 de marzo se llevó a cabo la Mesa Coordinadora en la cual se realizó la revisión y ratificación del plan de acción del CCM vigencia 2023, y se presentó el balance del seguimiento realizado por la SDMujer al Pacto de Corresponsabilidad suscrito entre el CCM y los Alcaldes y Alcaldesas Locales
El 29 de marzo se acompaño  la sesión del Espacio Autónomo, en la cual se socializó por parte de la comisión que se conformó para la revisión del reglamento interno, los ajustes realizados al mismo y se ratificó la aprobación del reglamento, de igual manera, se realizó la nueva elección de la Mesa Coordinadora, consejera articuladora y consejera secretaria. 
Durante el mes de abril por parte del CCM, se solicitó la reprogramación de la sesión de la Mesa Coordinadora para el 2 de mayo de 2023, ya que para el 26 de abril las consejeras consultivas fueron invitadas al encuentro de defensores y defensoras de Derechos Humanos.La SCPI realizó  todos los preparativos técnicos y logísticos para la mesa coordinadora y el espacio autonomo.
El 2 de mayo se llevó  a cabo la Mesa Coordinadora del Consejo Consultivo de Mujeres, en la cual se realizó un balance de los temas abordados por este espacio durante la vigencia 2022, y se definieron los mecanismos de participación de las consejeras consultivas que integran esta mesa. De igual manera, en esta fecha se llevó la sesión del Espacio Autónomo, en la cual las consejeras consultivas avanzaron en la definición de los lineamientos y plan de acción de las comisiones internas del CCM.
El 31 de mayo se llevó  a cabo la Mesa Coordinadora del Consejo Consultivo de Mujeres, se abordaron temas relacionados con violencias basadas en género y fortalecimiento de la CIOM, así mismo se realizó la sesión del Espacio Autónomo, en la cual las consejeras consultivas realizaron el seguimiento a las delegaciones que tienen ante otras instancias de participación del Distrito Capital. 
El 15 de mayo se apoyó en el desarollo de la reunión extraordinaria del Espacio Autónomo, la cual tuvo como objetivo identificar las acciones a seguir para la construcción de la agenda de las mujeres. 
Durante el mes de mayo, se inició con la prepración del Espacio Ampliado, para lo cual se elaboraron los bullets para la intervención de la Alcaldesa Mayor y la Secretaria Distrital de la Mujer, así como el guion y minuto a minuto de la sesión. 
El 7 de junio, se llevó a cabo la primera sesión ordinaria del Consejo Consultivo de Mujeres - Espacio Ampliado, el cual presidido por la Alcaldesa Mayor y en la que participaron los 15 sectores de la Administración Distrital. En esta sesión las consejeras consultivas abordaron temas relacionados con: seguimiento a compromisos de la vigencia 2022, estrategia de transversalización, Planes de Desarrollo Distrital y Local y violencias basadas en género. 
El 28 de junio se llevó a cabo la Mesa Coordinadora del Consejo Consultivo de Mujeres, se abordaron temas relacionados con la actualización del Acuerdo 526 de 2013 de los Consejos Locales de Seguridad para las Mujeres, seguimiento al plan de acción del CCM y la socialización de los criterios de viabilidad y elegibilidad del Sector Mujeres. De igual manera, en esta fecha se llevó  a cabo la sesión del Espacio Autónomo, en la cual se continúo con la revisión de los lineamientos de trabajo de las comisiones de la instancias. 
El 26 de julio se llevó a cabo la Mesa Coordinadora del Consejo Consultivo de Mujeres, se abordaron temas relacionados con la presentación del primer reporte de seguimiento a las solicitudes del Espacio Ampliado y se socializó por parte del CCM la metodología definida para la actualización de la Agenda Distrital de las Mujeres. De igual manera, en esta fecha se llevó  a cabo la sesión del Espacio Autónomo, en la cual se continúo definiendo las actividades a realizar para la actualización de la Agenda Distrital. 
El 30 de agosto se llevó a cabo la Mesa Coordinadora y el Espacio Autónomo del Consejo Consultivo de Mujeres con el objetivo de revisar los avances en la actualización de la Agenda Distrital de las Mujeres y definir de manera preliminar la metodología para el desarrollo del Encuentro Distrital de Mujeres programado para el 14 de septiembre en Casa de Todas. 
El 14 de septiembre, se apoyó técnica y logísticamente al CCM,en el desarrollo del Encuentro Distrital de Mujeres liderado por el Espacio Autónomo de la instancia, en el cual las consejeras consultivas presentaron las propuestas para la actualización de la Agenda Distrital, con el objetivo de realizar un ejercicio de priorización por parte de las asistentes, por cada uno de los ocho derechos de la PPMyEG y el Sistema Distrital de Cuidado, y recoger aportes nuevos.
Durante este mes, la plenaria del CCM decidió no realizar la sesión de la Mesa Coordinadora, y solamente llevar a cabo el día 27 de septiembre la sesión del Espacio Autónomo, con el objetivo de continuar avanzando en la Actualización de la Agenda Distrital, y definir las acciones de incidencia y posicionamiento de la misma. Esta sesión fue acompañada por la Secretaría Técnica del CCM. 
El 25 de octubre se llevó a cabo la Mesa Coordinadora con el objetivo de presentar el segundo reporte de seguimiento a las solicitudes presentadas en el Espacio Ampliado del 7 de junio de 2023, el balance de la firma de Pactos en las Manzanas del Cuidado y un acercamiento a la evaluación del Sistema Distrital de Cuidado. 
De igual manera, el 25 de octubre el CCM realizó la sesión ordinaria de Espacio Autónomo, de acuerdo con la agenda definida por la plenaria. </t>
  </si>
  <si>
    <t xml:space="preserve">Durante el mes de enero no se programaron mesas de trabajo con los sectores de la Administración Distrital, teniendo en cuenta que el CCM se encuentra en la etapa de definición y elaboración del plan de acción de la instancia, correspondiente a la vigencia 2023. 
Los días 7 y 27 de febrero se realizaron reuniones internas para hacer seguimiento y revisar la información reportada por las Alcaldías Locales, en el marco del seguimiento al Pacto de Corresponsabilidad suscrito entre el CCM y los alcaldes y alcaldesas locales, con el objetivo de sistematizar la información para el análisis posterior de las consejeras consultivas. 
El 10 de marzo se llevó  a cabo una reunión inicial con la Secretaría Distrital de Planeación, con el objetivo de conocer la propuesta de encuentro con el CCM para socializar los avances en la formulación de las Unidades de Planeamiento Local y del Plan Maestro del Cuidado y Servicios Sociales
El 11 de abril se llevó  a cabo una reunión con la Secretaría Distrital de Planeación, sesión en la cual se le presentó al CCM una propuesta de articulación para revisar y trabajar conjuntmente con la instancia, los instrumentos por medio de los cuales se reglamenta el POT
El 14 de abril, se llevó  a cabo una reunión con la Dirección de Derechos y Diseño de Política con el objetivo de presentarle nuevamente  al CCM la propuesta de asistencia técnica en el marco de la PPMYEG y los derechos priorizados en el CONPES 14. 
El 8 de mayo se llevó a cabo una reunión con la Secretaría Distrital de Planeación y la Comisión POT del CCM, con el objetivo de revisar el Plan Maestro del Cuidado y Servicios Sociales y recoger aportes de las consejeras consultivas.
El 12 de mayo se llevó a cabo una reunión con la Dirección de Derechos y Diseño de Política, la cual tuvo como objetivo presentar el CONPES 14, su plan de acción e implementación durante la vigencia 2022
El 25 de mayo se llevó a cabo una reunión con la Secretaría Distrital de Planeación y la Comisión POT del CCM, con el objetivo de revisar el Sistema de Participación Territorial del POT y recoger aportes de las consejeras consultivas. 
El 22 de junio se llevó a abo una reunión con la Secretaría Distrital de Gobierno y el CCM, la cual tuvo como objetivo presentar el proceso actual de Presupuestos Participativos. 
El 14 de junio se llevó a cabo una reunión interna del equipo de la Subsecretaría del Cuidado y Políticas de Igualdad, con el objetivo de revisar las acciones a seguir para solicitar a las Alcaldías Locales el reporte de seguimiento del Pacto de Corresponsabilidad por los Derechos de las Mujeres suscrito con el CCM, con corte enero a junio de 2023
El 18 de julio se llevó a cabo una mesa de trabajo con el Escuela Lidera Par y el CCM, con el objetivo de conocer la metodología definida para la elaboración de las agendas de las mujeres a nivel local, y definir la articulación con el CCM.
El 25 de julio se llevó a cabo una reunión interna del equipo de la Subsecretaría del Cuidado y Políticas de Igualdad, con el objetivo de sistematizar la información remitida por  las Alcaldías Locales frente al seguimiento del Pacto de Corresponsabilidad por los Derechos de las Mujeres suscrito con el CCM, con corte enero a junio de 2023
El 16 de agosto se llevó  a cabo una reunión con la Dirección de Territorialización y la articulación del Consejo Consultivo de Mujeres, para hacer seguimiento a los compromisos relacionados con el diligenciamiento de las matrices locales solicitadas por la instancia, para recoger los aportes proyectados a la Agenda Distrital. 
El 23 de agosto se llevó a cabo una reunión con el equipo de comunicaciones de la SDMujer, para definir los apoyos requeridos en términos de información: solicitud de piezas para diviulgar el formulario elaborado por el Consejo Consultivo de Mujeres y el Encuentro Distrital del 14 de septiembre. Así mismo se acordaron los requerimientos necesarios para la elaboración de la plantilla de la Agenda Distrital de Mujeres.
El equipo de la Subsecretaría del Cuidado y Políticas de Igualdad, actualizó la información reportada por las Alcaldías Locales frente al seguimiento al Pacto de Corresponsabilidad con corte al 22 de agosto de 2023. 
El día 5 de septiembre, se llevó a cabo una reunión con el CCM,  la Dirección de Territorialización y el Equipo de la Escuela Lidera Par, con el objetivo de definir el apoyo y el acompañamiento técnico para fortalecer los conocimientos de las consejeras consultivas frente a la comunicación estratégica. 
El día 27 de octubre, se llevó a cabo una reunión con el CCM, el equipo de la Subsecretaría del Cuidado y Políticas de Igualdad y de la Dirección de Territorialización de Derechos y Participación, con el objetivo de presentar el balance del seguimiento al Pacto de Corresponsabilidad suscrito por la instancia con los alcaldes y alcaldesas locales.
Se presentó por parte de la SDMujer el ejercicio de sistematización y semaforización realizado a partir de la información reportada por las Alcaldías Locales, frente a las acciones adelantadas para dar cumplimiento a los 5 compromisos adquiridos, de igual manera se inició con la preparación para la sesión de seguimiento al Pacto de Corresponsabilidad programada para el mes de noviembre. </t>
  </si>
  <si>
    <t xml:space="preserve">En el marco de las comisiones del CCM, se conformó la comisión dinamizadora para articular y liderar lo relacionado con el proyecto de acuerdo del Sistema Distrital de Cuidado, y la cual llevó a cabo una mesa técnica el 30 de enero con los concejales y las concejalas que manifestaron su intereses de incidir y articular con el CCM para la presentación del proyecto de acuerdo en mención. 
El 27 de febrero se llevó a cabo una reunión con la comisión del CCM conformada para revisar y ajustar el reglamento interno de la instancia. 
En el marco de las comisiones del CCM, el 14 de marzo se llevó  a cabo una sesión extraordinaria convocada por el Espacio Autónomo, para finalizar la revisión y elaboración del plan de acción del CCM vigencia 2023
El 17 de abril, se acompañó el desarrollo de la reunión extraordinaria del CCM - Espacio Autónomo, en la cual se revisó como se encontraba la conformación de las comisiones de la instancia a la fecha, y se definieron las acciones a seguir para iniciar la elaboración de plan de acción de cada una de ellas.
El 10 de mayo se apoyó en el desarrollo de la reunión realizada por la Comisión POT del CCM, para continuar con la elaboración y lineamientos del plan de acción de la comisión. 
El 16 de mayo se apoyó en el desarrollo de la reunión realizada por la Comisión de Ética del CCM, para continuar con la elaboración y lineamientos del plan de acción de la comisión. 
Los dias 1 y 27 de junio, se apoyó en el desarrollo de la reunión de la Comisión de Ética, con el propósito de revisar los lineamientos de trabajo de esta comisión y los objetivos sobre los cuales funcionará la misma. 
El 7 de julio, se llevó a cabo una reunión con la Comisión Territorial, con el objetivo de revisar las acciones a realizar por parte de las consejeras consultivas, para el seguimiento al Pacto de Corresponsabilidad suscrito con los Alcaldes y Alcaldesas Locales, a partir de la información solicitada y remitida a las consejeras consultivas por parte de la SDMujer a las Alcaldías Locales.
El  24 de julio, se llevó a cabo una reunión con la Comisión de Ética y la abogada de la Subsecretaría del Cuidado y Políticas de Igualdad, con el objetivo de resolver dudas y brindar aclaraciones jurídicas frente a los lineamientos y Código de Ética  definidos por esta comisión. 
Los días 14, 18 y 28 de agosto se realizaron reuniones convocadas por el Espacio Autónomo del Consejo Consultivo de Mujeres, con el objetivo de revisar los avances en la actualización de la Agenda Distrital y definir las acciones a seguir. 
Los días 7, 8 y 11 de septiembre, se llevó a cabo con la Comisión de Comunicaciones las sesiones téorico prácticas sobre Comunicación Estratégica, realizadas por la Escuela Lidera Par de la Dirección de Territorialización. 
El día 18 de septiembre se llevó  a cabo una reunión con la Comisión de Ética, con el objetivo de avanzar con las actividades definidas por las consejeras consltivas que hacen parte de esta comisión. 
Los días 2, 17 y 24 de octubre  se llevaron a cabo reuniones  con la Comisión de Ética, con el objetivo de avanzar con la revisión de los lieamientos y el manual de ética propuestos para el CCM.  </t>
  </si>
  <si>
    <t>Actividad no programada para el mes de enero
En febrero se llevó a cabo mesa de trabajo virtual del equipo de promoción de la participación y representación de las mujeres de la Subsecretaría del Cuidado y Políticas de Igualdad el 17 de febrero de 2023, en donde se revisó la plataforma IFOS y se establecieron acuerdos. Se llevó a cabo mesa de trabajo virtual del equipo de promoción de la participación y representación de las mujeres de la Subsecretaría del Cuidado y Políticas de Igualdad el 21 de febrero
de 2023, en donde se realizó la verificación de las organizaciones sociales de las instancias de participación en la plataforma IFOS. Se llevó a cabo mesa de trabajo virtual del equipo de promoción de la participación y representación de las mujeres de la Subsecretaría del Cuidado y Políticas de Igualdad el 27 de febrero de 2023, en donde se informó sobre el proceso de verificación de las organizaciones sociales de las instancias de participación en la plataforma IFOS y se establecieron acuerdos de trabajo.
El 30 de marzo se llevó  a cabo una reunión con el IDPAC con el objetivo de resolver dudas sobre la Plataforma IFOS, herramienta que se utilizará para la caracterización de las organizaciones de mujeres. 
En el marco de fortalecimiento del CCM, el 14 de abril se llevó a cabo una reunión con la Dirección de Derechos y Diseño de Política y las consejeras consultivas, con el objetivo de definir unos espacios de diálogo con la instancia sobre la actualización de la PPMYEG y sus avances en el Distrito, así como el desarrollo de una asistencia técnica para el análisis y discusión de información clave sobre cada unos de los derechos priorizados en la política, para la construcción de agendas políticas para la incidencia en escenarios 2023 – 2024. En cuanto a la caracterización de instancias no se avanzó puesto que lo que presentó el IDPAC es caracterización de organizaciones y en nuestro caso no aplica.
El 11 de mayo se llevó cabo una reunión con el equipo de corresponsabilidad, para preparar las capacitaciones proyectadas sobre la Plataforma Colibrí de la Veeduría Distrital y SECOP, dirigida al CCM, el CTPD, la Submesa de Género y organizaciones de mujeres en general., de igual manera se realizó la articulación con la Veeduría Distrital, para solicitar la capacitación sobre la Plataforma Colibrí.
El 12 de mayo la Dirección de Derechos y Diseño de Política, realizó un espacio de soialización y fortalecimiento dirigido al CCM,  el cual tuvo como objetivo presentar el CONPES 14, su plan de acción e implementación durante la vigencia 2022
El 18 de mayo se apoyó en la revisión preliminar de la propuesta de fortalecimiento presentada por el CCM, identificando las temáticas que se quieren abordar por parte de las consejeras consultivas para el fortalecimiento de la instancia. 
Durante el mes de mayo se realizó solicitud al operador logísitico para los días 2, 30 y 31 de mayo con el objetivo de garantizar logisticamente el desarrollo de las actividades programadas por el CCM y la Submesa de Género, relacionada con requerimientos de alimentación durante estas jornadas
De igual manera, durante este mes se brindó asistencia técnica a las instancias que acompaña la Subsecretaría del Cuidado y Políticas de Igualdad:
- CCM: Yudy Stephany Álvarez Poveda - Contrato 320 de 2023 y Mayra Alejandra Palacios Guacheta - Contrato 145 de 2023
- CTPD: Mónica Patricia Hoyos Robayo - Contrato 467 de 2023
- Submesa de Género: María Constanza López Mejía - Contrato 468 de 2023
El 15 de junio se realizó una reunión interna del equipo de la Subsecretaría del Cuidado y Políticas de Igualdad, con el objetivo de diseñar el formulario con el que se pretende conocer los intereses formativos de las mujeres que hacen parte de las instancias de participación que acompaña la Subsecretaría del Cuidado y Políticas de Igualdad, el cual está relacionado con los procesos de fortalecimiento de capacidades y de formación.
El 27 de junio se realizó, en articulación con la Veeduría Distrital, la socialización sobre la Plataforma Colibrí por medio de la cual se hace seguimiento a los compromisos que adquiere la Administración Distrital con instancias de participación. Esta socialización estuvo dirigida al CCM, el CTPD, la Submesa de Género y los COLMYEG
Durante el mes de julio, se realizó la convocatoria al CCM, al CTPD, Submesa de Género, COLMYG y organizaciones de mujeres en general, para la socialización de la Plataforma SECOP II, programada para el 9 de agosto. 
El día 9 de agosto se realizó  la socialización de la Plataforma SECOP II  por parte de Colombia Compra Eficiente,  a la que asistieron integrantes del  CCM,  CTPD, Submesa de Género, COLMYG, organizaciones de mujeres y equipos de la SDMujer.
Durante el mes de agosto se realizó solicitud al operador logísitico para el desarrollo de la Submesa de Género programada el día 10 de agosto, así como también se realizó la solicitud para  la Mesa Coordinadora y Espacio Autónomo del CCM programada el día 30 de agosto, garantizando los requerimientos de alimentación durante estas jornadas. 
Durante el mes de septiembre se realizó solicitud al operador logísitico para el desarrollo de la Submesa de Género programada el día 26 de septiembre, así como también se realizó la solicitud para realizar el Encuentro Distrital de Mujeres del CCM programado el día 14 de septiembre y la sesión ordinaria del Espacio Autónomo del CCM  programada el día 27 de septiembre, garantizando los requerimientos de alimentación durante estas jornadas. 
Durante el mes de octubre se realizó solicitud al operador logísitico para el desarrollo de la Submesa de Género programada el día 26 de octubre,  Mesa Coordinadora y sesión ordinaria del Espacio Autónomo del CCM  programada el día 25 de octubre, garantizando los requerimientos de alimentación y sonido durante estas jornadas. 
De igual manera, durante este mes se brindó asistencia técnica a las instancias que acompaña la Subsecretaría del Cuidado y Políticas de Igualdad a través de los siguientes contratos:
- CCM: Yudy Stephany Álvarez Poveda - Contrato 320 de 2023 y Mayra Alejandra Palacios Guacheta - Contrato 145 de 2023.
- CTPD: Mónica Patricia Hoyos Robayo - Contrato 467 de 2023
- Submesa de Género: María Constanza López Mejía - Contrato 468 de 2023</t>
  </si>
  <si>
    <t>Actividad no programada para el mes de enero
Durante el mes de febrero se iniciaron acciones relacionadas con el acompañamiento técnico para el Consejo Distrital de Juventud para la vigencia 2023.
Se llevaron a cabo mesas de trabajo del equipo de promoción de la participación y representación de las mujeres los días 07/02/23 y 15/02/23 para generar estrategias que faciliten el proceso de acompañamiento con Consejo Distrital de Juventud.
Se llevó a cabo mesa de trabajo con profesional que referencia juventud desde la SDMujer el día 13/02/23 en donde se dio contexto del acompañamiento técnico que se brindará a la instancia durante la vigencia 2023.
Se llevó a cabo mesa de trabajo con profesional de la estrategia Bogotá 50/50 Ruta por la Paridad de la Dirección de Territorialización el 21/02/23 en donde se retomó el proceso de articulación para el desarrollo de acciones proyectas para ejecutar durante la vigencia 2023.
Se construyó texto que brinda la ruta de acción para el acompañamiento técnico del Consejo Distrital de Juventud.
Durante el mes de marzo continuaron las acciones relacionadas con el acompañamiento técnico para el Consejo Distrital de Juventud para la vigencia 2023.
Se llevó a cabo mesa de trabajo con profesional de la Secretaría Distrital de Gobierno, quien acompaña técnicamente al Consejo Distrital de Juventud el día 16/03/23 en donde se socializó el proceso de acompañamiento técnico que se brindará a la instancia durante la vigencia 2023, aperturando la articulación con la instancia de participación distrital.
Durante el mes de mayo se mantuvo contacto continuo con profesional de la Secretaría Distrital de Gobierno, encargada del acompañamiento técnico al Consejo Distrtal de Juventud, quien informo sobre el avance en el proceso de posesión de consejos y consejeras, fortaleciendo así la articulación para lograr el acompañamiento técnico que se brindará a la instancia durante la vigencia 2023, por solicitud de ella se realizó PPT con las dos propuestas estratégicas de acompañamiento para la instancia de participación distrital, se envío correo electrónico con la finalidad de acelerar el proceso de articulación con el Consejo Distrital de Juventud desde la SDMujer.
Se llevó a cabo mesa de trabajo del equipo de promoción de la participación y representación de las mujeres y profesionales de las estrategias Lidera Par y Hablemos de Paridad de la Dirección de Territorialización de Derechos, el día 29/05/2023, en donde se concretaron acuerdos para el acompañamiento técnico del Consejo Territorial de Planeación Distrital-CTPD y el Consejo Distrital de Juventud para lo que resta de la vigencia, teniendo en cuenta las acciones pendientes con las instancias de participación distrital.
Durante el mes de abril se mantuvo contacto continuo con profesional de la Secretaría Distrital de Gobierno, encargada del acompañamiento técnico al Consejo Distrtal de Juventud, quien informo sobre el avance del proceso de elección y posesión de consejos y consejeras, fortaleciendo así el proceso de articulación para lograr el acompañamiento técnico que se brindará a la instancia durante la vigencia 2023, por solicitud de ella se realizó PPT con las dos propuestas estratégicas de acompañamiento para la instancia de participación distrital. 
Durante el mes de junio se mantuvo contacto con profesional de la Secretaría Distrital de Gobierno, encargada del acompañamiento técnico al Consejo Distrtal de Juventud a través de correos electrónicos, quién informo que se tiene presupuestado que la instancia de participación distrital atienda la oferta institucional entre el 2 y el 15 de julio de 2023 en alguna de sus sesiones extraordinarias, ya que vienen adelantando otros procesos prioritarios como la elección de la Mesa Directiva que permite la distribución y organización en términos de su funcionamiento.
Durante el mes de julio se mantuvo contacto con profesional de la Secretaría Distrital de Gobierno, encargada del acompañamiento técnico al Consejo Distrtal de Juventud a través de correos electrónicos, quién inicialmente informó que el 29/07/2023 se llevaría a cabo la mesa de trabajo con la instancia de participación para presentar la propuesta de acompañamiento, sin embargo el espacio fue cancelado y se tiene presupuestado que sea reprogramado durante el mes de agosto en alguna de las sesiones extraordinarias del Consejo Distrital de Juventud.
Durante el mes de agosto se mantuvo contacto con profesional de la Secretaría Distrital de Gobierno, encargada del acompañamiento técnico al Consejo Distrtal de Juventud a través de correos electrónicos, se participó la sesión del Consejo Distrital de Juventud el día 26/08/2023 en donde se socializó la propuesta de acompañamiento técnico desde la SDMujer, posterior se envío correo electrónico con los compromisos de la sesión.
Se llevó a cabo mesa de trabajo el 18/08/2023 en donde se trabajó en la preparacion de la propuesta de acompañamiento para el Consejo Distrital Juventud, se elaboró PPT para socializar en la sesión con la instancia de participación distrital.
En el mes de septiembre, se realizó mesa de trabajo con la vicepresidenta y dos consejeras interesadas en temas de mujer y género del Consejo Distrital de Juventud el día 25/09/2023 en donde se socializó la propuesta de acompañamiento técnico desde la SDMujer, se acordó someter a votación la fecha para desarrollar la primera sesión del módulo "Hablemos de Paridad", por lo que se continua manteniendo contacto telefónico y por correo electrónico con la vicepresidenta de la instancia de participación para adelantar gestiones. 
En el mes de octubre se enviaron correos electrónicos a la vicepresidenta y dos consejeras interesadas en temas de mujer y género del Consejo Distrital de Juventud con la solicitud del espacio para desarrollar la primera sesión de sensibilización “Hablemos de Paridad” en articulación con la Estrategia Bogotá 50/50.</t>
  </si>
  <si>
    <t xml:space="preserve">El día 6 de septiembre se llevó  a cabo una reunión con el Equipo de Corresponsabilidad, de la Subsecretaría del Cuidado y Políticas de Igualdad, en la que se definió la estrcutura del informe del cuatrienio, con el objetivo de presentar la información del acompañamiento realizado al CCM, el CTPD, la Submesa de Género y el Consejo Distrital de Juventud durante las vigencias 2020-2023
Durante este mes, se inició con la elaboración de este informe, presentando los avances hasta de las vigencias 2020 - 2022. 
En el mes de ocubbre se llevaron a cabo mesas de trabajo el 13 y 18 de octubre en donde se trabajó en la elaboración del informe de gestión del cuatrienio del equipo de promoción de la participación y representación de las mujeres. 
Se elaboró informe de gestión del cuatrienio del equipo de promoción de la participación y representación de las mujeres y se realizó la segunda entrega para revisión. </t>
  </si>
  <si>
    <t xml:space="preserve">Durante el mes de enero del 2023 se asistió a una reunión con la Comisión Legal para la Equidad de la Mujer en donde el CCM socializó el proyecto y recibió comentarios por parte de los y las concejalas. Posteriormente se apoyó la radicación del proyecto en el Concejo de Bogotá. 
Durante el mes de febrero del 2023, se acompañó la sesión de Gobierno en donde la Comisión Legal Para la Equidad de la Mujer aprobó su reglamento. También se asistió a la mesa de trabajo convocada por el Concejal Celio Nieves en donde se aclararon inquietudes respecto a la Ruta única de atención a violencias basadas en género. De otro lado, se acompañaron diferentes espacios con el fin de asesorar técnicamente el desarrollo del proyecto de acuerdo 151 del 2023 que busca institucionalizar el sistema de cuidado: se acompañó la reunión de las Consejeras Consultivas de Mujeres y la reunión del Mecanismo de Participación del Sistema de Cuidado. 
Durante el mes de marzo, se acompañaron los debates en el Concejo de Bogotá en donde se discutió el proyecto de acuerdo que busca institucionalizar el Sistema Distrital del Cuidado. Se aprobó el proyecto en los dos debates por unanimidad y se sancionó por la Alcaldesa Mayor. De otro lado, se acompañó el foro del 8 de marzo en el Concejo en donde se escucharon a diferentes expertas en género. También se preparó la reunión con el equipo de la Concejala Luz Marina Gordillo en donde se socializó el avance de la implementación del Sistema Violeta. 
Durante el mes de abril se asistió a las mesas técnicas en donde se discutió el proyecto de acuerdo 208 del 2023 sobre vendedores informales, el resultado de estas reuniones fue la incorporación del enfoque de género en el articulado. Adicionalmente se organizó una charla con una organización de mujeres de Ciudad Bolivar, solicitada por la concejal Maria Fernanda Rojas en donde se socializó la normativa vigente sobre derechos de las mujeres y el sistema distrital del cuidado.
 Durante el mes de mayo se asistió a la reunión con el equipo del sello de igualdad para coordinar su implementación en el Concejo de Bogotá. También se asistió a una mesa de trabajo con la Presidenta de la Comisión Legal de la Mujer para socializar ideas para un proyecto sobre el acoso callejero. 
Durante el mes de junio se apoyó el evento Women Deliver al que fueron invitados todos y todas las Concejalas y la Comisión Legal de la Mujer del Congreso. Además se solicitó el acompañamiento técnico para la reunión convocada por la Concejal Maria Fernanda Rojas con una organización de pacientes de fibromalgia con el objetivo de identificar oportunidades para aplicar el enfoque de género en la asistencia que les brinda el distrito. También se hizo seguimiento al acompañamiento ténico a la reunión convocada por la Concejal Heidy Sánchez sobre Actividades Sexuales Pagadas. 
Durante el mes de julio se socializó con la Comisión Legal para la equidad de la mujer y el comité de género del Concejo el sello de la igualdad con el objetivo de que se transversalice el enfoque de género en la corporación. Las asistentes manifestaron su interés y sus propuestas para la implementación. Así mismo se realizó una reunión con la comisión legal para la equidad de la mujer en donde se socializaron los comentarios al proyecto de acuerdo sobre violencia política que se encuentra en construcción en la comisión. De otro lado, se realizó una reunión con el equipo de la Concejal Heidy Sánchez en donde se expusieron las acciones de SDMujer en cuanto a la garantía de derechos de las mujeres que ejercen ASP. 
Durante el mes de agosto se asistió a la reunión convocada por la HC Maria Victoria Vargas en el Concejo de Bogotá en donde se expuso ante los ciudadanos de la localidad de Antonio Nariño todos los servicios disponibles de la SDMujer en dicha localidad. 
Durante el mes de septiembre la Dirección de Derechos y Diseño de Políticas avanzó en la elaboración del diagnóstico del Concejo de Bogotá en el marco del Sello de Igualdad, con el acompañamiento de la profesional de la SCPI que apoya en el Concejo de Bogotá. Dicho documento aún se encuentra en construcción por parte de dicha dirección: Se diligenció la lista de comprobación y se hizo una visita al Concejo en donde se recorrieron sus instalaciones. 
Durante el mes de octubre se preparó y se acompañó la sesión de la Comisión Legal de la Mujer del Congreso de la República en la manzana de cuidado de Lourdes en donde se presentaron los avances del Sistema de Cuidado. </t>
  </si>
  <si>
    <t>Actividad no programada para el mes de enero
Se realiza: Reunión previa de la Submesa para la garantía de los derechos de las mujeres, diversidades, disidencias sexuales y de género, el 08 de febrero, con el fin de revisar con la coordinadora del equipo la presentación para la primera subcomisión y la agenda a desarrollar.
Reunión extraordinaria del Decreto 053-2023, el 10 de febrero con el fin de revisar de manera técnica y logística la convocatoria de la marcha en apoyo a las reformas del Gobierno Nacional. 
Reunión extraordinaria del Decreto 053-2023, el  10 de febrero con el fin de revisar de manera técnica y logística la convocatoria de la Gran Marcha contra reformas pre dictatoriales #PararParaSalvar
Reunión de la Submesa para la garantía de los derechos de las mujeres, diversidades, disidencias sexuales y de género, el 23 de febrero, con el fin de revisar la agenda a desarrollar el 8 de marzo, la socialización de la estrategia "Bogotá ciudad purpura" y la revisión del cronograma de 2023.
Reunión previa de la Submesa para la garantía de los derechos de las mujeres, diversidades, disidencias sexuales y de género, el  21 de marzo, con el fin de revisar con la coordinadora del equipo la presentación para el balance del 08 de marzo día internacional de la Mujer 
Reunión extraordinaria del Decreto 053-2023, los días 02, 13 y 14 10 de marzo, con el fin de revisar de manera técnica y logística la convocatoria de movilización y protesta social citados para estos días. 
Reunión ordinaria del Decreto 053-2023, el 3 de marzo, con el fin de on el fin de socializar por parte de la Secretaría Distrital de Gobierno el Decreto 053 de 2023 a las entidades y organizaciones firmantes.
Reunión de la Submesa para la garantía de los derechos de las mujeres, diversidades, disidencias sexuales y de género, el 23 de febrero, con el fin de revisar la agenda a desarrollar el 8 de marzo, la socialización de la estrategia "Bogotá ciudad purpura" y la revisión del cronograma de 2023.
Se realiza reunión extraordinaria de la Submesa para la garantia de los derechos de las mujeres, diversidades, disidencias sexuales y de género el dá 11 de abril, con el fin de realizar el cronograma de trabajo del año 2023
Se realiza reunión ordinaria de la Submesa para la garantia de los derechos de las mujeres, diversidades, disidencias sexuales y de género el dá 19 de abril, con el fin de con el fin de socializar las rutas para prevenir todas las VBG por parte de las entidades firmantes del Decreto 053 de 2023.
Se realiza reunión extraordinaria del Decreto 053-2023, el día 25 de abril con el fin de verificar y unificar el estado actual de convocatorias que se tienen previstas para el 25 de abril de 2023, y el 1 de mayo con las instituciones firmantes del Decreto 053-2023.
Se realiza reunión extraoordinaria del Decreto 053-2023, el día 25 de abril con el fin de verificar y unificar el estado actual de convocatorias que se tienen previstas para el 27 de abril de 2023 con el fin de Realizar Mesa distrital de coordinación y seguimiento 28 A y 1M
Se realiza reunión ordinaria de la Submesa para la garantia de los derechos de las mujeres, diversidades, disidencias sexuales y de género el día 30 de mayo, con el fin de con el fin de socializar las rutas para prevenir todas las VBG por parte de las entidades y organizaciones de la sociedad civil firmantes del Decreto 053 de 2023.
Se realiza reunión extraordinaria del Decreto 053-2023 Marcha LGBTI Distrital, el día 18 de mayo con el fin de planificar la marcha Distrital LGBTIQ, que se llevara a cabo elproximo 2 de julio de 2023.
Se realiza reunión extraordinaria del Decreto 053-2023 Marcha LGBTI , el día 09 junio, con el fin de revisasr las acciones para la movilización de la Marcha del Sur.
Se realiza reunión extraordinaria del Decreto 053-2023 Marcha LGBTI , el día 13 junio, con el fin de realizar la coordinación y articulación para la Marcha del Sur en Bogotá.
Se realiza reunión extraordinaria del Decreto 053-2023 Marcha LGBTI , el día 22 junio, con el fin de revisasr las acciones para la marcha Distrital LGBTIQ.
Se realiza reunión ordinaria de la Submesa para la garantia de los derechos de las mujeres, diversidades, disidencias sexuales y de género el día 20 de junio, con el fin de con el fin de revisar en conjunto con las organizaciones de la sociedad civil y las entidades las movilizaciones LGBTIQ a realizarse en el mes de junio y julio.
Se realiza reunión ordinaria de la Submesa para la garantia de los derechos de las mujeres, diversidades, disidencias sexuales y de género el día 14 de julio, con el fin de con el fin de revisar en conjunto con las organizaciones de la sociedad civil y las entidades el balance de las movilizaciones LGBTIQrealizadas durante el mes junio y julio.
Se realiza reunión extraordinaria del Decreto 053de 2023 el día 08 de julio de 2023 con los y las frimantes del Decreto y como invitadas permanente a la mesa.
Se realiza reunión ordinaria de la Submesa para la garantia de los derechos de las mujeres, diversidades, disidencias sexuales y de género el día 10 de agosto, con el fin de revisar el documento de recomdaciones del 8M día de la Mujer para llevarlo a la mesa extraordinaria del Decreto 053 de 2023.
Se realiza reunión extraordinaria del Decreto 053de 2023 el día 04 de septiembre de 2023 con los y las frimantes del Decreto y como invitadas permanente a la mesa, con el fin de revisar el reglamento interno y socializar documento de recomendaciones del 8M
Se realiza reunión ordinaria de la Submesa para la garantia de los derechos de las mujeres, diversidades, disidencias sexuales y de género el día 26 de septiembre, con el fin de revisar tecnica y logisticamente la movilización del día 28S denominado aborto libre, acompañado e interseccional
Se realiza reunión extraordinaria del Decreto 053de 2023 el día 09 de octubre de 2023 con los y las frimantes del Decreto y como invitadas permanente a la mesa, con el fin de realizar organización tecnica y logistica del partido UO
Se realiza reunión ordinaria de la Submesa para la garantia de los derechos de las mujeres, diversidades, disidencias sexuales y de género el día 26 de octubre, con el fin de realizar evalucación tecnica del 28S y trabajar sobre el directorio de VBG de las entidades y organizaciones dentro de la protesta social.</t>
  </si>
  <si>
    <t>Actividad no programada para el mes de enero
Se realizó Puesto de Mando Unificado, (PMU) los días 14-15 y 24 de febrero  de manera presencial en el Centro de Comando y Computa (C4) , con motivo de las protestas y movilización social citada para estos días.
Se realizó Puesto de Mando Unificado, (PMU) de manera virtual el día 22 de febrero, a través de Google meets , con motivo de la movilización de taxistas en la ciudad de Bogotá.
Se realizó Puesto de Mando Unificado, (PMU) los días 08,16 de marzo de manera presencial en el Centro de Comando y Computa (C4) , con motivo de las protestas y movilización social citada para estos días, en especial el 08, día internacional de la Mujer 
Se realizó Puesto de Mando Unificado, (PMU) de manera virtual el día 25 de marzo, a través de Google meets , con motivo de la Asamblea Nacional Popular.
Se realizó Puesto de Mando Unificado, (PMU) virtual el día 14 de abril, con el fin de acompañar la convocatoria de movilización social por parte de la Universidad Distrital
Se realizó Puesto de Mando Unificado, (PMU) en las instalaciones del C4, con el fin de  acompañar la convocatoria de conmemoración del "Estallido social "
Se realizó Puesto de Mando Unificado, (PMU)  el día 01 de mayo, con el fin de acompañar la convocatoria de movilización social por el día del trabajo
Se realizó Puesto de Mando Unificado, (PMU)  el día 07 de junio, con el fin de acompañar la convocatoria de movilización de las marchas obreras
Se realizó Puesto de Mando Unificado, (PMU)  el día 21 de junio, con el fin de acompañar la convocatoria de movilización día del skate
Se realizó Puesto de Mando Unificado, (PMU)  el día 02 de julio, con el fin de acompañar la convocatoria de movilización Distrital LGBTIQ
Se realizó Puesto de Mando Unificado, (PMU)  el día 07 de julio, con el fin de acompañar la convocatoria de movilización YO MARCHO TRANS
No se realizó PMU para el mes de agosto. No se hizo convocatoria a PMU, esto no depende de la SDMujer, ya que si no se requiere pues no hay movilizaciones programadas, no se convoca.
Se realiza el día 28 de septiembre PMU territorial por la marcha denominada aborto libre, acompañado e interseccional
No se realizó PMU para el mes de octubre. No se hizo convocatoria a PMU, esto no depende de la SDMujer, ya que si no se requiere pues no hay movilizaciones programadas, no se convoca.</t>
  </si>
  <si>
    <r>
      <t>Actividad no programada para el mes de enero.
Para el mes de febrero se realizó presentación de la  Submesa  para la garantía y seguimiento de los derechos de las mujeres, diversidades, disidencias sexuales y de género, con nombre, objetivos, acciones, logros y resultados.
No se requirió de esta actividad para el mes de marzo.
Durante el mes de abril</t>
    </r>
    <r>
      <rPr>
        <b/>
        <sz val="12"/>
        <rFont val="Times New Roman"/>
        <family val="1"/>
      </rPr>
      <t xml:space="preserve"> </t>
    </r>
    <r>
      <rPr>
        <sz val="12"/>
        <rFont val="Times New Roman"/>
        <family val="1"/>
      </rPr>
      <t xml:space="preserve">se realizó la socialización de la caracterización realizada durante el 25 de noviembre "día de la eliminación de todo tipo de violencias a la Subsecretaría del Cuidado y Politicas de Igualdad para que revise los resultados arrojados durante el proceso.
Durante el mes de abril se realizó documento de empalme de la gestión que se realiza en la Submesa para la garantía y seguimiento de los derechos de las mujeres, diversidades, disidencias sexuales y de género, 
Durante el mes de junio se socializó la investigación del 25 de noviembre, Día Internacional de la Eliminación de la Violencia contra la Mujer que realizó la Dirección de Gestión del conocimiento en la Submesa para la garantía y seguimiento de los derechos de las mujeres, diversidades, disidencias sexuales y de género.
Durante el mes de julio se realizo reunión con la Dirección de Gestión del Conocimient el día 12 y 24 de julio, con el fin de revisar y ajustar el documento de investigación 25N-2022 junto a la Subsecretaría del Cuidado y Políticas de Igualdad.
En el mes de </t>
    </r>
    <r>
      <rPr>
        <b/>
        <sz val="12"/>
        <rFont val="Times New Roman"/>
        <family val="1"/>
      </rPr>
      <t>agosto</t>
    </r>
    <r>
      <rPr>
        <sz val="12"/>
        <rFont val="Times New Roman"/>
        <family val="1"/>
      </rPr>
      <t xml:space="preserve"> el documento de Investigación del 25N, construido en el año 2022 por parte de la Dirección de Gestión del Cococimiento, continua en proceso de revisión  por parte de la Subsecretaria del Cuidado y Políticas de Igualdad, con el fin de llevarlo a la Submesa para la garantia de los derechos de las mujeres, diversidades y disidensias del género.
En el mes de septiembre, se realiza informe trimestral de la instancia denominada Submesa para la garantía y seguimiento de los derechos de las mujeres, diversidades, disidencias sexuales y de género.
En el mes de octubre se realizaron los aportes al informe del cuatrienio, aportando las acciones realizadas para la transversalización de los enfoques de derechos de género y diferencial en la socializacoón de la ruta</t>
    </r>
  </si>
  <si>
    <r>
      <t xml:space="preserve">Entre </t>
    </r>
    <r>
      <rPr>
        <b/>
        <sz val="12"/>
        <rFont val="Times New Roman"/>
        <family val="1"/>
      </rPr>
      <t>enero y octubre</t>
    </r>
    <r>
      <rPr>
        <sz val="12"/>
        <rFont val="Times New Roman"/>
        <family val="1"/>
      </rPr>
      <t xml:space="preserve"> se actualizó el procedimiento de asistencia técnica (AT) y sus formatos; se coordinó la AT a sectores Movilidad, Hacienda, Jurídica y Ambiente, con DDYDP; se avanzó en definir actividades de AT con los 4 sectores y avanzó en su implementación. Se consolidaron los cronogramas de AT del primer y segundo semestre. Se hizo seguimiento a la AT y dieron lineamientos a las profesionales. Se realizaron 31 acciones de transversalización del ED: Sector Salud 3, Desarrollo Económico 1, Hacienda 1, Seguridad, Convivencia y Justicia 2, Gestión Pública 1, Cultura 1, Educación 3, Ambiente 2, Gobierno 1, Movilidad 1, Hábitat 1 y Mujeres 14. Se aprobó propuesta para consolidar caja de herramientas; se diseñó matriz para caracterizar herramientas y se caracterizaron 17; se validó caracterización de 14 herramientas y avanzó en ajuste de 1 herramienta. Se finalizó consolidación de información de barreras de acceso a los servicios; se elaboró y aprobó con ajustes propuesta para avanzar en formulación, validación, implementación y seguimiento al plan de fortalecimiento en 2023; se elaboraron 7 documentos: 1 de conclusiones de la caracterización de servicios e identificación de barreras y 6 con situaciones que afectan la prestación de servicios a cargo de las diferentes dependencias. Se realizaron 6 reuniones para socializar la consolidación de barreras y definir acciones para su eliminación (SFCYO, DEVAJ, DGC, DSC, DTDYP y DED), se remitió matriz consolidada y documentos; y 2 reuniones para apoyar la identificación de acciones para eliminar las barreras de acceso (SFCYO y DGC). Se consolidaron las matrices diligenciadas y enviadas por las dependencias, se formuló propuesta preliminar del Plan de Fortalecimiento, que se revisó y ajustó generando la propuesta final. Se remitió mediante memorando propuesta final de Plan de Fortalecimiento a las dependencias para que definan metas, tiempos y responsables de cada acción propuesta. Se apoyo a la DED en su diligenciamiento. 
Para el mes de octubre se realizó el acompañamiento técnico al CTPD y la Submesa de género.</t>
    </r>
  </si>
  <si>
    <t>Se presentó retraso en la consolidación del plan de fortalecimiento final, pues aún esta en desarrollo la fase de recepción y consolidación de la infromación de las metas, tiempos y evidencias de todas las dependencias de la DED. Se espera lograr esta consolidación de toda la información en el mes de noviembre.
En cuanto el acompañamiento técnico a instancias no hubo retrasos</t>
  </si>
  <si>
    <t>Se cuenta con nueva versión ajustada y publicada del procedimiento “Asistencia técnica a los Sectores de la Administración Distrital y las localidades para la transversalización del enfoque diferencial” y sus formatos. Se cuenta con 4 cronogramas de asistencia técnica para el primer semestre del año y 4 para el segundo (Hacienda, Jurídica, Ambiente y Movilidad). Se ha llegado con acciones de información y sensibilización en enfoque diferencial a personal de 8 entidades (Secretaría de Hacienda, Secretaría Jurídica, Catastro Distrital, Instituto de Protección y Bienestar Animal, Instituto Distrital de Gestión del Riesgo y Cambio climático, Jardín Botánico, La Rolita- Operadora Distrital de Transporte y Transmilenio). Se cuenta con propuesta para avanzar en la consolidación de la caja de herramientas aprobada por la directora de Enfoque Diferencial y validada por equipo de profesionales, así como con matriz de caracterización de herramientas validada, 17 herramientas caracterizadas, 14 caracterizaciones de herramientas validadas y ajustes a una herramienta. Se cuenta con propuesta de formulación, validación, implementación y seguimiento al plan de fortalecimiento interno para el 2023 aprobada, así como con matriz consolidada de barreras de acceso a los servicios socializada y 7 documentos elaborados: 1 con conclusiones de la caracterización de servicios e identificación de barreras de acceso y 6 donde se identifican situaciones que afectan la prestación de los servicios que brinda la SDMujer. Se cuenta con matrices con propuestas para eliminar las barreras de acceso a los servicios de 6 dependencias, una matriz consolidada con todas las propuestas y una propuesta final del Plan de Fortalecimiento que está en revisión, complementación y aprobación por parte de las directivas. 
Acompañamiento técnico para el fortalecimiento del derecho a la participación de las mujeres en las diferentes instancias priorizadas, para el posicionamento de sus agendas</t>
  </si>
  <si>
    <t>Se realiza fortalecimiento a instancias, especificamente con el CCM y la subcomisión de género . Para este mes construcción de la agenda de Mujeres</t>
  </si>
  <si>
    <t>Avances en propuesta de fortalecimiento al CCM. Pendiente de aprobar tres eventos a realizar en los mese de noviembre y diciembre, que dependen de la consecución de presupuesto</t>
  </si>
  <si>
    <t>Se realizó la sesión ordinaria del Espacio Autónomo y la mesa coordinadora del CCM del mes de octubre de 2023. Se realizó acompañamiento técnico a la submesa de género. Pendiente programar sesión de capacitación con el Consejo Distrital de juventud</t>
  </si>
  <si>
    <t xml:space="preserve">En el mes de octubre se realizaron atenciones a 338 mujeres nuevas en sus diferencias y diversidad desde la Dirección de Enfoque Diferencial.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</si>
</sst>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0">
    <numFmt numFmtId="5" formatCode="&quot;$&quot;\ #,##0;\-&quot;$&quot;\ #,##0"/>
    <numFmt numFmtId="41" formatCode="_-* #,##0_-;\-* #,##0_-;_-* &quot;-&quot;_-;_-@_-"/>
    <numFmt numFmtId="164" formatCode="_-&quot;$&quot;* #,##0.00_-;\-&quot;$&quot;* #,##0.00_-;_-&quot;$&quot;* &quot;-&quot;??_-;_-@_-"/>
    <numFmt numFmtId="165" formatCode="#,##0\ &quot;€&quot;;\-#,##0\ &quot;€&quot;"/>
    <numFmt numFmtId="166" formatCode="_-* #,##0\ &quot;€&quot;_-;\-* #,##0\ &quot;€&quot;_-;_-* &quot;-&quot;\ &quot;€&quot;_-;_-@_-"/>
    <numFmt numFmtId="167" formatCode="_-* #,##0.00\ &quot;€&quot;_-;\-* #,##0.00\ &quot;€&quot;_-;_-* &quot;-&quot;??\ &quot;€&quot;_-;_-@_-"/>
    <numFmt numFmtId="168" formatCode="_-* #,##0\ _€_-;\-* #,##0\ _€_-;_-* &quot;-&quot;\ _€_-;_-@_-"/>
    <numFmt numFmtId="169" formatCode="_-* #,##0.00\ _€_-;\-* #,##0.00\ _€_-;_-* &quot;-&quot;??\ _€_-;_-@_-"/>
    <numFmt numFmtId="170" formatCode="_(&quot;$&quot;\ * #,##0.00_);_(&quot;$&quot;\ * \(#,##0.00\);_(&quot;$&quot;\ * &quot;-&quot;??_);_(@_)"/>
    <numFmt numFmtId="171" formatCode="_ &quot;$&quot;\ * #,##0.00_ ;_ &quot;$&quot;\ * \-#,##0.00_ ;_ &quot;$&quot;\ * &quot;-&quot;??_ ;_ @_ "/>
    <numFmt numFmtId="172" formatCode="&quot;$&quot;\ #,##0"/>
    <numFmt numFmtId="173" formatCode="_-* #,##0\ _€_-;\-* #,##0\ _€_-;_-* &quot;-&quot;??\ _€_-;_-@_-"/>
    <numFmt numFmtId="174" formatCode="0.0%"/>
    <numFmt numFmtId="175" formatCode="[$$-240A]\ #,##0;[Red][$$-240A]\ #,##0"/>
    <numFmt numFmtId="176" formatCode="#,##0;[Red]#,##0"/>
    <numFmt numFmtId="177" formatCode="_-[$$-240A]\ * #,##0.00_-;\-[$$-240A]\ * #,##0.00_-;_-[$$-240A]\ * &quot;-&quot;??_-;_-@_-"/>
    <numFmt numFmtId="178" formatCode="&quot;$&quot;\ #,##0.00"/>
    <numFmt numFmtId="179" formatCode="0.000"/>
    <numFmt numFmtId="180" formatCode="0.0000"/>
    <numFmt numFmtId="181" formatCode="0.00000"/>
  </numFmts>
  <fonts count="71" x14ac:knownFonts="1">
    <font>
      <sz val="11"/>
      <color theme="1"/>
      <name val="Calibri"/>
      <family val="2"/>
      <scheme val="minor"/>
    </font>
    <font>
      <sz val="11"/>
      <color indexed="8"/>
      <name val="Calibri"/>
      <family val="2"/>
    </font>
    <font>
      <sz val="10"/>
      <name val="Arial"/>
      <family val="2"/>
    </font>
    <font>
      <b/>
      <sz val="10"/>
      <name val="Times New Roman"/>
      <family val="1"/>
    </font>
    <font>
      <sz val="10"/>
      <name val="Times New Roman"/>
      <family val="1"/>
    </font>
    <font>
      <sz val="10"/>
      <name val="Arial Narrow"/>
      <family val="2"/>
    </font>
    <font>
      <sz val="10"/>
      <name val="Arial Narrow"/>
      <family val="2"/>
    </font>
    <font>
      <b/>
      <sz val="10"/>
      <color indexed="8"/>
      <name val="Tahoma"/>
      <family val="2"/>
    </font>
    <font>
      <sz val="10"/>
      <color indexed="8"/>
      <name val="Tahoma"/>
      <family val="2"/>
    </font>
    <font>
      <b/>
      <sz val="9"/>
      <color indexed="8"/>
      <name val="Tahoma"/>
      <family val="2"/>
    </font>
    <font>
      <sz val="9"/>
      <color indexed="8"/>
      <name val="Tahoma"/>
      <family val="2"/>
    </font>
    <font>
      <sz val="11"/>
      <name val="Times New Roman"/>
      <family val="1"/>
    </font>
    <font>
      <b/>
      <sz val="11"/>
      <name val="Times New Roman"/>
      <family val="1"/>
    </font>
    <font>
      <b/>
      <sz val="11"/>
      <color indexed="8"/>
      <name val="Times New Roman"/>
      <family val="1"/>
    </font>
    <font>
      <b/>
      <sz val="11"/>
      <color indexed="10"/>
      <name val="Times New Roman"/>
      <family val="1"/>
    </font>
    <font>
      <b/>
      <i/>
      <sz val="11"/>
      <name val="Times New Roman"/>
      <family val="1"/>
    </font>
    <font>
      <b/>
      <sz val="11"/>
      <name val="Arial Narrow"/>
      <family val="2"/>
    </font>
    <font>
      <sz val="11"/>
      <color indexed="8"/>
      <name val="Times New Roman"/>
      <family val="1"/>
    </font>
    <font>
      <i/>
      <sz val="11"/>
      <name val="Times New Roman"/>
      <family val="1"/>
    </font>
    <font>
      <b/>
      <sz val="12"/>
      <name val="Times New Roman"/>
      <family val="1"/>
    </font>
    <font>
      <b/>
      <sz val="9"/>
      <color indexed="81"/>
      <name val="Tahoma"/>
      <family val="2"/>
    </font>
    <font>
      <sz val="9"/>
      <color indexed="81"/>
      <name val="Tahoma"/>
      <family val="2"/>
    </font>
    <font>
      <sz val="8"/>
      <name val="Times New Roman"/>
      <family val="1"/>
    </font>
    <font>
      <b/>
      <sz val="8"/>
      <name val="Times New Roman"/>
      <family val="1"/>
    </font>
    <font>
      <sz val="7"/>
      <name val="Times New Roman"/>
      <family val="1"/>
    </font>
    <font>
      <b/>
      <sz val="11"/>
      <color indexed="81"/>
      <name val="Tahoma"/>
      <family val="2"/>
    </font>
    <font>
      <sz val="11"/>
      <color indexed="81"/>
      <name val="Tahoma"/>
      <family val="2"/>
    </font>
    <font>
      <b/>
      <sz val="14"/>
      <name val="Times New Roman"/>
      <family val="1"/>
    </font>
    <font>
      <b/>
      <sz val="14"/>
      <color indexed="8"/>
      <name val="Times New Roman"/>
      <family val="1"/>
    </font>
    <font>
      <sz val="14"/>
      <color indexed="8"/>
      <name val="Times New Roman"/>
      <family val="1"/>
    </font>
    <font>
      <sz val="11"/>
      <color theme="1"/>
      <name val="Calibri"/>
      <family val="2"/>
      <scheme val="minor"/>
    </font>
    <font>
      <sz val="11"/>
      <color theme="0"/>
      <name val="Calibri"/>
      <family val="2"/>
      <scheme val="minor"/>
    </font>
    <font>
      <sz val="10"/>
      <color theme="1"/>
      <name val="Verdana"/>
      <family val="2"/>
    </font>
    <font>
      <sz val="11"/>
      <color theme="1"/>
      <name val="Calibri"/>
      <family val="2"/>
    </font>
    <font>
      <b/>
      <sz val="11"/>
      <color theme="0"/>
      <name val="Calibri"/>
      <family val="2"/>
      <scheme val="minor"/>
    </font>
    <font>
      <sz val="17"/>
      <color theme="0"/>
      <name val="Calibri"/>
      <family val="2"/>
      <scheme val="minor"/>
    </font>
    <font>
      <sz val="11"/>
      <color rgb="FF0B744D"/>
      <name val="Calibri"/>
      <family val="2"/>
      <scheme val="minor"/>
    </font>
    <font>
      <sz val="11"/>
      <name val="Calibri"/>
      <family val="2"/>
      <scheme val="minor"/>
    </font>
    <font>
      <b/>
      <sz val="10"/>
      <color theme="1"/>
      <name val="Verdana"/>
      <family val="2"/>
    </font>
    <font>
      <sz val="11"/>
      <color rgb="FF9C5700"/>
      <name val="Calibri"/>
      <family val="2"/>
      <scheme val="minor"/>
    </font>
    <font>
      <sz val="42"/>
      <color theme="0"/>
      <name val="Segoe UI"/>
      <family val="2"/>
      <charset val="1"/>
    </font>
    <font>
      <b/>
      <sz val="11"/>
      <color theme="1"/>
      <name val="Calibri"/>
      <family val="2"/>
      <scheme val="minor"/>
    </font>
    <font>
      <sz val="11"/>
      <color theme="1"/>
      <name val="Times New Roman"/>
      <family val="1"/>
    </font>
    <font>
      <sz val="11"/>
      <color rgb="FFFF0000"/>
      <name val="Times New Roman"/>
      <family val="1"/>
    </font>
    <font>
      <b/>
      <sz val="11"/>
      <color rgb="FF000000"/>
      <name val="Times New Roman"/>
      <family val="1"/>
    </font>
    <font>
      <sz val="11"/>
      <color rgb="FF000000"/>
      <name val="Times New Roman"/>
      <family val="1"/>
    </font>
    <font>
      <b/>
      <sz val="11"/>
      <color theme="1"/>
      <name val="Times New Roman"/>
      <family val="1"/>
    </font>
    <font>
      <b/>
      <sz val="11"/>
      <color theme="0" tint="-0.34998626667073579"/>
      <name val="Calibri"/>
      <family val="2"/>
      <scheme val="minor"/>
    </font>
    <font>
      <sz val="10"/>
      <color theme="1"/>
      <name val="Times New Roman"/>
      <family val="1"/>
    </font>
    <font>
      <b/>
      <sz val="10"/>
      <color theme="1"/>
      <name val="Times New Roman"/>
      <family val="1"/>
    </font>
    <font>
      <sz val="14"/>
      <color theme="1"/>
      <name val="Times New Roman"/>
      <family val="1"/>
    </font>
    <font>
      <b/>
      <sz val="12"/>
      <color theme="1"/>
      <name val="Times New Roman"/>
      <family val="1"/>
    </font>
    <font>
      <b/>
      <sz val="11"/>
      <color theme="0" tint="-0.34998626667073579"/>
      <name val="Times New Roman"/>
      <family val="1"/>
    </font>
    <font>
      <b/>
      <sz val="14"/>
      <color theme="1"/>
      <name val="Times New Roman"/>
      <family val="1"/>
    </font>
    <font>
      <sz val="12"/>
      <name val="Times New Roman"/>
      <family val="1"/>
    </font>
    <font>
      <b/>
      <sz val="12"/>
      <color indexed="10"/>
      <name val="Times New Roman"/>
      <family val="1"/>
    </font>
    <font>
      <b/>
      <sz val="12"/>
      <color theme="0" tint="-0.34998626667073579"/>
      <name val="Calibri"/>
      <family val="2"/>
      <scheme val="minor"/>
    </font>
    <font>
      <b/>
      <sz val="12"/>
      <color theme="1"/>
      <name val="Calibri"/>
      <family val="2"/>
      <scheme val="minor"/>
    </font>
    <font>
      <sz val="12"/>
      <color theme="1"/>
      <name val="Calibri"/>
      <family val="2"/>
      <scheme val="minor"/>
    </font>
    <font>
      <b/>
      <i/>
      <sz val="12"/>
      <name val="Times New Roman"/>
      <family val="1"/>
    </font>
    <font>
      <sz val="12"/>
      <color theme="1"/>
      <name val="Times New Roman"/>
      <family val="1"/>
    </font>
    <font>
      <sz val="12"/>
      <color rgb="FFFF0000"/>
      <name val="Times New Roman"/>
      <family val="1"/>
    </font>
    <font>
      <b/>
      <sz val="12"/>
      <color indexed="8"/>
      <name val="Calibri"/>
      <family val="2"/>
      <scheme val="minor"/>
    </font>
    <font>
      <sz val="12"/>
      <name val="Calibri"/>
      <family val="2"/>
      <scheme val="minor"/>
    </font>
    <font>
      <sz val="12"/>
      <color rgb="FF000000"/>
      <name val="Times New Roman"/>
      <family val="1"/>
    </font>
    <font>
      <b/>
      <sz val="12"/>
      <color rgb="FF000000"/>
      <name val="Times New Roman"/>
      <family val="1"/>
    </font>
    <font>
      <sz val="8"/>
      <name val="Calibri"/>
      <family val="2"/>
      <scheme val="minor"/>
    </font>
    <font>
      <b/>
      <sz val="20"/>
      <color theme="1"/>
      <name val="Times New Roman"/>
      <family val="1"/>
    </font>
    <font>
      <b/>
      <sz val="20"/>
      <name val="Times New Roman"/>
      <family val="1"/>
    </font>
    <font>
      <sz val="20"/>
      <color theme="1"/>
      <name val="Times New Roman"/>
      <family val="1"/>
    </font>
    <font>
      <b/>
      <sz val="12"/>
      <color rgb="FFFF0000"/>
      <name val="Times New Roman"/>
      <family val="1"/>
    </font>
  </fonts>
  <fills count="34">
    <fill>
      <patternFill patternType="none"/>
    </fill>
    <fill>
      <patternFill patternType="gray125"/>
    </fill>
    <fill>
      <patternFill patternType="solid">
        <fgColor indexed="9"/>
        <bgColor indexed="64"/>
      </patternFill>
    </fill>
    <fill>
      <patternFill patternType="solid">
        <fgColor theme="9" tint="0.79998168889431442"/>
        <bgColor indexed="65"/>
      </patternFill>
    </fill>
    <fill>
      <patternFill patternType="solid">
        <fgColor theme="9" tint="0.79998168889431442"/>
        <bgColor theme="9" tint="0.79998168889431442"/>
      </patternFill>
    </fill>
    <fill>
      <patternFill patternType="solid">
        <fgColor rgb="FF217346"/>
        <bgColor indexed="64"/>
      </patternFill>
    </fill>
    <fill>
      <patternFill patternType="solid">
        <fgColor theme="9"/>
      </patternFill>
    </fill>
    <fill>
      <patternFill patternType="solid">
        <fgColor rgb="FFDBE5F1"/>
        <bgColor indexed="64"/>
      </patternFill>
    </fill>
    <fill>
      <patternFill patternType="solid">
        <fgColor rgb="FFFFEB9C"/>
      </patternFill>
    </fill>
    <fill>
      <patternFill patternType="solid">
        <fgColor theme="7" tint="0.59999389629810485"/>
        <bgColor indexed="64"/>
      </patternFill>
    </fill>
    <fill>
      <patternFill patternType="solid">
        <fgColor theme="4" tint="0.59999389629810485"/>
        <bgColor indexed="64"/>
      </patternFill>
    </fill>
    <fill>
      <patternFill patternType="solid">
        <fgColor theme="8" tint="0.39997558519241921"/>
        <bgColor indexed="64"/>
      </patternFill>
    </fill>
    <fill>
      <patternFill patternType="solid">
        <fgColor theme="9" tint="0.59999389629810485"/>
        <bgColor indexed="64"/>
      </patternFill>
    </fill>
    <fill>
      <patternFill patternType="solid">
        <fgColor theme="5" tint="0.79998168889431442"/>
        <bgColor indexed="64"/>
      </patternFill>
    </fill>
    <fill>
      <patternFill patternType="solid">
        <fgColor theme="5" tint="0.59999389629810485"/>
        <bgColor indexed="64"/>
      </patternFill>
    </fill>
    <fill>
      <patternFill patternType="solid">
        <fgColor theme="6" tint="0.59999389629810485"/>
        <bgColor indexed="64"/>
      </patternFill>
    </fill>
    <fill>
      <patternFill patternType="solid">
        <fgColor theme="3" tint="0.59999389629810485"/>
        <bgColor indexed="64"/>
      </patternFill>
    </fill>
    <fill>
      <patternFill patternType="solid">
        <fgColor theme="8" tint="0.59999389629810485"/>
        <bgColor indexed="64"/>
      </patternFill>
    </fill>
    <fill>
      <patternFill patternType="solid">
        <fgColor rgb="FF92D050"/>
        <bgColor indexed="64"/>
      </patternFill>
    </fill>
    <fill>
      <patternFill patternType="solid">
        <fgColor theme="0"/>
        <bgColor indexed="64"/>
      </patternFill>
    </fill>
    <fill>
      <patternFill patternType="solid">
        <fgColor theme="7" tint="0.79998168889431442"/>
        <bgColor indexed="64"/>
      </patternFill>
    </fill>
    <fill>
      <patternFill patternType="solid">
        <fgColor theme="7" tint="0.39997558519241921"/>
        <bgColor indexed="64"/>
      </patternFill>
    </fill>
    <fill>
      <patternFill patternType="solid">
        <fgColor rgb="FFF79646"/>
        <bgColor rgb="FFF79646"/>
      </patternFill>
    </fill>
    <fill>
      <patternFill patternType="solid">
        <fgColor rgb="FFFDE9D9"/>
        <bgColor rgb="FFFDE9D9"/>
      </patternFill>
    </fill>
    <fill>
      <patternFill patternType="solid">
        <fgColor rgb="FFC6D9F0"/>
        <bgColor rgb="FFC6D9F0"/>
      </patternFill>
    </fill>
    <fill>
      <patternFill patternType="solid">
        <fgColor rgb="FFFF6699"/>
        <bgColor indexed="64"/>
      </patternFill>
    </fill>
    <fill>
      <patternFill patternType="solid">
        <fgColor rgb="FFFFFFCC"/>
        <bgColor rgb="FFFFFFCC"/>
      </patternFill>
    </fill>
    <fill>
      <patternFill patternType="solid">
        <fgColor theme="0" tint="-0.14999847407452621"/>
        <bgColor indexed="64"/>
      </patternFill>
    </fill>
    <fill>
      <patternFill patternType="solid">
        <fgColor rgb="FFDDDDDD"/>
        <bgColor indexed="64"/>
      </patternFill>
    </fill>
    <fill>
      <patternFill patternType="solid">
        <fgColor rgb="FFFFFF00"/>
        <bgColor indexed="64"/>
      </patternFill>
    </fill>
    <fill>
      <patternFill patternType="solid">
        <fgColor theme="3" tint="0.39997558519241921"/>
        <bgColor indexed="64"/>
      </patternFill>
    </fill>
    <fill>
      <patternFill patternType="solid">
        <fgColor theme="0"/>
        <bgColor rgb="FF000000"/>
      </patternFill>
    </fill>
    <fill>
      <patternFill patternType="solid">
        <fgColor theme="4" tint="0.79998168889431442"/>
        <bgColor indexed="64"/>
      </patternFill>
    </fill>
    <fill>
      <patternFill patternType="solid">
        <fgColor theme="4" tint="0.79998168889431442"/>
        <bgColor rgb="FF000000"/>
      </patternFill>
    </fill>
  </fills>
  <borders count="106">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bottom style="thin">
        <color auto="1"/>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
      <left style="medium">
        <color auto="1"/>
      </left>
      <right/>
      <top/>
      <bottom style="thin">
        <color auto="1"/>
      </bottom>
      <diagonal/>
    </border>
    <border>
      <left/>
      <right style="medium">
        <color auto="1"/>
      </right>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thin">
        <color auto="1"/>
      </left>
      <right style="thin">
        <color auto="1"/>
      </right>
      <top style="thin">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right/>
      <top/>
      <bottom style="medium">
        <color auto="1"/>
      </bottom>
      <diagonal/>
    </border>
    <border>
      <left/>
      <right style="medium">
        <color auto="1"/>
      </right>
      <top/>
      <bottom style="medium">
        <color auto="1"/>
      </bottom>
      <diagonal/>
    </border>
    <border>
      <left style="medium">
        <color auto="1"/>
      </left>
      <right style="medium">
        <color auto="1"/>
      </right>
      <top style="medium">
        <color auto="1"/>
      </top>
      <bottom style="medium">
        <color auto="1"/>
      </bottom>
      <diagonal/>
    </border>
    <border>
      <left style="medium">
        <color auto="1"/>
      </left>
      <right style="thin">
        <color auto="1"/>
      </right>
      <top style="thin">
        <color auto="1"/>
      </top>
      <bottom/>
      <diagonal/>
    </border>
    <border>
      <left style="thin">
        <color auto="1"/>
      </left>
      <right style="thin">
        <color auto="1"/>
      </right>
      <top style="thin">
        <color auto="1"/>
      </top>
      <bottom style="medium">
        <color auto="1"/>
      </bottom>
      <diagonal/>
    </border>
    <border>
      <left style="thin">
        <color auto="1"/>
      </left>
      <right/>
      <top/>
      <bottom style="thin">
        <color auto="1"/>
      </bottom>
      <diagonal/>
    </border>
    <border>
      <left style="thin">
        <color auto="1"/>
      </left>
      <right/>
      <top style="thin">
        <color auto="1"/>
      </top>
      <bottom style="medium">
        <color auto="1"/>
      </bottom>
      <diagonal/>
    </border>
    <border>
      <left/>
      <right style="medium">
        <color auto="1"/>
      </right>
      <top style="thin">
        <color auto="1"/>
      </top>
      <bottom style="thin">
        <color auto="1"/>
      </bottom>
      <diagonal/>
    </border>
    <border>
      <left style="medium">
        <color auto="1"/>
      </left>
      <right/>
      <top style="thin">
        <color auto="1"/>
      </top>
      <bottom/>
      <diagonal/>
    </border>
    <border>
      <left/>
      <right/>
      <top style="thin">
        <color auto="1"/>
      </top>
      <bottom/>
      <diagonal/>
    </border>
    <border>
      <left/>
      <right style="thin">
        <color auto="1"/>
      </right>
      <top style="thin">
        <color auto="1"/>
      </top>
      <bottom/>
      <diagonal/>
    </border>
    <border>
      <left style="medium">
        <color auto="1"/>
      </left>
      <right style="thin">
        <color auto="1"/>
      </right>
      <top style="thin">
        <color auto="1"/>
      </top>
      <bottom style="medium">
        <color auto="1"/>
      </bottom>
      <diagonal/>
    </border>
    <border>
      <left style="medium">
        <color auto="1"/>
      </left>
      <right style="thin">
        <color auto="1"/>
      </right>
      <top/>
      <bottom style="thin">
        <color auto="1"/>
      </bottom>
      <diagonal/>
    </border>
    <border>
      <left style="thin">
        <color auto="1"/>
      </left>
      <right style="medium">
        <color auto="1"/>
      </right>
      <top/>
      <bottom style="thin">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style="thin">
        <color auto="1"/>
      </right>
      <top/>
      <bottom style="medium">
        <color auto="1"/>
      </bottom>
      <diagonal/>
    </border>
    <border>
      <left style="thin">
        <color auto="1"/>
      </left>
      <right style="thin">
        <color auto="1"/>
      </right>
      <top/>
      <bottom style="medium">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thin">
        <color auto="1"/>
      </top>
      <bottom/>
      <diagonal/>
    </border>
    <border>
      <left style="thin">
        <color auto="1"/>
      </left>
      <right style="medium">
        <color auto="1"/>
      </right>
      <top style="thin">
        <color auto="1"/>
      </top>
      <bottom style="medium">
        <color auto="1"/>
      </bottom>
      <diagonal/>
    </border>
    <border>
      <left style="thin">
        <color auto="1"/>
      </left>
      <right style="thin">
        <color auto="1"/>
      </right>
      <top/>
      <bottom/>
      <diagonal/>
    </border>
    <border>
      <left style="thin">
        <color auto="1"/>
      </left>
      <right style="medium">
        <color auto="1"/>
      </right>
      <top/>
      <bottom/>
      <diagonal/>
    </border>
    <border>
      <left style="medium">
        <color auto="1"/>
      </left>
      <right style="thin">
        <color auto="1"/>
      </right>
      <top/>
      <bottom/>
      <diagonal/>
    </border>
    <border>
      <left/>
      <right style="thin">
        <color auto="1"/>
      </right>
      <top style="thin">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top/>
      <bottom style="medium">
        <color auto="1"/>
      </bottom>
      <diagonal/>
    </border>
    <border>
      <left style="thin">
        <color auto="1"/>
      </left>
      <right/>
      <top style="medium">
        <color auto="1"/>
      </top>
      <bottom style="thin">
        <color auto="1"/>
      </bottom>
      <diagonal/>
    </border>
    <border>
      <left style="medium">
        <color auto="1"/>
      </left>
      <right/>
      <top style="medium">
        <color auto="1"/>
      </top>
      <bottom/>
      <diagonal/>
    </border>
    <border>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style="medium">
        <color auto="1"/>
      </left>
      <right/>
      <top style="thin">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style="medium">
        <color auto="1"/>
      </left>
      <right/>
      <top style="thin">
        <color auto="1"/>
      </top>
      <bottom style="medium">
        <color auto="1"/>
      </bottom>
      <diagonal/>
    </border>
    <border>
      <left/>
      <right style="medium">
        <color auto="1"/>
      </right>
      <top style="thin">
        <color auto="1"/>
      </top>
      <bottom style="medium">
        <color auto="1"/>
      </bottom>
      <diagonal/>
    </border>
    <border>
      <left/>
      <right style="thin">
        <color auto="1"/>
      </right>
      <top/>
      <bottom style="thin">
        <color auto="1"/>
      </bottom>
      <diagonal/>
    </border>
    <border>
      <left style="thin">
        <color auto="1"/>
      </left>
      <right/>
      <top style="thin">
        <color auto="1"/>
      </top>
      <bottom/>
      <diagonal/>
    </border>
    <border>
      <left/>
      <right/>
      <top style="thin">
        <color auto="1"/>
      </top>
      <bottom style="thin">
        <color auto="1"/>
      </bottom>
      <diagonal/>
    </border>
    <border>
      <left style="medium">
        <color auto="1"/>
      </left>
      <right style="thin">
        <color auto="1"/>
      </right>
      <top style="medium">
        <color auto="1"/>
      </top>
      <bottom/>
      <diagonal/>
    </border>
    <border>
      <left style="thin">
        <color auto="1"/>
      </left>
      <right style="thin">
        <color auto="1"/>
      </right>
      <top style="medium">
        <color auto="1"/>
      </top>
      <bottom/>
      <diagonal/>
    </border>
    <border>
      <left style="thin">
        <color auto="1"/>
      </left>
      <right/>
      <top/>
      <bottom style="medium">
        <color auto="1"/>
      </bottom>
      <diagonal/>
    </border>
    <border>
      <left/>
      <right style="thin">
        <color auto="1"/>
      </right>
      <top/>
      <bottom style="medium">
        <color auto="1"/>
      </bottom>
      <diagonal/>
    </border>
    <border>
      <left/>
      <right style="medium">
        <color auto="1"/>
      </right>
      <top style="thin">
        <color auto="1"/>
      </top>
      <bottom/>
      <diagonal/>
    </border>
    <border>
      <left/>
      <right/>
      <top style="medium">
        <color auto="1"/>
      </top>
      <bottom style="thin">
        <color auto="1"/>
      </bottom>
      <diagonal/>
    </border>
    <border>
      <left/>
      <right/>
      <top style="thin">
        <color auto="1"/>
      </top>
      <bottom style="medium">
        <color auto="1"/>
      </bottom>
      <diagonal/>
    </border>
    <border>
      <left style="thin">
        <color auto="1"/>
      </left>
      <right/>
      <top/>
      <bottom/>
      <diagonal/>
    </border>
    <border>
      <left style="thin">
        <color auto="1"/>
      </left>
      <right/>
      <top style="medium">
        <color auto="1"/>
      </top>
      <bottom/>
      <diagonal/>
    </border>
    <border>
      <left style="thin">
        <color auto="1"/>
      </left>
      <right style="medium">
        <color auto="1"/>
      </right>
      <top style="medium">
        <color auto="1"/>
      </top>
      <bottom/>
      <diagonal/>
    </border>
    <border>
      <left/>
      <right style="thin">
        <color auto="1"/>
      </right>
      <top/>
      <bottom/>
      <diagonal/>
    </border>
    <border>
      <left/>
      <right/>
      <top style="thin">
        <color theme="9" tint="0.39994506668294322"/>
      </top>
      <bottom style="thin">
        <color theme="9" tint="0.39994506668294322"/>
      </bottom>
      <diagonal/>
    </border>
    <border>
      <left/>
      <right style="thin">
        <color theme="9" tint="0.39991454817346722"/>
      </right>
      <top/>
      <bottom style="thin">
        <color theme="9" tint="0.39991454817346722"/>
      </bottom>
      <diagonal/>
    </border>
    <border>
      <left style="thin">
        <color theme="9" tint="0.39994506668294322"/>
      </left>
      <right/>
      <top/>
      <bottom style="thin">
        <color theme="9" tint="0.39991454817346722"/>
      </bottom>
      <diagonal/>
    </border>
    <border>
      <left style="medium">
        <color auto="1"/>
      </left>
      <right style="medium">
        <color theme="0"/>
      </right>
      <top style="medium">
        <color auto="1"/>
      </top>
      <bottom style="medium">
        <color theme="0"/>
      </bottom>
      <diagonal/>
    </border>
    <border>
      <left style="medium">
        <color theme="0"/>
      </left>
      <right/>
      <top style="medium">
        <color auto="1"/>
      </top>
      <bottom style="medium">
        <color theme="0"/>
      </bottom>
      <diagonal/>
    </border>
    <border>
      <left style="medium">
        <color theme="0"/>
      </left>
      <right/>
      <top style="medium">
        <color auto="1"/>
      </top>
      <bottom/>
      <diagonal/>
    </border>
    <border>
      <left/>
      <right style="thin">
        <color theme="0"/>
      </right>
      <top style="thin">
        <color theme="0"/>
      </top>
      <bottom style="thin">
        <color theme="0"/>
      </bottom>
      <diagonal/>
    </border>
    <border>
      <left style="thin">
        <color theme="0"/>
      </left>
      <right style="thin">
        <color theme="0"/>
      </right>
      <top style="thin">
        <color theme="0"/>
      </top>
      <bottom style="thin">
        <color theme="0"/>
      </bottom>
      <diagonal/>
    </border>
    <border>
      <left style="thin">
        <color theme="0"/>
      </left>
      <right/>
      <top style="thin">
        <color theme="0"/>
      </top>
      <bottom style="thin">
        <color theme="0"/>
      </bottom>
      <diagonal/>
    </border>
    <border>
      <left style="medium">
        <color theme="0"/>
      </left>
      <right/>
      <top style="medium">
        <color auto="1"/>
      </top>
      <bottom style="medium">
        <color auto="1"/>
      </bottom>
      <diagonal/>
    </border>
    <border>
      <left style="medium">
        <color theme="0"/>
      </left>
      <right/>
      <top/>
      <bottom style="medium">
        <color theme="0"/>
      </bottom>
      <diagonal/>
    </border>
    <border>
      <left style="medium">
        <color theme="0"/>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medium">
        <color auto="1"/>
      </right>
      <top style="thin">
        <color rgb="FF000000"/>
      </top>
      <bottom style="thin">
        <color rgb="FF000000"/>
      </bottom>
      <diagonal/>
    </border>
    <border>
      <left style="thin">
        <color rgb="FF000000"/>
      </left>
      <right style="thin">
        <color rgb="FF000000"/>
      </right>
      <top style="thin">
        <color rgb="FF000000"/>
      </top>
      <bottom style="medium">
        <color auto="1"/>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medium">
        <color auto="1"/>
      </left>
      <right style="thin">
        <color rgb="FF000000"/>
      </right>
      <top style="thin">
        <color rgb="FF000000"/>
      </top>
      <bottom/>
      <diagonal/>
    </border>
    <border>
      <left style="medium">
        <color auto="1"/>
      </left>
      <right style="thin">
        <color rgb="FF000000"/>
      </right>
      <top/>
      <bottom style="thin">
        <color rgb="FF000000"/>
      </bottom>
      <diagonal/>
    </border>
    <border>
      <left style="medium">
        <color auto="1"/>
      </left>
      <right style="thin">
        <color rgb="FF000000"/>
      </right>
      <top/>
      <bottom style="medium">
        <color auto="1"/>
      </bottom>
      <diagonal/>
    </border>
    <border>
      <left style="thin">
        <color rgb="FF000000"/>
      </left>
      <right style="thin">
        <color rgb="FF000000"/>
      </right>
      <top/>
      <bottom style="medium">
        <color auto="1"/>
      </bottom>
      <diagonal/>
    </border>
    <border>
      <left style="medium">
        <color auto="1"/>
      </left>
      <right style="thin">
        <color rgb="FF000000"/>
      </right>
      <top style="medium">
        <color auto="1"/>
      </top>
      <bottom/>
      <diagonal/>
    </border>
    <border>
      <left style="thin">
        <color rgb="FF000000"/>
      </left>
      <right style="thin">
        <color rgb="FF000000"/>
      </right>
      <top style="medium">
        <color auto="1"/>
      </top>
      <bottom/>
      <diagonal/>
    </border>
    <border>
      <left style="thin">
        <color rgb="FF000000"/>
      </left>
      <right/>
      <top style="medium">
        <color auto="1"/>
      </top>
      <bottom style="thin">
        <color rgb="FF000000"/>
      </bottom>
      <diagonal/>
    </border>
    <border>
      <left/>
      <right/>
      <top style="medium">
        <color auto="1"/>
      </top>
      <bottom style="thin">
        <color rgb="FF000000"/>
      </bottom>
      <diagonal/>
    </border>
    <border>
      <left/>
      <right style="medium">
        <color auto="1"/>
      </right>
      <top style="medium">
        <color auto="1"/>
      </top>
      <bottom style="thin">
        <color rgb="FF000000"/>
      </bottom>
      <diagonal/>
    </border>
    <border>
      <left style="thin">
        <color auto="1"/>
      </left>
      <right/>
      <top/>
      <bottom style="medium">
        <color rgb="FF000000"/>
      </bottom>
      <diagonal/>
    </border>
    <border>
      <left/>
      <right/>
      <top/>
      <bottom style="medium">
        <color rgb="FF000000"/>
      </bottom>
      <diagonal/>
    </border>
    <border>
      <left/>
      <right style="thin">
        <color auto="1"/>
      </right>
      <top/>
      <bottom style="medium">
        <color rgb="FF000000"/>
      </bottom>
      <diagonal/>
    </border>
    <border>
      <left/>
      <right/>
      <top style="thin">
        <color rgb="FF000000"/>
      </top>
      <bottom/>
      <diagonal/>
    </border>
    <border>
      <left/>
      <right style="thin">
        <color auto="1"/>
      </right>
      <top style="medium">
        <color auto="1"/>
      </top>
      <bottom/>
      <diagonal/>
    </border>
  </borders>
  <cellStyleXfs count="37">
    <xf numFmtId="0" fontId="0" fillId="0" borderId="0"/>
    <xf numFmtId="0" fontId="30" fillId="3" borderId="72" applyNumberFormat="0" applyAlignment="0" applyProtection="0"/>
    <xf numFmtId="49" fontId="32" fillId="0" borderId="0" applyFill="0" applyBorder="0" applyProtection="0">
      <alignment horizontal="left" vertical="center"/>
    </xf>
    <xf numFmtId="0" fontId="33" fillId="4" borderId="73" applyNumberFormat="0" applyFont="0" applyFill="0" applyAlignment="0"/>
    <xf numFmtId="0" fontId="33" fillId="4" borderId="74" applyNumberFormat="0" applyFont="0" applyFill="0" applyAlignment="0"/>
    <xf numFmtId="0" fontId="35" fillId="5" borderId="0" applyNumberFormat="0" applyProtection="0">
      <alignment horizontal="left" wrapText="1" indent="4"/>
    </xf>
    <xf numFmtId="0" fontId="36" fillId="5" borderId="0" applyNumberFormat="0" applyProtection="0">
      <alignment horizontal="left" wrapText="1" indent="4"/>
    </xf>
    <xf numFmtId="0" fontId="34" fillId="6" borderId="0" applyNumberFormat="0" applyBorder="0" applyAlignment="0" applyProtection="0"/>
    <xf numFmtId="16" fontId="37" fillId="0" borderId="0" applyFont="0" applyFill="0" applyBorder="0" applyAlignment="0">
      <alignment horizontal="left"/>
    </xf>
    <xf numFmtId="0" fontId="38" fillId="7" borderId="0" applyNumberFormat="0" applyBorder="0" applyProtection="0">
      <alignment horizontal="center" vertical="center"/>
    </xf>
    <xf numFmtId="169" fontId="30" fillId="0" borderId="0" applyFont="0" applyFill="0" applyBorder="0" applyAlignment="0" applyProtection="0"/>
    <xf numFmtId="168" fontId="30" fillId="0" borderId="0" applyFont="0" applyFill="0" applyBorder="0" applyAlignment="0" applyProtection="0"/>
    <xf numFmtId="41" fontId="30" fillId="0" borderId="0" applyFont="0" applyFill="0" applyBorder="0" applyAlignment="0" applyProtection="0"/>
    <xf numFmtId="41" fontId="30" fillId="0" borderId="0" applyFont="0" applyFill="0" applyBorder="0" applyAlignment="0" applyProtection="0"/>
    <xf numFmtId="41" fontId="30" fillId="0" borderId="0" applyFont="0" applyFill="0" applyBorder="0" applyAlignment="0" applyProtection="0"/>
    <xf numFmtId="41" fontId="30" fillId="0" borderId="0" applyFont="0" applyFill="0" applyBorder="0" applyAlignment="0" applyProtection="0"/>
    <xf numFmtId="169" fontId="5" fillId="0" borderId="0" applyFont="0" applyFill="0" applyBorder="0" applyAlignment="0" applyProtection="0"/>
    <xf numFmtId="167" fontId="30" fillId="0" borderId="0" applyFont="0" applyFill="0" applyBorder="0" applyAlignment="0" applyProtection="0"/>
    <xf numFmtId="166" fontId="30" fillId="0" borderId="0" applyFont="0" applyFill="0" applyBorder="0" applyAlignment="0" applyProtection="0"/>
    <xf numFmtId="164" fontId="30" fillId="0" borderId="0" applyFont="0" applyFill="0" applyBorder="0" applyAlignment="0" applyProtection="0"/>
    <xf numFmtId="171" fontId="2" fillId="0" borderId="0" applyFont="0" applyFill="0" applyBorder="0" applyAlignment="0" applyProtection="0"/>
    <xf numFmtId="170" fontId="30" fillId="0" borderId="0" applyFont="0" applyFill="0" applyBorder="0" applyAlignment="0" applyProtection="0"/>
    <xf numFmtId="164" fontId="1" fillId="0" borderId="0" applyFont="0" applyFill="0" applyBorder="0" applyAlignment="0" applyProtection="0"/>
    <xf numFmtId="165" fontId="33" fillId="0" borderId="0" applyFont="0" applyFill="0" applyBorder="0" applyAlignment="0" applyProtection="0"/>
    <xf numFmtId="0" fontId="39" fillId="8" borderId="0" applyNumberFormat="0" applyBorder="0" applyAlignment="0" applyProtection="0"/>
    <xf numFmtId="0" fontId="2" fillId="0" borderId="0"/>
    <xf numFmtId="0" fontId="2" fillId="0" borderId="0"/>
    <xf numFmtId="0" fontId="33" fillId="0" borderId="0"/>
    <xf numFmtId="0" fontId="6" fillId="0" borderId="0"/>
    <xf numFmtId="0" fontId="5" fillId="0" borderId="0"/>
    <xf numFmtId="0" fontId="2" fillId="0" borderId="0"/>
    <xf numFmtId="9" fontId="30" fillId="0" borderId="0" applyFont="0" applyFill="0" applyBorder="0" applyAlignment="0" applyProtection="0"/>
    <xf numFmtId="9" fontId="5" fillId="0" borderId="0" applyFont="0" applyFill="0" applyBorder="0" applyAlignment="0" applyProtection="0"/>
    <xf numFmtId="9" fontId="2" fillId="0" borderId="0" applyFont="0" applyFill="0" applyBorder="0" applyAlignment="0" applyProtection="0"/>
    <xf numFmtId="0" fontId="36" fillId="0" borderId="0" applyFill="0" applyBorder="0">
      <alignment wrapText="1"/>
    </xf>
    <xf numFmtId="0" fontId="31" fillId="0" borderId="0"/>
    <xf numFmtId="0" fontId="40" fillId="5" borderId="0" applyNumberFormat="0" applyBorder="0" applyProtection="0">
      <alignment horizontal="left" indent="1"/>
    </xf>
  </cellStyleXfs>
  <cellXfs count="1043">
    <xf numFmtId="0" fontId="0" fillId="0" borderId="0" xfId="0"/>
    <xf numFmtId="9" fontId="4" fillId="9" borderId="1" xfId="31" applyFont="1" applyFill="1" applyBorder="1" applyAlignment="1" applyProtection="1">
      <alignment horizontal="center" vertical="center" wrapText="1"/>
      <protection locked="0"/>
    </xf>
    <xf numFmtId="9" fontId="3" fillId="0" borderId="2" xfId="25" applyNumberFormat="1" applyFont="1" applyBorder="1" applyAlignment="1">
      <alignment horizontal="center" vertical="center" wrapText="1"/>
    </xf>
    <xf numFmtId="176" fontId="30" fillId="0" borderId="0" xfId="17" applyNumberFormat="1" applyFont="1" applyBorder="1" applyAlignment="1">
      <alignment vertical="center"/>
    </xf>
    <xf numFmtId="0" fontId="0" fillId="0" borderId="3" xfId="0" applyBorder="1" applyAlignment="1">
      <alignment horizontal="center"/>
    </xf>
    <xf numFmtId="0" fontId="0" fillId="10" borderId="1" xfId="0" applyFill="1" applyBorder="1"/>
    <xf numFmtId="9" fontId="4" fillId="10" borderId="1" xfId="31" applyFont="1" applyFill="1" applyBorder="1" applyAlignment="1" applyProtection="1">
      <alignment horizontal="center" vertical="center" wrapText="1"/>
      <protection locked="0"/>
    </xf>
    <xf numFmtId="9" fontId="3" fillId="10" borderId="2" xfId="25" applyNumberFormat="1" applyFont="1" applyFill="1" applyBorder="1" applyAlignment="1">
      <alignment horizontal="center" vertical="center" wrapText="1"/>
    </xf>
    <xf numFmtId="0" fontId="0" fillId="11" borderId="1" xfId="0" applyFill="1" applyBorder="1"/>
    <xf numFmtId="0" fontId="0" fillId="12" borderId="1" xfId="0" applyFill="1" applyBorder="1"/>
    <xf numFmtId="9" fontId="4" fillId="12" borderId="1" xfId="31" applyFont="1" applyFill="1" applyBorder="1" applyAlignment="1" applyProtection="1">
      <alignment horizontal="center" vertical="center" wrapText="1"/>
      <protection locked="0"/>
    </xf>
    <xf numFmtId="9" fontId="3" fillId="12" borderId="2" xfId="25" applyNumberFormat="1" applyFont="1" applyFill="1" applyBorder="1" applyAlignment="1">
      <alignment horizontal="center" vertical="center" wrapText="1"/>
    </xf>
    <xf numFmtId="0" fontId="0" fillId="13" borderId="1" xfId="0" applyFill="1" applyBorder="1"/>
    <xf numFmtId="0" fontId="0" fillId="14" borderId="1" xfId="0" applyFill="1" applyBorder="1"/>
    <xf numFmtId="0" fontId="0" fillId="15" borderId="1" xfId="0" applyFill="1" applyBorder="1"/>
    <xf numFmtId="0" fontId="0" fillId="9" borderId="1" xfId="0" applyFill="1" applyBorder="1"/>
    <xf numFmtId="0" fontId="0" fillId="16" borderId="1" xfId="0" applyFill="1" applyBorder="1"/>
    <xf numFmtId="0" fontId="0" fillId="15" borderId="4" xfId="0" applyFill="1" applyBorder="1"/>
    <xf numFmtId="0" fontId="0" fillId="17" borderId="1" xfId="0" applyFill="1" applyBorder="1"/>
    <xf numFmtId="0" fontId="0" fillId="12" borderId="2" xfId="0" applyFill="1" applyBorder="1"/>
    <xf numFmtId="0" fontId="0" fillId="15" borderId="2" xfId="0" applyFill="1" applyBorder="1"/>
    <xf numFmtId="0" fontId="0" fillId="9" borderId="2" xfId="0" applyFill="1" applyBorder="1"/>
    <xf numFmtId="0" fontId="0" fillId="17" borderId="2" xfId="0" applyFill="1" applyBorder="1"/>
    <xf numFmtId="0" fontId="0" fillId="14" borderId="2" xfId="0" applyFill="1" applyBorder="1"/>
    <xf numFmtId="0" fontId="0" fillId="10" borderId="5" xfId="0" applyFill="1" applyBorder="1"/>
    <xf numFmtId="0" fontId="0" fillId="12" borderId="5" xfId="0" applyFill="1" applyBorder="1"/>
    <xf numFmtId="0" fontId="0" fillId="15" borderId="5" xfId="0" applyFill="1" applyBorder="1"/>
    <xf numFmtId="0" fontId="0" fillId="9" borderId="5" xfId="0" applyFill="1" applyBorder="1"/>
    <xf numFmtId="0" fontId="0" fillId="17" borderId="5" xfId="0" applyFill="1" applyBorder="1"/>
    <xf numFmtId="0" fontId="0" fillId="14" borderId="5" xfId="0" applyFill="1" applyBorder="1"/>
    <xf numFmtId="0" fontId="0" fillId="0" borderId="6" xfId="0" applyBorder="1" applyAlignment="1">
      <alignment horizontal="center"/>
    </xf>
    <xf numFmtId="0" fontId="0" fillId="0" borderId="7" xfId="0" applyBorder="1" applyAlignment="1">
      <alignment horizontal="center"/>
    </xf>
    <xf numFmtId="9" fontId="4" fillId="10" borderId="8" xfId="31" applyFont="1" applyFill="1" applyBorder="1" applyAlignment="1" applyProtection="1">
      <alignment horizontal="center" vertical="center" wrapText="1"/>
      <protection locked="0"/>
    </xf>
    <xf numFmtId="9" fontId="3" fillId="10" borderId="9" xfId="25" applyNumberFormat="1" applyFont="1" applyFill="1" applyBorder="1" applyAlignment="1">
      <alignment horizontal="center" vertical="center" wrapText="1"/>
    </xf>
    <xf numFmtId="9" fontId="3" fillId="12" borderId="8" xfId="25" applyNumberFormat="1" applyFont="1" applyFill="1" applyBorder="1" applyAlignment="1">
      <alignment horizontal="center" vertical="center" wrapText="1"/>
    </xf>
    <xf numFmtId="0" fontId="0" fillId="12" borderId="9" xfId="0" applyFill="1" applyBorder="1"/>
    <xf numFmtId="0" fontId="0" fillId="12" borderId="8" xfId="0" applyFill="1" applyBorder="1"/>
    <xf numFmtId="0" fontId="0" fillId="15" borderId="8" xfId="0" applyFill="1" applyBorder="1"/>
    <xf numFmtId="0" fontId="0" fillId="15" borderId="9" xfId="0" applyFill="1" applyBorder="1"/>
    <xf numFmtId="0" fontId="0" fillId="9" borderId="8" xfId="0" applyFill="1" applyBorder="1"/>
    <xf numFmtId="0" fontId="0" fillId="9" borderId="9" xfId="0" applyFill="1" applyBorder="1"/>
    <xf numFmtId="0" fontId="0" fillId="17" borderId="8" xfId="0" applyFill="1" applyBorder="1"/>
    <xf numFmtId="0" fontId="0" fillId="17" borderId="9" xfId="0" applyFill="1" applyBorder="1"/>
    <xf numFmtId="0" fontId="0" fillId="14" borderId="8" xfId="0" applyFill="1" applyBorder="1"/>
    <xf numFmtId="0" fontId="0" fillId="14" borderId="9" xfId="0" applyFill="1" applyBorder="1"/>
    <xf numFmtId="0" fontId="0" fillId="15" borderId="10" xfId="0" applyFill="1" applyBorder="1"/>
    <xf numFmtId="0" fontId="0" fillId="18" borderId="4" xfId="0" applyFill="1" applyBorder="1"/>
    <xf numFmtId="0" fontId="0" fillId="18" borderId="1" xfId="0" applyFill="1" applyBorder="1"/>
    <xf numFmtId="0" fontId="0" fillId="18" borderId="10" xfId="0" applyFill="1" applyBorder="1"/>
    <xf numFmtId="9" fontId="41" fillId="0" borderId="0" xfId="31" applyFont="1" applyBorder="1" applyAlignment="1">
      <alignment horizontal="center" vertical="center"/>
    </xf>
    <xf numFmtId="0" fontId="0" fillId="0" borderId="0" xfId="0" applyAlignment="1">
      <alignment vertical="center"/>
    </xf>
    <xf numFmtId="0" fontId="12" fillId="19" borderId="75" xfId="25" applyFont="1" applyFill="1" applyBorder="1" applyAlignment="1">
      <alignment vertical="center" wrapText="1"/>
    </xf>
    <xf numFmtId="0" fontId="12" fillId="19" borderId="76" xfId="25" applyFont="1" applyFill="1" applyBorder="1" applyAlignment="1">
      <alignment vertical="center" wrapText="1"/>
    </xf>
    <xf numFmtId="0" fontId="12" fillId="19" borderId="77" xfId="25" applyFont="1" applyFill="1" applyBorder="1" applyAlignment="1">
      <alignment vertical="center" wrapText="1"/>
    </xf>
    <xf numFmtId="0" fontId="12" fillId="19" borderId="0" xfId="25" applyFont="1" applyFill="1" applyAlignment="1">
      <alignment vertical="center" wrapText="1"/>
    </xf>
    <xf numFmtId="0" fontId="14" fillId="19" borderId="0" xfId="25" applyFont="1" applyFill="1" applyAlignment="1">
      <alignment vertical="center" wrapText="1"/>
    </xf>
    <xf numFmtId="0" fontId="12" fillId="19" borderId="11" xfId="25" applyFont="1" applyFill="1" applyBorder="1" applyAlignment="1">
      <alignment vertical="center" wrapText="1"/>
    </xf>
    <xf numFmtId="0" fontId="11" fillId="19" borderId="11" xfId="25" applyFont="1" applyFill="1" applyBorder="1" applyAlignment="1">
      <alignment vertical="center" wrapText="1"/>
    </xf>
    <xf numFmtId="0" fontId="11" fillId="19" borderId="12" xfId="25" applyFont="1" applyFill="1" applyBorder="1" applyAlignment="1">
      <alignment vertical="center" wrapText="1"/>
    </xf>
    <xf numFmtId="0" fontId="12" fillId="19" borderId="13" xfId="25" applyFont="1" applyFill="1" applyBorder="1" applyAlignment="1">
      <alignment vertical="center" wrapText="1"/>
    </xf>
    <xf numFmtId="0" fontId="11" fillId="19" borderId="0" xfId="25" applyFont="1" applyFill="1" applyAlignment="1">
      <alignment vertical="center" wrapText="1"/>
    </xf>
    <xf numFmtId="0" fontId="11" fillId="19" borderId="14" xfId="25" applyFont="1" applyFill="1" applyBorder="1" applyAlignment="1">
      <alignment vertical="center" wrapText="1"/>
    </xf>
    <xf numFmtId="0" fontId="0" fillId="0" borderId="78" xfId="0" applyBorder="1" applyAlignment="1">
      <alignment vertical="center"/>
    </xf>
    <xf numFmtId="0" fontId="0" fillId="0" borderId="79" xfId="0" applyBorder="1" applyAlignment="1">
      <alignment vertical="center"/>
    </xf>
    <xf numFmtId="0" fontId="0" fillId="0" borderId="80" xfId="0" applyBorder="1" applyAlignment="1">
      <alignment vertical="center"/>
    </xf>
    <xf numFmtId="0" fontId="12" fillId="0" borderId="0" xfId="25" applyFont="1" applyAlignment="1">
      <alignment horizontal="center" vertical="center" wrapText="1"/>
    </xf>
    <xf numFmtId="0" fontId="12" fillId="0" borderId="14" xfId="25" applyFont="1" applyBorder="1" applyAlignment="1">
      <alignment horizontal="center" vertical="center" wrapText="1"/>
    </xf>
    <xf numFmtId="0" fontId="12" fillId="19" borderId="13" xfId="25" applyFont="1" applyFill="1" applyBorder="1" applyAlignment="1">
      <alignment horizontal="center" vertical="center" wrapText="1"/>
    </xf>
    <xf numFmtId="0" fontId="12" fillId="19" borderId="81" xfId="25" applyFont="1" applyFill="1" applyBorder="1" applyAlignment="1">
      <alignment horizontal="center" vertical="center" wrapText="1"/>
    </xf>
    <xf numFmtId="0" fontId="15" fillId="19" borderId="0" xfId="25" applyFont="1" applyFill="1" applyAlignment="1">
      <alignment horizontal="center" vertical="center" wrapText="1"/>
    </xf>
    <xf numFmtId="0" fontId="12" fillId="19" borderId="0" xfId="25" applyFont="1" applyFill="1" applyAlignment="1">
      <alignment horizontal="center" vertical="center" wrapText="1"/>
    </xf>
    <xf numFmtId="0" fontId="15" fillId="0" borderId="0" xfId="25" applyFont="1" applyAlignment="1">
      <alignment horizontal="center" vertical="center" wrapText="1"/>
    </xf>
    <xf numFmtId="0" fontId="0" fillId="0" borderId="0" xfId="0" applyAlignment="1">
      <alignment horizontal="center" vertical="center" wrapText="1"/>
    </xf>
    <xf numFmtId="0" fontId="11" fillId="19" borderId="15" xfId="25" applyFont="1" applyFill="1" applyBorder="1" applyAlignment="1">
      <alignment vertical="center" wrapText="1"/>
    </xf>
    <xf numFmtId="0" fontId="11" fillId="19" borderId="16" xfId="25" applyFont="1" applyFill="1" applyBorder="1" applyAlignment="1">
      <alignment vertical="center" wrapText="1"/>
    </xf>
    <xf numFmtId="9" fontId="12" fillId="0" borderId="17" xfId="31" applyFont="1" applyFill="1" applyBorder="1" applyAlignment="1" applyProtection="1">
      <alignment horizontal="center" vertical="center" wrapText="1"/>
    </xf>
    <xf numFmtId="0" fontId="16" fillId="2" borderId="0" xfId="25" applyFont="1" applyFill="1" applyAlignment="1">
      <alignment vertical="center" wrapText="1"/>
    </xf>
    <xf numFmtId="0" fontId="42" fillId="19" borderId="13" xfId="0" applyFont="1" applyFill="1" applyBorder="1" applyAlignment="1">
      <alignment vertical="center"/>
    </xf>
    <xf numFmtId="0" fontId="42" fillId="19" borderId="0" xfId="0" applyFont="1" applyFill="1" applyAlignment="1">
      <alignment vertical="center"/>
    </xf>
    <xf numFmtId="0" fontId="42" fillId="19" borderId="14" xfId="0" applyFont="1" applyFill="1" applyBorder="1" applyAlignment="1">
      <alignment vertical="center"/>
    </xf>
    <xf numFmtId="0" fontId="12" fillId="19" borderId="0" xfId="25" applyFont="1" applyFill="1" applyAlignment="1">
      <alignment horizontal="left" vertical="center" wrapText="1"/>
    </xf>
    <xf numFmtId="0" fontId="0" fillId="19" borderId="0" xfId="0" applyFill="1" applyAlignment="1">
      <alignment vertical="center"/>
    </xf>
    <xf numFmtId="0" fontId="11" fillId="19" borderId="13" xfId="25" applyFont="1" applyFill="1" applyBorder="1" applyAlignment="1">
      <alignment vertical="center" wrapText="1"/>
    </xf>
    <xf numFmtId="176" fontId="0" fillId="0" borderId="0" xfId="0" applyNumberFormat="1" applyAlignment="1">
      <alignment vertical="center"/>
    </xf>
    <xf numFmtId="175" fontId="0" fillId="19" borderId="0" xfId="0" applyNumberFormat="1" applyFill="1" applyAlignment="1">
      <alignment vertical="center"/>
    </xf>
    <xf numFmtId="0" fontId="11" fillId="0" borderId="18" xfId="25" applyFont="1" applyBorder="1" applyAlignment="1">
      <alignment horizontal="left" vertical="center" wrapText="1"/>
    </xf>
    <xf numFmtId="168" fontId="12" fillId="0" borderId="10" xfId="11" applyFont="1" applyFill="1" applyBorder="1" applyAlignment="1" applyProtection="1">
      <alignment horizontal="center" vertical="center" wrapText="1"/>
    </xf>
    <xf numFmtId="166" fontId="30" fillId="0" borderId="0" xfId="18" applyFont="1" applyAlignment="1">
      <alignment vertical="center"/>
    </xf>
    <xf numFmtId="0" fontId="12" fillId="20" borderId="1" xfId="25" applyFont="1" applyFill="1" applyBorder="1" applyAlignment="1">
      <alignment horizontal="center" vertical="center" wrapText="1"/>
    </xf>
    <xf numFmtId="0" fontId="12" fillId="0" borderId="10" xfId="25" applyFont="1" applyBorder="1" applyAlignment="1">
      <alignment horizontal="center" vertical="center" wrapText="1"/>
    </xf>
    <xf numFmtId="0" fontId="12" fillId="0" borderId="4" xfId="25" applyFont="1" applyBorder="1" applyAlignment="1">
      <alignment horizontal="left" vertical="center" wrapText="1"/>
    </xf>
    <xf numFmtId="0" fontId="12" fillId="9" borderId="19" xfId="25" applyFont="1" applyFill="1" applyBorder="1" applyAlignment="1">
      <alignment horizontal="left" vertical="center" wrapText="1"/>
    </xf>
    <xf numFmtId="9" fontId="43" fillId="9" borderId="19" xfId="33" applyFont="1" applyFill="1" applyBorder="1" applyAlignment="1" applyProtection="1">
      <alignment vertical="center" wrapText="1"/>
    </xf>
    <xf numFmtId="174" fontId="12" fillId="9" borderId="19" xfId="31" applyNumberFormat="1" applyFont="1" applyFill="1" applyBorder="1" applyAlignment="1" applyProtection="1">
      <alignment vertical="center" wrapText="1"/>
    </xf>
    <xf numFmtId="166" fontId="41" fillId="0" borderId="0" xfId="18" applyFont="1" applyAlignment="1">
      <alignment vertical="center"/>
    </xf>
    <xf numFmtId="9" fontId="11" fillId="0" borderId="4" xfId="32" applyFont="1" applyFill="1" applyBorder="1" applyAlignment="1" applyProtection="1">
      <alignment horizontal="center" vertical="center" wrapText="1"/>
      <protection locked="0"/>
    </xf>
    <xf numFmtId="9" fontId="12" fillId="0" borderId="20" xfId="25" applyNumberFormat="1" applyFont="1" applyBorder="1" applyAlignment="1">
      <alignment horizontal="center" vertical="center" wrapText="1"/>
    </xf>
    <xf numFmtId="9" fontId="12" fillId="0" borderId="0" xfId="25" applyNumberFormat="1" applyFont="1" applyAlignment="1">
      <alignment vertical="center" wrapText="1"/>
    </xf>
    <xf numFmtId="0" fontId="41" fillId="0" borderId="0" xfId="0" applyFont="1" applyAlignment="1">
      <alignment vertical="center"/>
    </xf>
    <xf numFmtId="0" fontId="12" fillId="9" borderId="1" xfId="25" applyFont="1" applyFill="1" applyBorder="1" applyAlignment="1">
      <alignment horizontal="left" vertical="center" wrapText="1"/>
    </xf>
    <xf numFmtId="9" fontId="11" fillId="9" borderId="1" xfId="31" applyFont="1" applyFill="1" applyBorder="1" applyAlignment="1" applyProtection="1">
      <alignment horizontal="center" vertical="center" wrapText="1"/>
      <protection locked="0"/>
    </xf>
    <xf numFmtId="9" fontId="12" fillId="0" borderId="2" xfId="25" applyNumberFormat="1" applyFont="1" applyBorder="1" applyAlignment="1">
      <alignment horizontal="center" vertical="center" wrapText="1"/>
    </xf>
    <xf numFmtId="0" fontId="12" fillId="0" borderId="1" xfId="25" applyFont="1" applyBorder="1" applyAlignment="1">
      <alignment horizontal="left" vertical="center" wrapText="1"/>
    </xf>
    <xf numFmtId="9" fontId="11" fillId="0" borderId="1" xfId="32" applyFont="1" applyFill="1" applyBorder="1" applyAlignment="1" applyProtection="1">
      <alignment horizontal="center" vertical="center" wrapText="1"/>
      <protection locked="0"/>
    </xf>
    <xf numFmtId="9" fontId="11" fillId="9" borderId="2" xfId="31" applyFont="1" applyFill="1" applyBorder="1" applyAlignment="1" applyProtection="1">
      <alignment horizontal="center" vertical="center" wrapText="1"/>
      <protection locked="0"/>
    </xf>
    <xf numFmtId="9" fontId="11" fillId="9" borderId="19" xfId="31" applyFont="1" applyFill="1" applyBorder="1" applyAlignment="1" applyProtection="1">
      <alignment horizontal="center" vertical="center" wrapText="1"/>
      <protection locked="0"/>
    </xf>
    <xf numFmtId="9" fontId="11" fillId="9" borderId="21" xfId="31" applyFont="1" applyFill="1" applyBorder="1" applyAlignment="1" applyProtection="1">
      <alignment horizontal="center" vertical="center" wrapText="1"/>
      <protection locked="0"/>
    </xf>
    <xf numFmtId="9" fontId="12" fillId="0" borderId="21" xfId="25" applyNumberFormat="1" applyFont="1" applyBorder="1" applyAlignment="1">
      <alignment horizontal="center" vertical="center" wrapText="1"/>
    </xf>
    <xf numFmtId="0" fontId="42" fillId="0" borderId="0" xfId="0" applyFont="1" applyAlignment="1">
      <alignment vertical="center"/>
    </xf>
    <xf numFmtId="0" fontId="42" fillId="0" borderId="1" xfId="0" applyFont="1" applyBorder="1" applyAlignment="1">
      <alignment horizontal="center" vertical="center" wrapText="1"/>
    </xf>
    <xf numFmtId="0" fontId="42" fillId="0" borderId="1" xfId="0" applyFont="1" applyBorder="1" applyAlignment="1">
      <alignment vertical="center"/>
    </xf>
    <xf numFmtId="0" fontId="42" fillId="0" borderId="1" xfId="0" applyFont="1" applyBorder="1" applyAlignment="1">
      <alignment horizontal="center" vertical="center"/>
    </xf>
    <xf numFmtId="0" fontId="44" fillId="9" borderId="1" xfId="0" applyFont="1" applyFill="1" applyBorder="1" applyAlignment="1">
      <alignment horizontal="center" vertical="center"/>
    </xf>
    <xf numFmtId="0" fontId="42" fillId="0" borderId="0" xfId="0" applyFont="1" applyAlignment="1">
      <alignment horizontal="center" vertical="center"/>
    </xf>
    <xf numFmtId="0" fontId="45" fillId="0" borderId="1" xfId="0" applyFont="1" applyBorder="1" applyAlignment="1">
      <alignment vertical="center"/>
    </xf>
    <xf numFmtId="0" fontId="44" fillId="9" borderId="1" xfId="0" applyFont="1" applyFill="1" applyBorder="1" applyAlignment="1">
      <alignment horizontal="left" vertical="center"/>
    </xf>
    <xf numFmtId="0" fontId="42" fillId="0" borderId="1" xfId="0" applyFont="1" applyBorder="1" applyAlignment="1">
      <alignment horizontal="left" vertical="center"/>
    </xf>
    <xf numFmtId="0" fontId="42" fillId="0" borderId="2" xfId="0" applyFont="1" applyBorder="1" applyAlignment="1">
      <alignment horizontal="left" vertical="center"/>
    </xf>
    <xf numFmtId="41" fontId="42" fillId="0" borderId="1" xfId="12" applyFont="1" applyFill="1" applyBorder="1" applyAlignment="1">
      <alignment vertical="center"/>
    </xf>
    <xf numFmtId="0" fontId="45" fillId="0" borderId="0" xfId="0" applyFont="1" applyAlignment="1">
      <alignment vertical="center"/>
    </xf>
    <xf numFmtId="0" fontId="46" fillId="0" borderId="0" xfId="0" applyFont="1" applyAlignment="1">
      <alignment horizontal="left" vertical="center"/>
    </xf>
    <xf numFmtId="0" fontId="46" fillId="9" borderId="1" xfId="0" applyFont="1" applyFill="1" applyBorder="1" applyAlignment="1">
      <alignment vertical="center"/>
    </xf>
    <xf numFmtId="41" fontId="42" fillId="0" borderId="2" xfId="12" applyFont="1" applyFill="1" applyBorder="1" applyAlignment="1">
      <alignment vertical="center"/>
    </xf>
    <xf numFmtId="49" fontId="42" fillId="0" borderId="2" xfId="12" applyNumberFormat="1" applyFont="1" applyFill="1" applyBorder="1" applyAlignment="1">
      <alignment vertical="center"/>
    </xf>
    <xf numFmtId="49" fontId="42" fillId="0" borderId="1" xfId="12" applyNumberFormat="1" applyFont="1" applyFill="1" applyBorder="1" applyAlignment="1">
      <alignment vertical="center"/>
    </xf>
    <xf numFmtId="0" fontId="42" fillId="0" borderId="0" xfId="0" applyFont="1" applyAlignment="1">
      <alignment horizontal="left" vertical="center"/>
    </xf>
    <xf numFmtId="0" fontId="46" fillId="21" borderId="1" xfId="0" applyFont="1" applyFill="1" applyBorder="1" applyAlignment="1">
      <alignment horizontal="center" vertical="center"/>
    </xf>
    <xf numFmtId="0" fontId="42" fillId="0" borderId="4" xfId="0" applyFont="1" applyBorder="1" applyAlignment="1">
      <alignment horizontal="left" vertical="center" wrapText="1"/>
    </xf>
    <xf numFmtId="0" fontId="42" fillId="0" borderId="1" xfId="0" applyFont="1" applyBorder="1" applyAlignment="1">
      <alignment horizontal="left" vertical="center" wrapText="1"/>
    </xf>
    <xf numFmtId="0" fontId="42" fillId="0" borderId="1" xfId="0" applyFont="1" applyBorder="1" applyAlignment="1">
      <alignment vertical="center" wrapText="1"/>
    </xf>
    <xf numFmtId="0" fontId="46" fillId="0" borderId="1" xfId="0" applyFont="1" applyBorder="1" applyAlignment="1">
      <alignment vertical="center" wrapText="1"/>
    </xf>
    <xf numFmtId="0" fontId="11" fillId="19" borderId="1" xfId="0" applyFont="1" applyFill="1" applyBorder="1" applyAlignment="1">
      <alignment horizontal="left" vertical="center" wrapText="1"/>
    </xf>
    <xf numFmtId="0" fontId="46" fillId="0" borderId="10" xfId="0" applyFont="1" applyBorder="1" applyAlignment="1">
      <alignment horizontal="left" vertical="center" wrapText="1"/>
    </xf>
    <xf numFmtId="0" fontId="42" fillId="0" borderId="10" xfId="0" applyFont="1" applyBorder="1" applyAlignment="1">
      <alignment horizontal="left" vertical="center"/>
    </xf>
    <xf numFmtId="0" fontId="12" fillId="19" borderId="2" xfId="25" applyFont="1" applyFill="1" applyBorder="1" applyAlignment="1">
      <alignment horizontal="center" vertical="center" wrapText="1"/>
    </xf>
    <xf numFmtId="0" fontId="12" fillId="19" borderId="5" xfId="25" applyFont="1" applyFill="1" applyBorder="1" applyAlignment="1">
      <alignment horizontal="center" vertical="center" wrapText="1"/>
    </xf>
    <xf numFmtId="0" fontId="12" fillId="0" borderId="2" xfId="25" applyFont="1" applyBorder="1" applyAlignment="1">
      <alignment horizontal="center" vertical="center" wrapText="1"/>
    </xf>
    <xf numFmtId="0" fontId="12" fillId="0" borderId="22" xfId="25" applyFont="1" applyBorder="1" applyAlignment="1">
      <alignment horizontal="center" vertical="center" wrapText="1"/>
    </xf>
    <xf numFmtId="9" fontId="12" fillId="0" borderId="10" xfId="31" applyFont="1" applyFill="1" applyBorder="1" applyAlignment="1" applyProtection="1">
      <alignment horizontal="center" vertical="center" wrapText="1"/>
    </xf>
    <xf numFmtId="9" fontId="12" fillId="9" borderId="19" xfId="31" applyFont="1" applyFill="1" applyBorder="1" applyAlignment="1" applyProtection="1">
      <alignment horizontal="center" vertical="center" wrapText="1"/>
    </xf>
    <xf numFmtId="0" fontId="12" fillId="19" borderId="23" xfId="25" applyFont="1" applyFill="1" applyBorder="1" applyAlignment="1">
      <alignment horizontal="center" vertical="center" wrapText="1"/>
    </xf>
    <xf numFmtId="0" fontId="12" fillId="19" borderId="24" xfId="25" applyFont="1" applyFill="1" applyBorder="1" applyAlignment="1">
      <alignment horizontal="center" vertical="center" wrapText="1"/>
    </xf>
    <xf numFmtId="0" fontId="12" fillId="19" borderId="25" xfId="25" applyFont="1" applyFill="1" applyBorder="1" applyAlignment="1">
      <alignment horizontal="center" vertical="center" wrapText="1"/>
    </xf>
    <xf numFmtId="0" fontId="46" fillId="21" borderId="1" xfId="0" applyFont="1" applyFill="1" applyBorder="1" applyAlignment="1">
      <alignment horizontal="left" vertical="center"/>
    </xf>
    <xf numFmtId="0" fontId="46" fillId="0" borderId="1" xfId="0" applyFont="1" applyBorder="1" applyAlignment="1">
      <alignment horizontal="left" vertical="center"/>
    </xf>
    <xf numFmtId="0" fontId="46" fillId="0" borderId="1" xfId="0" applyFont="1" applyBorder="1" applyAlignment="1">
      <alignment horizontal="left" vertical="center" wrapText="1"/>
    </xf>
    <xf numFmtId="0" fontId="13" fillId="0" borderId="10" xfId="0" applyFont="1" applyBorder="1" applyAlignment="1">
      <alignment horizontal="left" vertical="center" wrapText="1"/>
    </xf>
    <xf numFmtId="0" fontId="46" fillId="0" borderId="1" xfId="0" applyFont="1" applyBorder="1" applyAlignment="1">
      <alignment horizontal="center" vertical="center" wrapText="1"/>
    </xf>
    <xf numFmtId="41" fontId="48" fillId="0" borderId="1" xfId="12" applyFont="1" applyFill="1" applyBorder="1" applyAlignment="1">
      <alignment horizontal="justify" vertical="center" wrapText="1"/>
    </xf>
    <xf numFmtId="0" fontId="12" fillId="0" borderId="10" xfId="0" applyFont="1" applyBorder="1" applyAlignment="1">
      <alignment horizontal="center" vertical="center" wrapText="1"/>
    </xf>
    <xf numFmtId="9" fontId="46" fillId="0" borderId="1" xfId="31" applyFont="1" applyFill="1" applyBorder="1" applyAlignment="1">
      <alignment horizontal="center" vertical="center" wrapText="1"/>
    </xf>
    <xf numFmtId="0" fontId="49" fillId="0" borderId="8" xfId="0" applyFont="1" applyBorder="1" applyAlignment="1">
      <alignment horizontal="center" vertical="center" wrapText="1"/>
    </xf>
    <xf numFmtId="0" fontId="48" fillId="0" borderId="1" xfId="0" applyFont="1" applyBorder="1" applyAlignment="1">
      <alignment horizontal="justify" vertical="center" wrapText="1"/>
    </xf>
    <xf numFmtId="0" fontId="48" fillId="0" borderId="1" xfId="0" applyFont="1" applyBorder="1" applyAlignment="1">
      <alignment horizontal="center" vertical="center" wrapText="1"/>
    </xf>
    <xf numFmtId="4" fontId="48" fillId="0" borderId="1" xfId="0" applyNumberFormat="1" applyFont="1" applyBorder="1" applyAlignment="1">
      <alignment horizontal="center" vertical="center" wrapText="1"/>
    </xf>
    <xf numFmtId="0" fontId="48" fillId="0" borderId="8" xfId="0" applyFont="1" applyBorder="1" applyAlignment="1">
      <alignment horizontal="center" vertical="center"/>
    </xf>
    <xf numFmtId="0" fontId="48" fillId="0" borderId="1" xfId="0" applyFont="1" applyBorder="1" applyAlignment="1">
      <alignment horizontal="center" vertical="center"/>
    </xf>
    <xf numFmtId="0" fontId="49" fillId="0" borderId="1" xfId="0" applyFont="1" applyBorder="1" applyAlignment="1">
      <alignment horizontal="center" vertical="center"/>
    </xf>
    <xf numFmtId="0" fontId="48" fillId="0" borderId="1" xfId="0" applyFont="1" applyBorder="1" applyAlignment="1">
      <alignment vertical="center"/>
    </xf>
    <xf numFmtId="4" fontId="48" fillId="0" borderId="1" xfId="0" applyNumberFormat="1" applyFont="1" applyBorder="1" applyAlignment="1">
      <alignment horizontal="center" vertical="center"/>
    </xf>
    <xf numFmtId="9" fontId="42" fillId="0" borderId="0" xfId="31" applyFont="1" applyFill="1" applyAlignment="1">
      <alignment vertical="center"/>
    </xf>
    <xf numFmtId="0" fontId="48" fillId="0" borderId="1" xfId="0" applyFont="1" applyBorder="1" applyAlignment="1">
      <alignment horizontal="left" vertical="center" wrapText="1"/>
    </xf>
    <xf numFmtId="179" fontId="22" fillId="22" borderId="0" xfId="0" applyNumberFormat="1" applyFont="1" applyFill="1" applyAlignment="1">
      <alignment horizontal="center" vertical="center"/>
    </xf>
    <xf numFmtId="180" fontId="22" fillId="22" borderId="0" xfId="0" applyNumberFormat="1" applyFont="1" applyFill="1" applyAlignment="1">
      <alignment horizontal="center" vertical="center"/>
    </xf>
    <xf numFmtId="0" fontId="23" fillId="22" borderId="0" xfId="0" applyFont="1" applyFill="1" applyAlignment="1">
      <alignment vertical="center"/>
    </xf>
    <xf numFmtId="181" fontId="23" fillId="23" borderId="0" xfId="0" applyNumberFormat="1" applyFont="1" applyFill="1" applyAlignment="1">
      <alignment horizontal="center" vertical="center"/>
    </xf>
    <xf numFmtId="0" fontId="4" fillId="0" borderId="0" xfId="0" applyFont="1" applyAlignment="1">
      <alignment vertical="center"/>
    </xf>
    <xf numFmtId="0" fontId="22" fillId="0" borderId="0" xfId="0" applyFont="1" applyAlignment="1">
      <alignment vertical="center"/>
    </xf>
    <xf numFmtId="179" fontId="22" fillId="0" borderId="0" xfId="0" applyNumberFormat="1" applyFont="1" applyAlignment="1">
      <alignment horizontal="center" vertical="center"/>
    </xf>
    <xf numFmtId="0" fontId="22" fillId="0" borderId="0" xfId="0" applyFont="1" applyAlignment="1">
      <alignment horizontal="center" vertical="center"/>
    </xf>
    <xf numFmtId="0" fontId="22" fillId="23" borderId="0" xfId="0" applyFont="1" applyFill="1" applyAlignment="1">
      <alignment horizontal="center" vertical="center"/>
    </xf>
    <xf numFmtId="179" fontId="23" fillId="24" borderId="0" xfId="0" applyNumberFormat="1" applyFont="1" applyFill="1" applyAlignment="1">
      <alignment horizontal="center" vertical="center"/>
    </xf>
    <xf numFmtId="179" fontId="22" fillId="24" borderId="0" xfId="0" applyNumberFormat="1" applyFont="1" applyFill="1" applyAlignment="1">
      <alignment horizontal="center" vertical="center"/>
    </xf>
    <xf numFmtId="0" fontId="23" fillId="24" borderId="84" xfId="0" applyFont="1" applyFill="1" applyBorder="1" applyAlignment="1">
      <alignment horizontal="center" vertical="center" wrapText="1"/>
    </xf>
    <xf numFmtId="179" fontId="23" fillId="25" borderId="0" xfId="0" applyNumberFormat="1" applyFont="1" applyFill="1" applyAlignment="1">
      <alignment horizontal="center" vertical="center"/>
    </xf>
    <xf numFmtId="9" fontId="22" fillId="0" borderId="0" xfId="0" applyNumberFormat="1" applyFont="1" applyAlignment="1">
      <alignment horizontal="center" vertical="center"/>
    </xf>
    <xf numFmtId="0" fontId="23" fillId="0" borderId="84" xfId="0" applyFont="1" applyBorder="1" applyAlignment="1">
      <alignment horizontal="center" vertical="center" wrapText="1"/>
    </xf>
    <xf numFmtId="0" fontId="23" fillId="26" borderId="84" xfId="0" applyFont="1" applyFill="1" applyBorder="1" applyAlignment="1">
      <alignment horizontal="center" vertical="center" wrapText="1"/>
    </xf>
    <xf numFmtId="0" fontId="48" fillId="0" borderId="0" xfId="0" applyFont="1" applyAlignment="1">
      <alignment vertical="center"/>
    </xf>
    <xf numFmtId="4" fontId="48" fillId="0" borderId="1" xfId="12" applyNumberFormat="1" applyFont="1" applyFill="1" applyBorder="1" applyAlignment="1">
      <alignment horizontal="center" vertical="center" wrapText="1"/>
    </xf>
    <xf numFmtId="41" fontId="48" fillId="0" borderId="1" xfId="12" applyFont="1" applyFill="1" applyBorder="1" applyAlignment="1">
      <alignment vertical="center" wrapText="1"/>
    </xf>
    <xf numFmtId="0" fontId="23" fillId="24" borderId="85" xfId="0" applyFont="1" applyFill="1" applyBorder="1" applyAlignment="1">
      <alignment horizontal="center" vertical="center" wrapText="1"/>
    </xf>
    <xf numFmtId="9" fontId="24" fillId="0" borderId="0" xfId="0" applyNumberFormat="1" applyFont="1" applyAlignment="1">
      <alignment horizontal="justify" vertical="center" wrapText="1"/>
    </xf>
    <xf numFmtId="174" fontId="22" fillId="0" borderId="0" xfId="0" applyNumberFormat="1" applyFont="1" applyAlignment="1">
      <alignment horizontal="center" vertical="center" wrapText="1"/>
    </xf>
    <xf numFmtId="0" fontId="23" fillId="0" borderId="0" xfId="0" applyFont="1" applyAlignment="1">
      <alignment horizontal="center" vertical="center" wrapText="1"/>
    </xf>
    <xf numFmtId="179" fontId="23" fillId="0" borderId="0" xfId="0" applyNumberFormat="1" applyFont="1" applyAlignment="1">
      <alignment horizontal="center" vertical="center"/>
    </xf>
    <xf numFmtId="0" fontId="24" fillId="0" borderId="0" xfId="0" applyFont="1" applyAlignment="1">
      <alignment horizontal="justify" vertical="center" wrapText="1"/>
    </xf>
    <xf numFmtId="174" fontId="11" fillId="0" borderId="0" xfId="0" applyNumberFormat="1" applyFont="1" applyAlignment="1">
      <alignment vertical="center"/>
    </xf>
    <xf numFmtId="0" fontId="23" fillId="26" borderId="86" xfId="0" applyFont="1" applyFill="1" applyBorder="1" applyAlignment="1">
      <alignment horizontal="center" vertical="center" wrapText="1"/>
    </xf>
    <xf numFmtId="179" fontId="23" fillId="25" borderId="14" xfId="0" applyNumberFormat="1" applyFont="1" applyFill="1" applyBorder="1" applyAlignment="1">
      <alignment horizontal="center" vertical="center"/>
    </xf>
    <xf numFmtId="179" fontId="23" fillId="24" borderId="14" xfId="0" applyNumberFormat="1" applyFont="1" applyFill="1" applyBorder="1" applyAlignment="1">
      <alignment horizontal="center" vertical="center"/>
    </xf>
    <xf numFmtId="0" fontId="23" fillId="24" borderId="87" xfId="0" applyFont="1" applyFill="1" applyBorder="1" applyAlignment="1">
      <alignment horizontal="center" vertical="center" wrapText="1"/>
    </xf>
    <xf numFmtId="179" fontId="22" fillId="24" borderId="15" xfId="0" applyNumberFormat="1" applyFont="1" applyFill="1" applyBorder="1" applyAlignment="1">
      <alignment horizontal="center" vertical="center"/>
    </xf>
    <xf numFmtId="179" fontId="23" fillId="24" borderId="16" xfId="0" applyNumberFormat="1" applyFont="1" applyFill="1" applyBorder="1" applyAlignment="1">
      <alignment horizontal="center" vertical="center"/>
    </xf>
    <xf numFmtId="0" fontId="0" fillId="0" borderId="0" xfId="0" applyAlignment="1">
      <alignment horizontal="justify" vertical="center" wrapText="1"/>
    </xf>
    <xf numFmtId="0" fontId="22" fillId="0" borderId="0" xfId="0" applyFont="1" applyAlignment="1">
      <alignment horizontal="justify" vertical="center" wrapText="1"/>
    </xf>
    <xf numFmtId="0" fontId="4" fillId="0" borderId="0" xfId="0" applyFont="1" applyAlignment="1">
      <alignment horizontal="justify" vertical="center" wrapText="1"/>
    </xf>
    <xf numFmtId="0" fontId="42" fillId="0" borderId="0" xfId="0" applyFont="1" applyAlignment="1">
      <alignment horizontal="justify" vertical="center" wrapText="1"/>
    </xf>
    <xf numFmtId="179" fontId="22" fillId="0" borderId="0" xfId="0" applyNumberFormat="1" applyFont="1" applyAlignment="1">
      <alignment horizontal="justify" vertical="center" wrapText="1"/>
    </xf>
    <xf numFmtId="179" fontId="42" fillId="0" borderId="0" xfId="0" applyNumberFormat="1" applyFont="1" applyAlignment="1">
      <alignment horizontal="justify" vertical="center" wrapText="1"/>
    </xf>
    <xf numFmtId="0" fontId="50" fillId="0" borderId="0" xfId="0" applyFont="1" applyAlignment="1">
      <alignment vertical="center"/>
    </xf>
    <xf numFmtId="0" fontId="27" fillId="9" borderId="1" xfId="0" applyFont="1" applyFill="1" applyBorder="1" applyAlignment="1">
      <alignment horizontal="left" vertical="center" wrapText="1"/>
    </xf>
    <xf numFmtId="0" fontId="27" fillId="9" borderId="1" xfId="0" applyFont="1" applyFill="1" applyBorder="1" applyAlignment="1">
      <alignment vertical="center" wrapText="1"/>
    </xf>
    <xf numFmtId="0" fontId="29" fillId="19" borderId="0" xfId="0" applyFont="1" applyFill="1" applyAlignment="1">
      <alignment vertical="center"/>
    </xf>
    <xf numFmtId="0" fontId="29" fillId="19" borderId="0" xfId="0" applyFont="1" applyFill="1" applyAlignment="1">
      <alignment horizontal="center" vertical="center"/>
    </xf>
    <xf numFmtId="0" fontId="27" fillId="9" borderId="2" xfId="0" applyFont="1" applyFill="1" applyBorder="1" applyAlignment="1">
      <alignment horizontal="center" vertical="center" wrapText="1"/>
    </xf>
    <xf numFmtId="0" fontId="27" fillId="9" borderId="10" xfId="0" applyFont="1" applyFill="1" applyBorder="1" applyAlignment="1">
      <alignment horizontal="center" vertical="center" wrapText="1"/>
    </xf>
    <xf numFmtId="0" fontId="27" fillId="9" borderId="38" xfId="0" applyFont="1" applyFill="1" applyBorder="1" applyAlignment="1">
      <alignment horizontal="center" vertical="center" wrapText="1"/>
    </xf>
    <xf numFmtId="0" fontId="27" fillId="9" borderId="4" xfId="0" applyFont="1" applyFill="1" applyBorder="1" applyAlignment="1">
      <alignment horizontal="center" vertical="center" wrapText="1"/>
    </xf>
    <xf numFmtId="49" fontId="27" fillId="9" borderId="10" xfId="0" applyNumberFormat="1" applyFont="1" applyFill="1" applyBorder="1" applyAlignment="1">
      <alignment horizontal="center" vertical="center" wrapText="1"/>
    </xf>
    <xf numFmtId="0" fontId="29" fillId="0" borderId="1" xfId="0" applyFont="1" applyBorder="1" applyAlignment="1">
      <alignment vertical="center"/>
    </xf>
    <xf numFmtId="178" fontId="29" fillId="0" borderId="1" xfId="17" applyNumberFormat="1" applyFont="1" applyBorder="1" applyAlignment="1">
      <alignment vertical="center"/>
    </xf>
    <xf numFmtId="0" fontId="29" fillId="27" borderId="1" xfId="0" applyFont="1" applyFill="1" applyBorder="1" applyAlignment="1">
      <alignment horizontal="center" vertical="center"/>
    </xf>
    <xf numFmtId="177" fontId="28" fillId="28" borderId="1" xfId="18" applyNumberFormat="1" applyFont="1" applyFill="1" applyBorder="1" applyAlignment="1">
      <alignment horizontal="center" vertical="center"/>
    </xf>
    <xf numFmtId="177" fontId="28" fillId="0" borderId="1" xfId="18" applyNumberFormat="1" applyFont="1" applyFill="1" applyBorder="1" applyAlignment="1">
      <alignment horizontal="center" vertical="center"/>
    </xf>
    <xf numFmtId="0" fontId="28" fillId="0" borderId="1" xfId="0" applyFont="1" applyBorder="1" applyAlignment="1">
      <alignment vertical="center"/>
    </xf>
    <xf numFmtId="0" fontId="28" fillId="0" borderId="1" xfId="0" applyFont="1" applyBorder="1" applyAlignment="1">
      <alignment vertical="center" wrapText="1"/>
    </xf>
    <xf numFmtId="0" fontId="28" fillId="28" borderId="1" xfId="0" applyFont="1" applyFill="1" applyBorder="1" applyAlignment="1">
      <alignment horizontal="left" vertical="center"/>
    </xf>
    <xf numFmtId="0" fontId="28" fillId="28" borderId="1" xfId="0" applyFont="1" applyFill="1" applyBorder="1" applyAlignment="1">
      <alignment horizontal="center" vertical="center"/>
    </xf>
    <xf numFmtId="178" fontId="28" fillId="28" borderId="1" xfId="17" applyNumberFormat="1" applyFont="1" applyFill="1" applyBorder="1" applyAlignment="1">
      <alignment horizontal="center" vertical="center"/>
    </xf>
    <xf numFmtId="0" fontId="28" fillId="27" borderId="1" xfId="0" applyFont="1" applyFill="1" applyBorder="1" applyAlignment="1">
      <alignment horizontal="center" vertical="center"/>
    </xf>
    <xf numFmtId="177" fontId="28" fillId="28" borderId="1" xfId="0" applyNumberFormat="1" applyFont="1" applyFill="1" applyBorder="1" applyAlignment="1">
      <alignment horizontal="center" vertical="center"/>
    </xf>
    <xf numFmtId="0" fontId="17" fillId="0" borderId="1" xfId="0" applyFont="1" applyBorder="1" applyAlignment="1">
      <alignment horizontal="center" vertical="center" wrapText="1"/>
    </xf>
    <xf numFmtId="0" fontId="30" fillId="0" borderId="0" xfId="0" applyFont="1" applyAlignment="1">
      <alignment horizontal="justify" vertical="center" wrapText="1"/>
    </xf>
    <xf numFmtId="3" fontId="42" fillId="0" borderId="1" xfId="11" applyNumberFormat="1" applyFont="1" applyFill="1" applyBorder="1" applyAlignment="1">
      <alignment horizontal="center" vertical="center" wrapText="1"/>
    </xf>
    <xf numFmtId="168" fontId="42" fillId="0" borderId="1" xfId="11" applyFont="1" applyFill="1" applyBorder="1" applyAlignment="1">
      <alignment horizontal="center" vertical="center" wrapText="1"/>
    </xf>
    <xf numFmtId="0" fontId="42" fillId="0" borderId="1" xfId="0" applyFont="1" applyBorder="1" applyAlignment="1">
      <alignment horizontal="justify" vertical="center" wrapText="1"/>
    </xf>
    <xf numFmtId="3" fontId="42" fillId="0" borderId="1" xfId="0" applyNumberFormat="1" applyFont="1" applyBorder="1" applyAlignment="1">
      <alignment horizontal="center" vertical="center"/>
    </xf>
    <xf numFmtId="3" fontId="11" fillId="0" borderId="1" xfId="0" applyNumberFormat="1" applyFont="1" applyBorder="1" applyAlignment="1">
      <alignment horizontal="center" vertical="center"/>
    </xf>
    <xf numFmtId="0" fontId="42" fillId="19" borderId="1" xfId="0" applyFont="1" applyFill="1" applyBorder="1" applyAlignment="1">
      <alignment horizontal="center" vertical="center"/>
    </xf>
    <xf numFmtId="3" fontId="42" fillId="0" borderId="1" xfId="0" applyNumberFormat="1" applyFont="1" applyBorder="1" applyAlignment="1">
      <alignment horizontal="center" vertical="center" wrapText="1"/>
    </xf>
    <xf numFmtId="0" fontId="11" fillId="19" borderId="1" xfId="0" applyFont="1" applyFill="1" applyBorder="1" applyAlignment="1">
      <alignment horizontal="center" vertical="center"/>
    </xf>
    <xf numFmtId="0" fontId="11" fillId="0" borderId="1" xfId="0" applyFont="1" applyBorder="1" applyAlignment="1">
      <alignment horizontal="center" vertical="center"/>
    </xf>
    <xf numFmtId="169" fontId="30" fillId="0" borderId="0" xfId="10" applyFont="1" applyBorder="1" applyAlignment="1">
      <alignment vertical="center"/>
    </xf>
    <xf numFmtId="169" fontId="0" fillId="0" borderId="0" xfId="10" applyFont="1" applyAlignment="1">
      <alignment vertical="center"/>
    </xf>
    <xf numFmtId="0" fontId="42" fillId="19" borderId="1" xfId="0" applyFont="1" applyFill="1" applyBorder="1" applyAlignment="1">
      <alignment vertical="center"/>
    </xf>
    <xf numFmtId="9" fontId="42" fillId="19" borderId="1" xfId="31" applyFont="1" applyFill="1" applyBorder="1" applyAlignment="1">
      <alignment vertical="center"/>
    </xf>
    <xf numFmtId="3" fontId="42" fillId="19" borderId="1" xfId="0" applyNumberFormat="1" applyFont="1" applyFill="1" applyBorder="1" applyAlignment="1">
      <alignment horizontal="center" vertical="center"/>
    </xf>
    <xf numFmtId="0" fontId="11" fillId="19" borderId="1" xfId="0" applyFont="1" applyFill="1" applyBorder="1" applyAlignment="1">
      <alignment vertical="center"/>
    </xf>
    <xf numFmtId="0" fontId="19" fillId="19" borderId="75" xfId="25" applyFont="1" applyFill="1" applyBorder="1" applyAlignment="1">
      <alignment vertical="center" wrapText="1"/>
    </xf>
    <xf numFmtId="0" fontId="19" fillId="19" borderId="82" xfId="25" applyFont="1" applyFill="1" applyBorder="1" applyAlignment="1">
      <alignment vertical="center" wrapText="1"/>
    </xf>
    <xf numFmtId="0" fontId="19" fillId="19" borderId="83" xfId="25" applyFont="1" applyFill="1" applyBorder="1" applyAlignment="1">
      <alignment vertical="center" wrapText="1"/>
    </xf>
    <xf numFmtId="0" fontId="19" fillId="19" borderId="0" xfId="25" applyFont="1" applyFill="1" applyAlignment="1">
      <alignment vertical="center" wrapText="1"/>
    </xf>
    <xf numFmtId="0" fontId="55" fillId="19" borderId="0" xfId="25" applyFont="1" applyFill="1" applyAlignment="1">
      <alignment vertical="center" wrapText="1"/>
    </xf>
    <xf numFmtId="0" fontId="19" fillId="19" borderId="11" xfId="25" applyFont="1" applyFill="1" applyBorder="1" applyAlignment="1">
      <alignment vertical="center" wrapText="1"/>
    </xf>
    <xf numFmtId="0" fontId="54" fillId="19" borderId="11" xfId="25" applyFont="1" applyFill="1" applyBorder="1" applyAlignment="1">
      <alignment vertical="center" wrapText="1"/>
    </xf>
    <xf numFmtId="0" fontId="54" fillId="19" borderId="12" xfId="25" applyFont="1" applyFill="1" applyBorder="1" applyAlignment="1">
      <alignment vertical="center" wrapText="1"/>
    </xf>
    <xf numFmtId="0" fontId="19" fillId="19" borderId="13" xfId="25" applyFont="1" applyFill="1" applyBorder="1" applyAlignment="1">
      <alignment vertical="center" wrapText="1"/>
    </xf>
    <xf numFmtId="0" fontId="54" fillId="19" borderId="0" xfId="25" applyFont="1" applyFill="1" applyAlignment="1">
      <alignment vertical="center" wrapText="1"/>
    </xf>
    <xf numFmtId="0" fontId="54" fillId="19" borderId="14" xfId="25" applyFont="1" applyFill="1" applyBorder="1" applyAlignment="1">
      <alignment vertical="center" wrapText="1"/>
    </xf>
    <xf numFmtId="0" fontId="19" fillId="19" borderId="0" xfId="25" applyFont="1" applyFill="1" applyAlignment="1">
      <alignment horizontal="justify" vertical="center" wrapText="1"/>
    </xf>
    <xf numFmtId="0" fontId="55" fillId="19" borderId="0" xfId="25" applyFont="1" applyFill="1" applyAlignment="1">
      <alignment horizontal="justify" vertical="center" wrapText="1"/>
    </xf>
    <xf numFmtId="0" fontId="54" fillId="19" borderId="0" xfId="25" applyFont="1" applyFill="1" applyAlignment="1">
      <alignment horizontal="justify" vertical="center" wrapText="1"/>
    </xf>
    <xf numFmtId="0" fontId="54" fillId="19" borderId="14" xfId="25" applyFont="1" applyFill="1" applyBorder="1" applyAlignment="1">
      <alignment horizontal="justify" vertical="center" wrapText="1"/>
    </xf>
    <xf numFmtId="0" fontId="19" fillId="0" borderId="13" xfId="25" applyFont="1" applyBorder="1" applyAlignment="1">
      <alignment vertical="center" wrapText="1"/>
    </xf>
    <xf numFmtId="0" fontId="19" fillId="0" borderId="0" xfId="25" applyFont="1" applyAlignment="1">
      <alignment vertical="center" wrapText="1"/>
    </xf>
    <xf numFmtId="0" fontId="19" fillId="0" borderId="0" xfId="25" applyFont="1" applyAlignment="1">
      <alignment horizontal="center" vertical="center" wrapText="1"/>
    </xf>
    <xf numFmtId="0" fontId="56" fillId="0" borderId="0" xfId="0" applyFont="1" applyAlignment="1">
      <alignment horizontal="center" vertical="center"/>
    </xf>
    <xf numFmtId="0" fontId="57" fillId="0" borderId="0" xfId="0" applyFont="1" applyAlignment="1">
      <alignment horizontal="center" vertical="center" wrapText="1"/>
    </xf>
    <xf numFmtId="0" fontId="58" fillId="0" borderId="0" xfId="0" applyFont="1" applyAlignment="1">
      <alignment horizontal="center" vertical="center"/>
    </xf>
    <xf numFmtId="0" fontId="55" fillId="0" borderId="0" xfId="25" applyFont="1" applyAlignment="1">
      <alignment vertical="center" wrapText="1"/>
    </xf>
    <xf numFmtId="0" fontId="54" fillId="0" borderId="0" xfId="25" applyFont="1" applyAlignment="1">
      <alignment vertical="center" wrapText="1"/>
    </xf>
    <xf numFmtId="0" fontId="54" fillId="0" borderId="14" xfId="25" applyFont="1" applyBorder="1" applyAlignment="1">
      <alignment vertical="center" wrapText="1"/>
    </xf>
    <xf numFmtId="0" fontId="19" fillId="19" borderId="13" xfId="25" applyFont="1" applyFill="1" applyBorder="1" applyAlignment="1">
      <alignment horizontal="center" vertical="center" wrapText="1"/>
    </xf>
    <xf numFmtId="0" fontId="19" fillId="19" borderId="81" xfId="25" applyFont="1" applyFill="1" applyBorder="1" applyAlignment="1">
      <alignment horizontal="center" vertical="center" wrapText="1"/>
    </xf>
    <xf numFmtId="0" fontId="59" fillId="19" borderId="0" xfId="25" applyFont="1" applyFill="1" applyAlignment="1">
      <alignment horizontal="center" vertical="center" wrapText="1"/>
    </xf>
    <xf numFmtId="0" fontId="19" fillId="19" borderId="0" xfId="25" applyFont="1" applyFill="1" applyAlignment="1">
      <alignment horizontal="center" vertical="center" wrapText="1"/>
    </xf>
    <xf numFmtId="0" fontId="59" fillId="0" borderId="0" xfId="25" applyFont="1" applyAlignment="1">
      <alignment horizontal="center" vertical="center" wrapText="1"/>
    </xf>
    <xf numFmtId="0" fontId="19" fillId="0" borderId="14" xfId="25" applyFont="1" applyBorder="1" applyAlignment="1">
      <alignment horizontal="center" vertical="center" wrapText="1"/>
    </xf>
    <xf numFmtId="0" fontId="54" fillId="19" borderId="15" xfId="25" applyFont="1" applyFill="1" applyBorder="1" applyAlignment="1">
      <alignment vertical="center" wrapText="1"/>
    </xf>
    <xf numFmtId="0" fontId="54" fillId="19" borderId="16" xfId="25" applyFont="1" applyFill="1" applyBorder="1" applyAlignment="1">
      <alignment vertical="center" wrapText="1"/>
    </xf>
    <xf numFmtId="0" fontId="60" fillId="19" borderId="13" xfId="0" applyFont="1" applyFill="1" applyBorder="1" applyAlignment="1">
      <alignment vertical="center"/>
    </xf>
    <xf numFmtId="0" fontId="60" fillId="19" borderId="0" xfId="0" applyFont="1" applyFill="1" applyAlignment="1">
      <alignment vertical="center"/>
    </xf>
    <xf numFmtId="0" fontId="60" fillId="19" borderId="14" xfId="0" applyFont="1" applyFill="1" applyBorder="1" applyAlignment="1">
      <alignment vertical="center"/>
    </xf>
    <xf numFmtId="0" fontId="54" fillId="19" borderId="13" xfId="25" applyFont="1" applyFill="1" applyBorder="1" applyAlignment="1">
      <alignment vertical="center" wrapText="1"/>
    </xf>
    <xf numFmtId="0" fontId="19" fillId="20" borderId="29" xfId="25" applyFont="1" applyFill="1" applyBorder="1" applyAlignment="1">
      <alignment horizontal="center" vertical="center" wrapText="1"/>
    </xf>
    <xf numFmtId="0" fontId="19" fillId="20" borderId="30" xfId="25" applyFont="1" applyFill="1" applyBorder="1" applyAlignment="1">
      <alignment horizontal="center" vertical="center" wrapText="1"/>
    </xf>
    <xf numFmtId="0" fontId="19" fillId="20" borderId="31" xfId="25" applyFont="1" applyFill="1" applyBorder="1" applyAlignment="1">
      <alignment horizontal="center" vertical="center" wrapText="1"/>
    </xf>
    <xf numFmtId="173" fontId="58" fillId="0" borderId="27" xfId="10" applyNumberFormat="1" applyFont="1" applyBorder="1" applyAlignment="1">
      <alignment vertical="center"/>
    </xf>
    <xf numFmtId="173" fontId="58" fillId="0" borderId="4" xfId="10" applyNumberFormat="1" applyFont="1" applyBorder="1" applyAlignment="1">
      <alignment vertical="center"/>
    </xf>
    <xf numFmtId="173" fontId="58" fillId="0" borderId="20" xfId="10" applyNumberFormat="1" applyFont="1" applyBorder="1" applyAlignment="1">
      <alignment vertical="center"/>
    </xf>
    <xf numFmtId="173" fontId="58" fillId="19" borderId="34" xfId="10" applyNumberFormat="1" applyFont="1" applyFill="1" applyBorder="1" applyAlignment="1">
      <alignment vertical="center"/>
    </xf>
    <xf numFmtId="173" fontId="58" fillId="19" borderId="35" xfId="10" applyNumberFormat="1" applyFont="1" applyFill="1" applyBorder="1" applyAlignment="1">
      <alignment vertical="center"/>
    </xf>
    <xf numFmtId="173" fontId="58" fillId="0" borderId="35" xfId="10" applyNumberFormat="1" applyFont="1" applyBorder="1" applyAlignment="1">
      <alignment vertical="center"/>
    </xf>
    <xf numFmtId="9" fontId="58" fillId="0" borderId="49" xfId="31" applyFont="1" applyBorder="1" applyAlignment="1">
      <alignment vertical="center"/>
    </xf>
    <xf numFmtId="0" fontId="19" fillId="20" borderId="8" xfId="25" applyFont="1" applyFill="1" applyBorder="1" applyAlignment="1">
      <alignment horizontal="center" vertical="center" wrapText="1"/>
    </xf>
    <xf numFmtId="173" fontId="58" fillId="0" borderId="8" xfId="10" applyNumberFormat="1" applyFont="1" applyBorder="1" applyAlignment="1">
      <alignment vertical="center"/>
    </xf>
    <xf numFmtId="173" fontId="58" fillId="0" borderId="1" xfId="10" applyNumberFormat="1" applyFont="1" applyBorder="1" applyAlignment="1">
      <alignment vertical="center"/>
    </xf>
    <xf numFmtId="9" fontId="58" fillId="0" borderId="2" xfId="31" applyFont="1" applyBorder="1" applyAlignment="1">
      <alignment vertical="center"/>
    </xf>
    <xf numFmtId="173" fontId="58" fillId="19" borderId="8" xfId="10" applyNumberFormat="1" applyFont="1" applyFill="1" applyBorder="1" applyAlignment="1">
      <alignment vertical="center"/>
    </xf>
    <xf numFmtId="173" fontId="58" fillId="19" borderId="1" xfId="10" applyNumberFormat="1" applyFont="1" applyFill="1" applyBorder="1" applyAlignment="1">
      <alignment vertical="center"/>
    </xf>
    <xf numFmtId="9" fontId="58" fillId="0" borderId="9" xfId="31" applyFont="1" applyBorder="1" applyAlignment="1">
      <alignment vertical="center"/>
    </xf>
    <xf numFmtId="173" fontId="58" fillId="0" borderId="2" xfId="10" applyNumberFormat="1" applyFont="1" applyBorder="1" applyAlignment="1">
      <alignment vertical="center"/>
    </xf>
    <xf numFmtId="173" fontId="58" fillId="0" borderId="9" xfId="10" applyNumberFormat="1" applyFont="1" applyBorder="1" applyAlignment="1">
      <alignment vertical="center"/>
    </xf>
    <xf numFmtId="0" fontId="19" fillId="20" borderId="26" xfId="25" applyFont="1" applyFill="1" applyBorder="1" applyAlignment="1">
      <alignment horizontal="center" vertical="center" wrapText="1"/>
    </xf>
    <xf numFmtId="0" fontId="19" fillId="20" borderId="21" xfId="25" applyFont="1" applyFill="1" applyBorder="1" applyAlignment="1">
      <alignment horizontal="center" vertical="center" wrapText="1"/>
    </xf>
    <xf numFmtId="173" fontId="58" fillId="0" borderId="26" xfId="10" applyNumberFormat="1" applyFont="1" applyBorder="1" applyAlignment="1">
      <alignment vertical="center"/>
    </xf>
    <xf numFmtId="173" fontId="58" fillId="0" borderId="19" xfId="10" applyNumberFormat="1" applyFont="1" applyBorder="1" applyAlignment="1">
      <alignment vertical="center"/>
    </xf>
    <xf numFmtId="173" fontId="58" fillId="19" borderId="19" xfId="10" applyNumberFormat="1" applyFont="1" applyFill="1" applyBorder="1" applyAlignment="1">
      <alignment vertical="center"/>
    </xf>
    <xf numFmtId="9" fontId="58" fillId="0" borderId="21" xfId="31" applyFont="1" applyBorder="1" applyAlignment="1">
      <alignment vertical="center"/>
    </xf>
    <xf numFmtId="173" fontId="58" fillId="0" borderId="32" xfId="10" applyNumberFormat="1" applyFont="1" applyBorder="1" applyAlignment="1">
      <alignment vertical="center"/>
    </xf>
    <xf numFmtId="173" fontId="58" fillId="0" borderId="33" xfId="10" applyNumberFormat="1" applyFont="1" applyBorder="1" applyAlignment="1">
      <alignment vertical="center"/>
    </xf>
    <xf numFmtId="174" fontId="58" fillId="0" borderId="37" xfId="31" applyNumberFormat="1" applyFont="1" applyBorder="1" applyAlignment="1">
      <alignment vertical="center"/>
    </xf>
    <xf numFmtId="173" fontId="19" fillId="19" borderId="0" xfId="25" applyNumberFormat="1" applyFont="1" applyFill="1" applyAlignment="1">
      <alignment horizontal="left" vertical="center" wrapText="1"/>
    </xf>
    <xf numFmtId="0" fontId="19" fillId="19" borderId="0" xfId="25" applyFont="1" applyFill="1" applyAlignment="1">
      <alignment horizontal="left" vertical="center" wrapText="1"/>
    </xf>
    <xf numFmtId="0" fontId="19" fillId="20" borderId="1" xfId="25" applyFont="1" applyFill="1" applyBorder="1" applyAlignment="1">
      <alignment horizontal="center" vertical="center" wrapText="1"/>
    </xf>
    <xf numFmtId="0" fontId="19" fillId="20" borderId="9" xfId="25" applyFont="1" applyFill="1" applyBorder="1" applyAlignment="1">
      <alignment horizontal="center" vertical="center" wrapText="1"/>
    </xf>
    <xf numFmtId="0" fontId="19" fillId="0" borderId="18" xfId="25" applyFont="1" applyBorder="1" applyAlignment="1">
      <alignment horizontal="justify" vertical="center" wrapText="1"/>
    </xf>
    <xf numFmtId="0" fontId="19" fillId="0" borderId="10" xfId="25" applyFont="1" applyBorder="1" applyAlignment="1">
      <alignment horizontal="center" vertical="center" wrapText="1"/>
    </xf>
    <xf numFmtId="168" fontId="19" fillId="0" borderId="10" xfId="11" applyFont="1" applyFill="1" applyBorder="1" applyAlignment="1" applyProtection="1">
      <alignment horizontal="center" vertical="center" wrapText="1"/>
    </xf>
    <xf numFmtId="9" fontId="19" fillId="0" borderId="10" xfId="25" applyNumberFormat="1" applyFont="1" applyBorder="1" applyAlignment="1">
      <alignment horizontal="center" vertical="center" wrapText="1"/>
    </xf>
    <xf numFmtId="0" fontId="19" fillId="0" borderId="4" xfId="25" applyFont="1" applyBorder="1" applyAlignment="1">
      <alignment horizontal="left" vertical="center" wrapText="1"/>
    </xf>
    <xf numFmtId="4" fontId="19" fillId="0" borderId="10" xfId="31" applyNumberFormat="1" applyFont="1" applyFill="1" applyBorder="1" applyAlignment="1" applyProtection="1">
      <alignment horizontal="center" vertical="center" wrapText="1"/>
    </xf>
    <xf numFmtId="4" fontId="19" fillId="0" borderId="36" xfId="31" applyNumberFormat="1" applyFont="1" applyFill="1" applyBorder="1" applyAlignment="1" applyProtection="1">
      <alignment horizontal="center" vertical="center" wrapText="1"/>
    </xf>
    <xf numFmtId="0" fontId="19" fillId="9" borderId="19" xfId="25" applyFont="1" applyFill="1" applyBorder="1" applyAlignment="1">
      <alignment horizontal="left" vertical="center" wrapText="1"/>
    </xf>
    <xf numFmtId="4" fontId="19" fillId="9" borderId="19" xfId="31" applyNumberFormat="1" applyFont="1" applyFill="1" applyBorder="1" applyAlignment="1" applyProtection="1">
      <alignment horizontal="center" vertical="center" wrapText="1"/>
    </xf>
    <xf numFmtId="4" fontId="19" fillId="9" borderId="37" xfId="31" applyNumberFormat="1" applyFont="1" applyFill="1" applyBorder="1" applyAlignment="1" applyProtection="1">
      <alignment horizontal="center" vertical="center" wrapText="1"/>
    </xf>
    <xf numFmtId="0" fontId="19" fillId="20" borderId="19" xfId="25" applyFont="1" applyFill="1" applyBorder="1" applyAlignment="1">
      <alignment horizontal="center" vertical="center" wrapText="1"/>
    </xf>
    <xf numFmtId="0" fontId="19" fillId="20" borderId="37" xfId="25" applyFont="1" applyFill="1" applyBorder="1" applyAlignment="1">
      <alignment horizontal="center" vertical="center" wrapText="1"/>
    </xf>
    <xf numFmtId="9" fontId="54" fillId="0" borderId="4" xfId="32" applyFont="1" applyFill="1" applyBorder="1" applyAlignment="1" applyProtection="1">
      <alignment horizontal="center" vertical="center" wrapText="1"/>
      <protection locked="0"/>
    </xf>
    <xf numFmtId="9" fontId="19" fillId="0" borderId="28" xfId="25" applyNumberFormat="1" applyFont="1" applyBorder="1" applyAlignment="1">
      <alignment horizontal="center" vertical="center" wrapText="1"/>
    </xf>
    <xf numFmtId="0" fontId="19" fillId="9" borderId="1" xfId="25" applyFont="1" applyFill="1" applyBorder="1" applyAlignment="1">
      <alignment horizontal="left" vertical="center" wrapText="1"/>
    </xf>
    <xf numFmtId="9" fontId="54" fillId="9" borderId="1" xfId="31" applyFont="1" applyFill="1" applyBorder="1" applyAlignment="1" applyProtection="1">
      <alignment horizontal="center" vertical="center" wrapText="1"/>
      <protection locked="0"/>
    </xf>
    <xf numFmtId="9" fontId="19" fillId="0" borderId="9" xfId="25" applyNumberFormat="1" applyFont="1" applyBorder="1" applyAlignment="1">
      <alignment horizontal="center" vertical="center" wrapText="1"/>
    </xf>
    <xf numFmtId="0" fontId="19" fillId="0" borderId="1" xfId="25" applyFont="1" applyBorder="1" applyAlignment="1">
      <alignment horizontal="left" vertical="center" wrapText="1"/>
    </xf>
    <xf numFmtId="9" fontId="54" fillId="0" borderId="1" xfId="32" applyFont="1" applyFill="1" applyBorder="1" applyAlignment="1" applyProtection="1">
      <alignment horizontal="center" vertical="center" wrapText="1"/>
      <protection locked="0"/>
    </xf>
    <xf numFmtId="9" fontId="54" fillId="9" borderId="2" xfId="31" applyFont="1" applyFill="1" applyBorder="1" applyAlignment="1" applyProtection="1">
      <alignment horizontal="center" vertical="center" wrapText="1"/>
      <protection locked="0"/>
    </xf>
    <xf numFmtId="9" fontId="54" fillId="9" borderId="19" xfId="31" applyFont="1" applyFill="1" applyBorder="1" applyAlignment="1" applyProtection="1">
      <alignment horizontal="center" vertical="center" wrapText="1"/>
      <protection locked="0"/>
    </xf>
    <xf numFmtId="9" fontId="54" fillId="9" borderId="21" xfId="31" applyFont="1" applyFill="1" applyBorder="1" applyAlignment="1" applyProtection="1">
      <alignment horizontal="center" vertical="center" wrapText="1"/>
      <protection locked="0"/>
    </xf>
    <xf numFmtId="9" fontId="19" fillId="0" borderId="37" xfId="25" applyNumberFormat="1" applyFont="1" applyBorder="1" applyAlignment="1">
      <alignment horizontal="center" vertical="center" wrapText="1"/>
    </xf>
    <xf numFmtId="173" fontId="63" fillId="19" borderId="35" xfId="10" applyNumberFormat="1" applyFont="1" applyFill="1" applyBorder="1" applyAlignment="1">
      <alignment vertical="center"/>
    </xf>
    <xf numFmtId="173" fontId="63" fillId="19" borderId="1" xfId="10" applyNumberFormat="1" applyFont="1" applyFill="1" applyBorder="1" applyAlignment="1">
      <alignment vertical="center"/>
    </xf>
    <xf numFmtId="0" fontId="54" fillId="0" borderId="18" xfId="25" applyFont="1" applyBorder="1" applyAlignment="1">
      <alignment horizontal="justify" vertical="center" wrapText="1"/>
    </xf>
    <xf numFmtId="174" fontId="19" fillId="9" borderId="19" xfId="31" applyNumberFormat="1" applyFont="1" applyFill="1" applyBorder="1" applyAlignment="1" applyProtection="1">
      <alignment vertical="center" wrapText="1"/>
    </xf>
    <xf numFmtId="0" fontId="19" fillId="0" borderId="27" xfId="25" applyFont="1" applyBorder="1" applyAlignment="1">
      <alignment horizontal="left" vertical="center" wrapText="1"/>
    </xf>
    <xf numFmtId="0" fontId="19" fillId="9" borderId="8" xfId="25" applyFont="1" applyFill="1" applyBorder="1" applyAlignment="1">
      <alignment horizontal="left" vertical="center" wrapText="1"/>
    </xf>
    <xf numFmtId="9" fontId="54" fillId="9" borderId="9" xfId="31" applyFont="1" applyFill="1" applyBorder="1" applyAlignment="1" applyProtection="1">
      <alignment horizontal="center" vertical="center" wrapText="1"/>
      <protection locked="0"/>
    </xf>
    <xf numFmtId="0" fontId="19" fillId="0" borderId="8" xfId="25" applyFont="1" applyBorder="1" applyAlignment="1">
      <alignment horizontal="left" vertical="center" wrapText="1"/>
    </xf>
    <xf numFmtId="0" fontId="19" fillId="19" borderId="8" xfId="25" applyFont="1" applyFill="1" applyBorder="1" applyAlignment="1">
      <alignment horizontal="left" vertical="center" wrapText="1"/>
    </xf>
    <xf numFmtId="9" fontId="54" fillId="19" borderId="1" xfId="32" applyFont="1" applyFill="1" applyBorder="1" applyAlignment="1" applyProtection="1">
      <alignment horizontal="center" vertical="center" wrapText="1"/>
      <protection locked="0"/>
    </xf>
    <xf numFmtId="0" fontId="19" fillId="9" borderId="26" xfId="25" applyFont="1" applyFill="1" applyBorder="1" applyAlignment="1">
      <alignment horizontal="left" vertical="center" wrapText="1"/>
    </xf>
    <xf numFmtId="9" fontId="54" fillId="9" borderId="37" xfId="31" applyFont="1" applyFill="1" applyBorder="1" applyAlignment="1" applyProtection="1">
      <alignment horizontal="center" vertical="center" wrapText="1"/>
      <protection locked="0"/>
    </xf>
    <xf numFmtId="173" fontId="58" fillId="0" borderId="8" xfId="10" applyNumberFormat="1" applyFont="1" applyFill="1" applyBorder="1" applyAlignment="1">
      <alignment vertical="center"/>
    </xf>
    <xf numFmtId="9" fontId="58" fillId="0" borderId="9" xfId="31" applyFont="1" applyFill="1" applyBorder="1" applyAlignment="1">
      <alignment vertical="center"/>
    </xf>
    <xf numFmtId="173" fontId="58" fillId="0" borderId="1" xfId="10" applyNumberFormat="1" applyFont="1" applyFill="1" applyBorder="1" applyAlignment="1">
      <alignment vertical="center"/>
    </xf>
    <xf numFmtId="5" fontId="60" fillId="19" borderId="4" xfId="10" applyNumberFormat="1" applyFont="1" applyFill="1" applyBorder="1" applyAlignment="1">
      <alignment horizontal="right" vertical="center"/>
    </xf>
    <xf numFmtId="5" fontId="60" fillId="19" borderId="1" xfId="10" applyNumberFormat="1" applyFont="1" applyFill="1" applyBorder="1" applyAlignment="1">
      <alignment horizontal="right" vertical="center"/>
    </xf>
    <xf numFmtId="5" fontId="54" fillId="19" borderId="1" xfId="10" applyNumberFormat="1" applyFont="1" applyFill="1" applyBorder="1" applyAlignment="1">
      <alignment horizontal="right" vertical="center"/>
    </xf>
    <xf numFmtId="173" fontId="58" fillId="19" borderId="26" xfId="10" applyNumberFormat="1" applyFont="1" applyFill="1" applyBorder="1" applyAlignment="1">
      <alignment vertical="center"/>
    </xf>
    <xf numFmtId="9" fontId="19" fillId="0" borderId="38" xfId="25" applyNumberFormat="1" applyFont="1" applyBorder="1" applyAlignment="1">
      <alignment horizontal="center" vertical="center" wrapText="1"/>
    </xf>
    <xf numFmtId="9" fontId="19" fillId="0" borderId="1" xfId="25" applyNumberFormat="1" applyFont="1" applyBorder="1" applyAlignment="1">
      <alignment horizontal="center" vertical="center" wrapText="1"/>
    </xf>
    <xf numFmtId="0" fontId="19" fillId="20" borderId="10" xfId="25" applyFont="1" applyFill="1" applyBorder="1" applyAlignment="1">
      <alignment horizontal="center" vertical="center" wrapText="1"/>
    </xf>
    <xf numFmtId="0" fontId="19" fillId="0" borderId="35" xfId="25" applyFont="1" applyBorder="1" applyAlignment="1">
      <alignment horizontal="left" vertical="center" wrapText="1"/>
    </xf>
    <xf numFmtId="4" fontId="19" fillId="0" borderId="62" xfId="31" applyNumberFormat="1" applyFont="1" applyFill="1" applyBorder="1" applyAlignment="1" applyProtection="1">
      <alignment horizontal="center" vertical="center" wrapText="1"/>
    </xf>
    <xf numFmtId="9" fontId="19" fillId="0" borderId="20" xfId="25" applyNumberFormat="1" applyFont="1" applyBorder="1" applyAlignment="1">
      <alignment horizontal="center" vertical="center" wrapText="1"/>
    </xf>
    <xf numFmtId="9" fontId="19" fillId="0" borderId="2" xfId="25" applyNumberFormat="1" applyFont="1" applyBorder="1" applyAlignment="1">
      <alignment horizontal="center" vertical="center" wrapText="1"/>
    </xf>
    <xf numFmtId="9" fontId="19" fillId="0" borderId="21" xfId="25" applyNumberFormat="1" applyFont="1" applyBorder="1" applyAlignment="1">
      <alignment horizontal="center" vertical="center" wrapText="1"/>
    </xf>
    <xf numFmtId="0" fontId="19" fillId="0" borderId="20" xfId="25" applyFont="1" applyBorder="1" applyAlignment="1">
      <alignment horizontal="left" vertical="center" wrapText="1"/>
    </xf>
    <xf numFmtId="4" fontId="19" fillId="0" borderId="18" xfId="31" applyNumberFormat="1" applyFont="1" applyFill="1" applyBorder="1" applyAlignment="1" applyProtection="1">
      <alignment horizontal="center" vertical="center" wrapText="1"/>
    </xf>
    <xf numFmtId="0" fontId="19" fillId="9" borderId="21" xfId="25" applyFont="1" applyFill="1" applyBorder="1" applyAlignment="1">
      <alignment horizontal="left" vertical="center" wrapText="1"/>
    </xf>
    <xf numFmtId="4" fontId="19" fillId="9" borderId="26" xfId="31" applyNumberFormat="1" applyFont="1" applyFill="1" applyBorder="1" applyAlignment="1" applyProtection="1">
      <alignment horizontal="center" vertical="center" wrapText="1"/>
    </xf>
    <xf numFmtId="173" fontId="58" fillId="19" borderId="27" xfId="10" applyNumberFormat="1" applyFont="1" applyFill="1" applyBorder="1" applyAlignment="1">
      <alignment vertical="center"/>
    </xf>
    <xf numFmtId="173" fontId="58" fillId="19" borderId="4" xfId="10" applyNumberFormat="1" applyFont="1" applyFill="1" applyBorder="1" applyAlignment="1">
      <alignment vertical="center"/>
    </xf>
    <xf numFmtId="9" fontId="58" fillId="0" borderId="28" xfId="31" applyFont="1" applyBorder="1" applyAlignment="1">
      <alignment vertical="center"/>
    </xf>
    <xf numFmtId="4" fontId="19" fillId="0" borderId="40" xfId="31" applyNumberFormat="1" applyFont="1" applyFill="1" applyBorder="1" applyAlignment="1" applyProtection="1">
      <alignment horizontal="center" vertical="center" wrapText="1"/>
    </xf>
    <xf numFmtId="4" fontId="19" fillId="0" borderId="38" xfId="31" applyNumberFormat="1" applyFont="1" applyFill="1" applyBorder="1" applyAlignment="1" applyProtection="1">
      <alignment horizontal="center" vertical="center" wrapText="1"/>
    </xf>
    <xf numFmtId="4" fontId="19" fillId="0" borderId="39" xfId="31" applyNumberFormat="1" applyFont="1" applyFill="1" applyBorder="1" applyAlignment="1" applyProtection="1">
      <alignment horizontal="center" vertical="center" wrapText="1"/>
    </xf>
    <xf numFmtId="0" fontId="42" fillId="19" borderId="1" xfId="0" applyFont="1" applyFill="1" applyBorder="1" applyAlignment="1">
      <alignment horizontal="justify" vertical="top" wrapText="1"/>
    </xf>
    <xf numFmtId="0" fontId="42" fillId="19" borderId="1" xfId="0" applyFont="1" applyFill="1" applyBorder="1" applyAlignment="1">
      <alignment horizontal="justify" vertical="top"/>
    </xf>
    <xf numFmtId="9" fontId="42" fillId="19" borderId="1" xfId="31" applyFont="1" applyFill="1" applyBorder="1" applyAlignment="1">
      <alignment horizontal="justify" vertical="top" wrapText="1"/>
    </xf>
    <xf numFmtId="0" fontId="69" fillId="0" borderId="0" xfId="0" applyFont="1" applyAlignment="1">
      <alignment vertical="center"/>
    </xf>
    <xf numFmtId="9" fontId="11" fillId="19" borderId="1" xfId="31" applyFont="1" applyFill="1" applyBorder="1" applyAlignment="1">
      <alignment vertical="center"/>
    </xf>
    <xf numFmtId="0" fontId="42" fillId="19" borderId="0" xfId="0" applyFont="1" applyFill="1" applyAlignment="1">
      <alignment horizontal="justify" vertical="top" wrapText="1"/>
    </xf>
    <xf numFmtId="0" fontId="45" fillId="19" borderId="1" xfId="31" applyNumberFormat="1" applyFont="1" applyFill="1" applyBorder="1" applyAlignment="1">
      <alignment horizontal="justify" vertical="top" wrapText="1"/>
    </xf>
    <xf numFmtId="0" fontId="42" fillId="19" borderId="1" xfId="31" applyNumberFormat="1" applyFont="1" applyFill="1" applyBorder="1" applyAlignment="1">
      <alignment horizontal="justify" vertical="top" wrapText="1"/>
    </xf>
    <xf numFmtId="9" fontId="11" fillId="19" borderId="1" xfId="31" applyFont="1" applyFill="1" applyBorder="1" applyAlignment="1">
      <alignment horizontal="justify" vertical="top" wrapText="1"/>
    </xf>
    <xf numFmtId="0" fontId="11" fillId="31" borderId="1" xfId="0" applyFont="1" applyFill="1" applyBorder="1" applyAlignment="1">
      <alignment horizontal="justify" vertical="top" wrapText="1"/>
    </xf>
    <xf numFmtId="0" fontId="11" fillId="19" borderId="1" xfId="31" applyNumberFormat="1" applyFont="1" applyFill="1" applyBorder="1" applyAlignment="1">
      <alignment horizontal="justify" vertical="top" wrapText="1"/>
    </xf>
    <xf numFmtId="0" fontId="11" fillId="19" borderId="1" xfId="31" applyNumberFormat="1" applyFont="1" applyFill="1" applyBorder="1" applyAlignment="1">
      <alignment horizontal="justify" vertical="center" wrapText="1"/>
    </xf>
    <xf numFmtId="0" fontId="11" fillId="19" borderId="1" xfId="0" applyFont="1" applyFill="1" applyBorder="1" applyAlignment="1">
      <alignment horizontal="justify" vertical="top" wrapText="1"/>
    </xf>
    <xf numFmtId="0" fontId="11" fillId="19" borderId="1" xfId="0" applyFont="1" applyFill="1" applyBorder="1" applyAlignment="1">
      <alignment horizontal="justify" vertical="center" wrapText="1"/>
    </xf>
    <xf numFmtId="9" fontId="54" fillId="0" borderId="1" xfId="25" applyNumberFormat="1" applyFont="1" applyBorder="1" applyAlignment="1">
      <alignment horizontal="center" vertical="center" wrapText="1"/>
    </xf>
    <xf numFmtId="9" fontId="54" fillId="0" borderId="19" xfId="25" applyNumberFormat="1" applyFont="1" applyBorder="1" applyAlignment="1">
      <alignment horizontal="center" vertical="center" wrapText="1"/>
    </xf>
    <xf numFmtId="2" fontId="54" fillId="0" borderId="8" xfId="25" applyNumberFormat="1" applyFont="1" applyBorder="1" applyAlignment="1">
      <alignment horizontal="justify" vertical="center" wrapText="1"/>
    </xf>
    <xf numFmtId="174" fontId="54" fillId="0" borderId="1" xfId="25" applyNumberFormat="1" applyFont="1" applyBorder="1" applyAlignment="1">
      <alignment horizontal="center" vertical="center" wrapText="1"/>
    </xf>
    <xf numFmtId="9" fontId="54" fillId="19" borderId="23" xfId="25" applyNumberFormat="1" applyFont="1" applyFill="1" applyBorder="1" applyAlignment="1">
      <alignment horizontal="justify" vertical="center" wrapText="1"/>
    </xf>
    <xf numFmtId="9" fontId="54" fillId="19" borderId="24" xfId="25" applyNumberFormat="1" applyFont="1" applyFill="1" applyBorder="1" applyAlignment="1">
      <alignment horizontal="justify" vertical="center" wrapText="1"/>
    </xf>
    <xf numFmtId="9" fontId="54" fillId="19" borderId="65" xfId="25" applyNumberFormat="1" applyFont="1" applyFill="1" applyBorder="1" applyAlignment="1">
      <alignment horizontal="justify" vertical="center" wrapText="1"/>
    </xf>
    <xf numFmtId="9" fontId="54" fillId="19" borderId="6" xfId="25" applyNumberFormat="1" applyFont="1" applyFill="1" applyBorder="1" applyAlignment="1">
      <alignment horizontal="justify" vertical="center" wrapText="1"/>
    </xf>
    <xf numFmtId="9" fontId="54" fillId="19" borderId="3" xfId="25" applyNumberFormat="1" applyFont="1" applyFill="1" applyBorder="1" applyAlignment="1">
      <alignment horizontal="justify" vertical="center" wrapText="1"/>
    </xf>
    <xf numFmtId="9" fontId="54" fillId="19" borderId="7" xfId="25" applyNumberFormat="1" applyFont="1" applyFill="1" applyBorder="1" applyAlignment="1">
      <alignment horizontal="justify" vertical="center" wrapText="1"/>
    </xf>
    <xf numFmtId="2" fontId="60" fillId="0" borderId="8" xfId="25" applyNumberFormat="1" applyFont="1" applyBorder="1" applyAlignment="1">
      <alignment horizontal="justify" vertical="center" wrapText="1"/>
    </xf>
    <xf numFmtId="0" fontId="19" fillId="20" borderId="34" xfId="25" applyFont="1" applyFill="1" applyBorder="1" applyAlignment="1">
      <alignment horizontal="center" vertical="center" wrapText="1"/>
    </xf>
    <xf numFmtId="0" fontId="19" fillId="20" borderId="26" xfId="25" applyFont="1" applyFill="1" applyBorder="1" applyAlignment="1">
      <alignment horizontal="center" vertical="center" wrapText="1"/>
    </xf>
    <xf numFmtId="0" fontId="19" fillId="20" borderId="62" xfId="25" applyFont="1" applyFill="1" applyBorder="1" applyAlignment="1">
      <alignment horizontal="center" vertical="center" wrapText="1"/>
    </xf>
    <xf numFmtId="0" fontId="19" fillId="20" borderId="33" xfId="25" applyFont="1" applyFill="1" applyBorder="1" applyAlignment="1">
      <alignment horizontal="center" vertical="center" wrapText="1"/>
    </xf>
    <xf numFmtId="0" fontId="19" fillId="20" borderId="35" xfId="25" applyFont="1" applyFill="1" applyBorder="1" applyAlignment="1">
      <alignment horizontal="center" vertical="center" wrapText="1"/>
    </xf>
    <xf numFmtId="0" fontId="19" fillId="20" borderId="49" xfId="25" applyFont="1" applyFill="1" applyBorder="1" applyAlignment="1">
      <alignment horizontal="center" vertical="center" wrapText="1"/>
    </xf>
    <xf numFmtId="0" fontId="19" fillId="20" borderId="50" xfId="25" applyFont="1" applyFill="1" applyBorder="1" applyAlignment="1">
      <alignment horizontal="center" vertical="center" wrapText="1"/>
    </xf>
    <xf numFmtId="0" fontId="19" fillId="20" borderId="66" xfId="25" applyFont="1" applyFill="1" applyBorder="1" applyAlignment="1">
      <alignment horizontal="center" vertical="center" wrapText="1"/>
    </xf>
    <xf numFmtId="0" fontId="19" fillId="20" borderId="51" xfId="25" applyFont="1" applyFill="1" applyBorder="1" applyAlignment="1">
      <alignment horizontal="center" vertical="center" wrapText="1"/>
    </xf>
    <xf numFmtId="0" fontId="19" fillId="20" borderId="56" xfId="25" applyFont="1" applyFill="1" applyBorder="1" applyAlignment="1">
      <alignment horizontal="center" vertical="center" wrapText="1"/>
    </xf>
    <xf numFmtId="0" fontId="19" fillId="20" borderId="67" xfId="25" applyFont="1" applyFill="1" applyBorder="1" applyAlignment="1">
      <alignment horizontal="center" vertical="center" wrapText="1"/>
    </xf>
    <xf numFmtId="0" fontId="19" fillId="20" borderId="57" xfId="25" applyFont="1" applyFill="1" applyBorder="1" applyAlignment="1">
      <alignment horizontal="center" vertical="center" wrapText="1"/>
    </xf>
    <xf numFmtId="2" fontId="54" fillId="0" borderId="27" xfId="25" applyNumberFormat="1" applyFont="1" applyBorder="1" applyAlignment="1">
      <alignment horizontal="justify" vertical="center" wrapText="1"/>
    </xf>
    <xf numFmtId="9" fontId="54" fillId="0" borderId="4" xfId="25" applyNumberFormat="1" applyFont="1" applyBorder="1" applyAlignment="1">
      <alignment horizontal="center" vertical="center" wrapText="1"/>
    </xf>
    <xf numFmtId="9" fontId="64" fillId="19" borderId="47" xfId="25" applyNumberFormat="1" applyFont="1" applyFill="1" applyBorder="1" applyAlignment="1">
      <alignment horizontal="justify" vertical="center" wrapText="1"/>
    </xf>
    <xf numFmtId="9" fontId="54" fillId="19" borderId="11" xfId="25" applyNumberFormat="1" applyFont="1" applyFill="1" applyBorder="1" applyAlignment="1">
      <alignment horizontal="justify" vertical="center" wrapText="1"/>
    </xf>
    <xf numFmtId="9" fontId="54" fillId="19" borderId="12" xfId="25" applyNumberFormat="1" applyFont="1" applyFill="1" applyBorder="1" applyAlignment="1">
      <alignment horizontal="justify" vertical="center" wrapText="1"/>
    </xf>
    <xf numFmtId="0" fontId="19" fillId="0" borderId="18" xfId="25" applyFont="1" applyBorder="1" applyAlignment="1">
      <alignment horizontal="justify" vertical="center" wrapText="1"/>
    </xf>
    <xf numFmtId="0" fontId="19" fillId="0" borderId="32" xfId="25" applyFont="1" applyBorder="1" applyAlignment="1">
      <alignment horizontal="justify" vertical="center" wrapText="1"/>
    </xf>
    <xf numFmtId="9" fontId="19" fillId="0" borderId="10" xfId="25" applyNumberFormat="1" applyFont="1" applyBorder="1" applyAlignment="1">
      <alignment horizontal="center" vertical="center" wrapText="1"/>
    </xf>
    <xf numFmtId="0" fontId="19" fillId="0" borderId="33" xfId="25" applyFont="1" applyBorder="1" applyAlignment="1">
      <alignment horizontal="center" vertical="center" wrapText="1"/>
    </xf>
    <xf numFmtId="9" fontId="54" fillId="19" borderId="59" xfId="33" applyFont="1" applyFill="1" applyBorder="1" applyAlignment="1" applyProtection="1">
      <alignment horizontal="justify" vertical="top" wrapText="1"/>
    </xf>
    <xf numFmtId="9" fontId="54" fillId="19" borderId="24" xfId="33" applyFont="1" applyFill="1" applyBorder="1" applyAlignment="1" applyProtection="1">
      <alignment horizontal="justify" vertical="top" wrapText="1"/>
    </xf>
    <xf numFmtId="9" fontId="54" fillId="19" borderId="25" xfId="33" applyFont="1" applyFill="1" applyBorder="1" applyAlignment="1" applyProtection="1">
      <alignment horizontal="justify" vertical="top" wrapText="1"/>
    </xf>
    <xf numFmtId="9" fontId="54" fillId="19" borderId="63" xfId="33" applyFont="1" applyFill="1" applyBorder="1" applyAlignment="1" applyProtection="1">
      <alignment horizontal="justify" vertical="top" wrapText="1"/>
    </xf>
    <xf numFmtId="9" fontId="54" fillId="19" borderId="15" xfId="33" applyFont="1" applyFill="1" applyBorder="1" applyAlignment="1" applyProtection="1">
      <alignment horizontal="justify" vertical="top" wrapText="1"/>
    </xf>
    <xf numFmtId="9" fontId="54" fillId="19" borderId="64" xfId="33" applyFont="1" applyFill="1" applyBorder="1" applyAlignment="1" applyProtection="1">
      <alignment horizontal="justify" vertical="top" wrapText="1"/>
    </xf>
    <xf numFmtId="9" fontId="54" fillId="19" borderId="65" xfId="33" applyFont="1" applyFill="1" applyBorder="1" applyAlignment="1" applyProtection="1">
      <alignment horizontal="justify" vertical="top" wrapText="1"/>
    </xf>
    <xf numFmtId="9" fontId="54" fillId="19" borderId="16" xfId="33" applyFont="1" applyFill="1" applyBorder="1" applyAlignment="1" applyProtection="1">
      <alignment horizontal="justify" vertical="top" wrapText="1"/>
    </xf>
    <xf numFmtId="9" fontId="54" fillId="19" borderId="23" xfId="33" applyFont="1" applyFill="1" applyBorder="1" applyAlignment="1" applyProtection="1">
      <alignment horizontal="justify" vertical="top" wrapText="1"/>
    </xf>
    <xf numFmtId="9" fontId="54" fillId="19" borderId="45" xfId="33" applyFont="1" applyFill="1" applyBorder="1" applyAlignment="1" applyProtection="1">
      <alignment horizontal="justify" vertical="top" wrapText="1"/>
    </xf>
    <xf numFmtId="0" fontId="19" fillId="20" borderId="5" xfId="25" applyFont="1" applyFill="1" applyBorder="1" applyAlignment="1">
      <alignment horizontal="center" vertical="center" wrapText="1"/>
    </xf>
    <xf numFmtId="0" fontId="19" fillId="20" borderId="1" xfId="25" applyFont="1" applyFill="1" applyBorder="1" applyAlignment="1">
      <alignment horizontal="center" vertical="center" wrapText="1"/>
    </xf>
    <xf numFmtId="0" fontId="19" fillId="20" borderId="9" xfId="25" applyFont="1" applyFill="1" applyBorder="1" applyAlignment="1">
      <alignment horizontal="center" vertical="center" wrapText="1"/>
    </xf>
    <xf numFmtId="0" fontId="19" fillId="20" borderId="20" xfId="25" applyFont="1" applyFill="1" applyBorder="1" applyAlignment="1">
      <alignment horizontal="center" vertical="center" wrapText="1"/>
    </xf>
    <xf numFmtId="0" fontId="19" fillId="20" borderId="3" xfId="25" applyFont="1" applyFill="1" applyBorder="1" applyAlignment="1">
      <alignment horizontal="center" vertical="center" wrapText="1"/>
    </xf>
    <xf numFmtId="0" fontId="19" fillId="20" borderId="58" xfId="25" applyFont="1" applyFill="1" applyBorder="1" applyAlignment="1">
      <alignment horizontal="center" vertical="center" wrapText="1"/>
    </xf>
    <xf numFmtId="0" fontId="19" fillId="20" borderId="7" xfId="25" applyFont="1" applyFill="1" applyBorder="1" applyAlignment="1">
      <alignment horizontal="center" vertical="center" wrapText="1"/>
    </xf>
    <xf numFmtId="0" fontId="19" fillId="19" borderId="34" xfId="25" applyFont="1" applyFill="1" applyBorder="1" applyAlignment="1">
      <alignment horizontal="center" vertical="center" wrapText="1"/>
    </xf>
    <xf numFmtId="0" fontId="19" fillId="19" borderId="48" xfId="25" applyFont="1" applyFill="1" applyBorder="1" applyAlignment="1">
      <alignment horizontal="center" vertical="center" wrapText="1"/>
    </xf>
    <xf numFmtId="0" fontId="19" fillId="19" borderId="35" xfId="25" applyFont="1" applyFill="1" applyBorder="1" applyAlignment="1">
      <alignment horizontal="center" vertical="center" wrapText="1"/>
    </xf>
    <xf numFmtId="0" fontId="19" fillId="19" borderId="49" xfId="25" applyFont="1" applyFill="1" applyBorder="1" applyAlignment="1">
      <alignment horizontal="center" vertical="center" wrapText="1"/>
    </xf>
    <xf numFmtId="0" fontId="19" fillId="20" borderId="8" xfId="25" applyFont="1" applyFill="1" applyBorder="1" applyAlignment="1">
      <alignment horizontal="center" vertical="center" wrapText="1"/>
    </xf>
    <xf numFmtId="0" fontId="19" fillId="20" borderId="2" xfId="25" applyFont="1" applyFill="1" applyBorder="1" applyAlignment="1">
      <alignment horizontal="center" vertical="center" wrapText="1"/>
    </xf>
    <xf numFmtId="0" fontId="19" fillId="20" borderId="21" xfId="25" applyFont="1" applyFill="1" applyBorder="1" applyAlignment="1">
      <alignment horizontal="center" vertical="center" wrapText="1"/>
    </xf>
    <xf numFmtId="0" fontId="19" fillId="19" borderId="42" xfId="25" applyFont="1" applyFill="1" applyBorder="1" applyAlignment="1">
      <alignment horizontal="center" vertical="center" wrapText="1"/>
    </xf>
    <xf numFmtId="0" fontId="19" fillId="19" borderId="43" xfId="25" applyFont="1" applyFill="1" applyBorder="1" applyAlignment="1">
      <alignment horizontal="center" vertical="center" wrapText="1"/>
    </xf>
    <xf numFmtId="0" fontId="19" fillId="19" borderId="44" xfId="25" applyFont="1" applyFill="1" applyBorder="1" applyAlignment="1">
      <alignment horizontal="center" vertical="center" wrapText="1"/>
    </xf>
    <xf numFmtId="0" fontId="19" fillId="20" borderId="23" xfId="25" applyFont="1" applyFill="1" applyBorder="1" applyAlignment="1">
      <alignment horizontal="center" vertical="center" wrapText="1"/>
    </xf>
    <xf numFmtId="0" fontId="19" fillId="20" borderId="6" xfId="25" applyFont="1" applyFill="1" applyBorder="1" applyAlignment="1">
      <alignment horizontal="center" vertical="center" wrapText="1"/>
    </xf>
    <xf numFmtId="0" fontId="19" fillId="20" borderId="59" xfId="25" applyFont="1" applyFill="1" applyBorder="1" applyAlignment="1">
      <alignment horizontal="center" vertical="center" wrapText="1"/>
    </xf>
    <xf numFmtId="0" fontId="19" fillId="20" borderId="25" xfId="25" applyFont="1" applyFill="1" applyBorder="1" applyAlignment="1">
      <alignment horizontal="center" vertical="center" wrapText="1"/>
    </xf>
    <xf numFmtId="0" fontId="19" fillId="20" borderId="60" xfId="25" applyFont="1" applyFill="1" applyBorder="1" applyAlignment="1">
      <alignment horizontal="center" vertical="center" wrapText="1"/>
    </xf>
    <xf numFmtId="0" fontId="19" fillId="20" borderId="46" xfId="25" applyFont="1" applyFill="1" applyBorder="1" applyAlignment="1">
      <alignment horizontal="center" vertical="center" wrapText="1"/>
    </xf>
    <xf numFmtId="9" fontId="19" fillId="0" borderId="42" xfId="25" applyNumberFormat="1" applyFont="1" applyBorder="1" applyAlignment="1">
      <alignment horizontal="center" vertical="center" wrapText="1"/>
    </xf>
    <xf numFmtId="9" fontId="19" fillId="0" borderId="44" xfId="25" applyNumberFormat="1" applyFont="1" applyBorder="1" applyAlignment="1">
      <alignment horizontal="center" vertical="center" wrapText="1"/>
    </xf>
    <xf numFmtId="0" fontId="19" fillId="19" borderId="15" xfId="25" applyFont="1" applyFill="1" applyBorder="1" applyAlignment="1">
      <alignment horizontal="left" vertical="center" wrapText="1"/>
    </xf>
    <xf numFmtId="0" fontId="19" fillId="20" borderId="42" xfId="25" applyFont="1" applyFill="1" applyBorder="1" applyAlignment="1">
      <alignment horizontal="left" vertical="center" wrapText="1"/>
    </xf>
    <xf numFmtId="0" fontId="19" fillId="20" borderId="44" xfId="25" applyFont="1" applyFill="1" applyBorder="1" applyAlignment="1">
      <alignment horizontal="left" vertical="center" wrapText="1"/>
    </xf>
    <xf numFmtId="0" fontId="19" fillId="0" borderId="42" xfId="25" applyFont="1" applyBorder="1" applyAlignment="1">
      <alignment horizontal="center" vertical="center" wrapText="1"/>
    </xf>
    <xf numFmtId="0" fontId="19" fillId="0" borderId="43" xfId="25" applyFont="1" applyBorder="1" applyAlignment="1">
      <alignment horizontal="center" vertical="center" wrapText="1"/>
    </xf>
    <xf numFmtId="0" fontId="19" fillId="0" borderId="44" xfId="25" applyFont="1" applyBorder="1" applyAlignment="1">
      <alignment horizontal="center" vertical="center" wrapText="1"/>
    </xf>
    <xf numFmtId="4" fontId="19" fillId="0" borderId="59" xfId="25" applyNumberFormat="1" applyFont="1" applyBorder="1" applyAlignment="1">
      <alignment horizontal="center" vertical="center" wrapText="1"/>
    </xf>
    <xf numFmtId="4" fontId="19" fillId="0" borderId="25" xfId="25" applyNumberFormat="1" applyFont="1" applyBorder="1" applyAlignment="1">
      <alignment horizontal="center" vertical="center" wrapText="1"/>
    </xf>
    <xf numFmtId="0" fontId="61" fillId="0" borderId="1" xfId="25" applyFont="1" applyBorder="1" applyAlignment="1">
      <alignment horizontal="left" vertical="center" wrapText="1"/>
    </xf>
    <xf numFmtId="0" fontId="61" fillId="0" borderId="9" xfId="25" applyFont="1" applyBorder="1" applyAlignment="1">
      <alignment horizontal="left" vertical="center" wrapText="1"/>
    </xf>
    <xf numFmtId="0" fontId="19" fillId="0" borderId="61" xfId="25" applyFont="1" applyBorder="1" applyAlignment="1">
      <alignment horizontal="center" vertical="center" wrapText="1"/>
    </xf>
    <xf numFmtId="0" fontId="19" fillId="0" borderId="62" xfId="25" applyFont="1" applyBorder="1" applyAlignment="1">
      <alignment horizontal="center" vertical="center" wrapText="1"/>
    </xf>
    <xf numFmtId="0" fontId="19" fillId="0" borderId="35" xfId="25" applyFont="1" applyBorder="1" applyAlignment="1">
      <alignment horizontal="center" vertical="center" wrapText="1"/>
    </xf>
    <xf numFmtId="0" fontId="19" fillId="0" borderId="49" xfId="25" applyFont="1" applyBorder="1" applyAlignment="1">
      <alignment horizontal="center" vertical="center" wrapText="1"/>
    </xf>
    <xf numFmtId="0" fontId="54" fillId="20" borderId="1" xfId="25" applyFont="1" applyFill="1" applyBorder="1" applyAlignment="1">
      <alignment horizontal="center" vertical="center" wrapText="1"/>
    </xf>
    <xf numFmtId="0" fontId="58" fillId="0" borderId="52" xfId="0" applyFont="1" applyBorder="1" applyAlignment="1">
      <alignment horizontal="justify" vertical="center" wrapText="1"/>
    </xf>
    <xf numFmtId="0" fontId="58" fillId="0" borderId="22" xfId="0" applyFont="1" applyBorder="1" applyAlignment="1">
      <alignment horizontal="justify" vertical="center" wrapText="1"/>
    </xf>
    <xf numFmtId="0" fontId="57" fillId="0" borderId="50" xfId="0" applyFont="1" applyBorder="1" applyAlignment="1">
      <alignment horizontal="justify" vertical="center" wrapText="1"/>
    </xf>
    <xf numFmtId="0" fontId="57" fillId="0" borderId="51" xfId="0" applyFont="1" applyBorder="1" applyAlignment="1">
      <alignment horizontal="justify" vertical="center" wrapText="1"/>
    </xf>
    <xf numFmtId="0" fontId="19" fillId="20" borderId="47" xfId="25" applyFont="1" applyFill="1" applyBorder="1" applyAlignment="1">
      <alignment horizontal="left" vertical="center" wrapText="1"/>
    </xf>
    <xf numFmtId="0" fontId="19" fillId="20" borderId="12" xfId="25" applyFont="1" applyFill="1" applyBorder="1" applyAlignment="1">
      <alignment horizontal="left" vertical="center" wrapText="1"/>
    </xf>
    <xf numFmtId="0" fontId="19" fillId="20" borderId="13" xfId="25" applyFont="1" applyFill="1" applyBorder="1" applyAlignment="1">
      <alignment horizontal="left" vertical="center" wrapText="1"/>
    </xf>
    <xf numFmtId="0" fontId="19" fillId="20" borderId="14" xfId="25" applyFont="1" applyFill="1" applyBorder="1" applyAlignment="1">
      <alignment horizontal="left" vertical="center" wrapText="1"/>
    </xf>
    <xf numFmtId="0" fontId="19" fillId="20" borderId="45" xfId="25" applyFont="1" applyFill="1" applyBorder="1" applyAlignment="1">
      <alignment horizontal="left" vertical="center" wrapText="1"/>
    </xf>
    <xf numFmtId="0" fontId="19" fillId="20" borderId="16" xfId="25" applyFont="1" applyFill="1" applyBorder="1" applyAlignment="1">
      <alignment horizontal="left" vertical="center" wrapText="1"/>
    </xf>
    <xf numFmtId="0" fontId="56" fillId="0" borderId="53" xfId="0" applyFont="1" applyBorder="1" applyAlignment="1">
      <alignment horizontal="center" vertical="center"/>
    </xf>
    <xf numFmtId="0" fontId="56" fillId="0" borderId="54" xfId="0" applyFont="1" applyBorder="1" applyAlignment="1">
      <alignment horizontal="center" vertical="center"/>
    </xf>
    <xf numFmtId="0" fontId="56" fillId="0" borderId="55" xfId="0" applyFont="1" applyBorder="1" applyAlignment="1">
      <alignment horizontal="center" vertical="center"/>
    </xf>
    <xf numFmtId="0" fontId="19" fillId="0" borderId="29" xfId="25" applyFont="1" applyBorder="1" applyAlignment="1">
      <alignment horizontal="center" vertical="center" wrapText="1"/>
    </xf>
    <xf numFmtId="0" fontId="19" fillId="0" borderId="30" xfId="25" applyFont="1" applyBorder="1" applyAlignment="1">
      <alignment horizontal="center" vertical="center" wrapText="1"/>
    </xf>
    <xf numFmtId="0" fontId="19" fillId="0" borderId="31" xfId="25" applyFont="1" applyBorder="1" applyAlignment="1">
      <alignment horizontal="center" vertical="center" wrapText="1"/>
    </xf>
    <xf numFmtId="0" fontId="19" fillId="20" borderId="42" xfId="25" applyFont="1" applyFill="1" applyBorder="1" applyAlignment="1">
      <alignment horizontal="center" vertical="center" wrapText="1"/>
    </xf>
    <xf numFmtId="0" fontId="19" fillId="20" borderId="44" xfId="25" applyFont="1" applyFill="1" applyBorder="1" applyAlignment="1">
      <alignment horizontal="center" vertical="center" wrapText="1"/>
    </xf>
    <xf numFmtId="2" fontId="19" fillId="0" borderId="42" xfId="31" applyNumberFormat="1" applyFont="1" applyFill="1" applyBorder="1" applyAlignment="1" applyProtection="1">
      <alignment horizontal="center" vertical="center" wrapText="1"/>
    </xf>
    <xf numFmtId="2" fontId="19" fillId="0" borderId="44" xfId="31" applyNumberFormat="1" applyFont="1" applyFill="1" applyBorder="1" applyAlignment="1" applyProtection="1">
      <alignment horizontal="center" vertical="center" wrapText="1"/>
    </xf>
    <xf numFmtId="0" fontId="19" fillId="20" borderId="43" xfId="25" applyFont="1" applyFill="1" applyBorder="1" applyAlignment="1">
      <alignment horizontal="center" vertical="center" wrapText="1"/>
    </xf>
    <xf numFmtId="0" fontId="57" fillId="0" borderId="56" xfId="0" applyFont="1" applyBorder="1" applyAlignment="1">
      <alignment horizontal="justify" vertical="center" wrapText="1"/>
    </xf>
    <xf numFmtId="0" fontId="57" fillId="0" borderId="57" xfId="0" applyFont="1" applyBorder="1" applyAlignment="1">
      <alignment horizontal="justify" vertical="center" wrapText="1"/>
    </xf>
    <xf numFmtId="0" fontId="57" fillId="0" borderId="56" xfId="0" applyFont="1" applyBorder="1" applyAlignment="1">
      <alignment horizontal="center" vertical="center" wrapText="1"/>
    </xf>
    <xf numFmtId="0" fontId="57" fillId="0" borderId="57" xfId="0" applyFont="1" applyBorder="1" applyAlignment="1">
      <alignment horizontal="center" vertical="center" wrapText="1"/>
    </xf>
    <xf numFmtId="0" fontId="19" fillId="0" borderId="47" xfId="25" applyFont="1" applyBorder="1" applyAlignment="1">
      <alignment horizontal="left" vertical="center" wrapText="1"/>
    </xf>
    <xf numFmtId="0" fontId="19" fillId="0" borderId="11" xfId="25" applyFont="1" applyBorder="1" applyAlignment="1">
      <alignment horizontal="left" vertical="center" wrapText="1"/>
    </xf>
    <xf numFmtId="0" fontId="19" fillId="0" borderId="12" xfId="25" applyFont="1" applyBorder="1" applyAlignment="1">
      <alignment horizontal="left" vertical="center" wrapText="1"/>
    </xf>
    <xf numFmtId="0" fontId="19" fillId="0" borderId="13" xfId="25" applyFont="1" applyBorder="1" applyAlignment="1">
      <alignment horizontal="left" vertical="center" wrapText="1"/>
    </xf>
    <xf numFmtId="0" fontId="19" fillId="0" borderId="0" xfId="25" applyFont="1" applyAlignment="1">
      <alignment horizontal="left" vertical="center" wrapText="1"/>
    </xf>
    <xf numFmtId="0" fontId="19" fillId="0" borderId="14" xfId="25" applyFont="1" applyBorder="1" applyAlignment="1">
      <alignment horizontal="left" vertical="center" wrapText="1"/>
    </xf>
    <xf numFmtId="0" fontId="19" fillId="0" borderId="45" xfId="25" applyFont="1" applyBorder="1" applyAlignment="1">
      <alignment horizontal="left" vertical="center" wrapText="1"/>
    </xf>
    <xf numFmtId="0" fontId="19" fillId="0" borderId="15" xfId="25" applyFont="1" applyBorder="1" applyAlignment="1">
      <alignment horizontal="left" vertical="center" wrapText="1"/>
    </xf>
    <xf numFmtId="0" fontId="19" fillId="0" borderId="16" xfId="25" applyFont="1" applyBorder="1" applyAlignment="1">
      <alignment horizontal="left" vertical="center" wrapText="1"/>
    </xf>
    <xf numFmtId="0" fontId="19" fillId="20" borderId="13" xfId="25" applyFont="1" applyFill="1" applyBorder="1" applyAlignment="1">
      <alignment horizontal="center" vertical="center" wrapText="1"/>
    </xf>
    <xf numFmtId="0" fontId="19" fillId="20" borderId="0" xfId="25" applyFont="1" applyFill="1" applyAlignment="1">
      <alignment horizontal="center" vertical="center" wrapText="1"/>
    </xf>
    <xf numFmtId="0" fontId="19" fillId="20" borderId="14" xfId="25" applyFont="1" applyFill="1" applyBorder="1" applyAlignment="1">
      <alignment horizontal="center" vertical="center" wrapText="1"/>
    </xf>
    <xf numFmtId="0" fontId="19" fillId="20" borderId="45" xfId="25" applyFont="1" applyFill="1" applyBorder="1" applyAlignment="1">
      <alignment horizontal="center" vertical="center" wrapText="1"/>
    </xf>
    <xf numFmtId="0" fontId="19" fillId="20" borderId="15" xfId="25" applyFont="1" applyFill="1" applyBorder="1" applyAlignment="1">
      <alignment horizontal="center" vertical="center" wrapText="1"/>
    </xf>
    <xf numFmtId="0" fontId="19" fillId="20" borderId="16" xfId="25" applyFont="1" applyFill="1" applyBorder="1" applyAlignment="1">
      <alignment horizontal="center" vertical="center" wrapText="1"/>
    </xf>
    <xf numFmtId="0" fontId="54" fillId="0" borderId="47" xfId="25" applyFont="1" applyBorder="1" applyAlignment="1">
      <alignment horizontal="center" vertical="center" wrapText="1"/>
    </xf>
    <xf numFmtId="0" fontId="54" fillId="0" borderId="13" xfId="25" applyFont="1" applyBorder="1" applyAlignment="1">
      <alignment horizontal="center" vertical="center" wrapText="1"/>
    </xf>
    <xf numFmtId="0" fontId="54" fillId="0" borderId="45" xfId="25" applyFont="1" applyBorder="1" applyAlignment="1">
      <alignment horizontal="center" vertical="center" wrapText="1"/>
    </xf>
    <xf numFmtId="0" fontId="19" fillId="0" borderId="29" xfId="25" applyFont="1" applyBorder="1" applyAlignment="1">
      <alignment horizontal="center" vertical="center"/>
    </xf>
    <xf numFmtId="0" fontId="19" fillId="0" borderId="30" xfId="25" applyFont="1" applyBorder="1" applyAlignment="1">
      <alignment horizontal="center" vertical="center"/>
    </xf>
    <xf numFmtId="0" fontId="19" fillId="0" borderId="31" xfId="25" applyFont="1" applyBorder="1" applyAlignment="1">
      <alignment horizontal="center" vertical="center"/>
    </xf>
    <xf numFmtId="0" fontId="19" fillId="0" borderId="48" xfId="0" applyFont="1" applyBorder="1" applyAlignment="1">
      <alignment horizontal="left" vertical="center" wrapText="1"/>
    </xf>
    <xf numFmtId="0" fontId="19" fillId="0" borderId="35" xfId="0" applyFont="1" applyBorder="1" applyAlignment="1">
      <alignment horizontal="left" vertical="center" wrapText="1"/>
    </xf>
    <xf numFmtId="0" fontId="19" fillId="0" borderId="49" xfId="0" applyFont="1" applyBorder="1" applyAlignment="1">
      <alignment horizontal="left" vertical="center" wrapText="1"/>
    </xf>
    <xf numFmtId="0" fontId="19" fillId="0" borderId="5" xfId="0" applyFont="1" applyBorder="1" applyAlignment="1">
      <alignment horizontal="left" vertical="center" wrapText="1"/>
    </xf>
    <xf numFmtId="0" fontId="19" fillId="0" borderId="1" xfId="0" applyFont="1" applyBorder="1" applyAlignment="1">
      <alignment horizontal="left" vertical="center" wrapText="1"/>
    </xf>
    <xf numFmtId="0" fontId="19" fillId="0" borderId="9" xfId="0" applyFont="1" applyBorder="1" applyAlignment="1">
      <alignment horizontal="left" vertical="center" wrapText="1"/>
    </xf>
    <xf numFmtId="0" fontId="59" fillId="0" borderId="42" xfId="25" applyFont="1" applyBorder="1" applyAlignment="1">
      <alignment horizontal="left" vertical="center" wrapText="1"/>
    </xf>
    <xf numFmtId="0" fontId="59" fillId="0" borderId="43" xfId="25" applyFont="1" applyBorder="1" applyAlignment="1">
      <alignment horizontal="left" vertical="center" wrapText="1"/>
    </xf>
    <xf numFmtId="0" fontId="59" fillId="0" borderId="44" xfId="25" applyFont="1" applyBorder="1" applyAlignment="1">
      <alignment horizontal="left" vertical="center" wrapText="1"/>
    </xf>
    <xf numFmtId="0" fontId="19" fillId="30" borderId="34" xfId="25" applyFont="1" applyFill="1" applyBorder="1" applyAlignment="1">
      <alignment horizontal="center" vertical="center" wrapText="1"/>
    </xf>
    <xf numFmtId="0" fontId="19" fillId="30" borderId="35" xfId="25" applyFont="1" applyFill="1" applyBorder="1" applyAlignment="1">
      <alignment horizontal="center" vertical="center" wrapText="1"/>
    </xf>
    <xf numFmtId="0" fontId="19" fillId="30" borderId="49" xfId="25" applyFont="1" applyFill="1" applyBorder="1" applyAlignment="1">
      <alignment horizontal="center" vertical="center" wrapText="1"/>
    </xf>
    <xf numFmtId="0" fontId="19" fillId="30" borderId="26" xfId="25" applyFont="1" applyFill="1" applyBorder="1" applyAlignment="1">
      <alignment horizontal="center" vertical="center" wrapText="1"/>
    </xf>
    <xf numFmtId="0" fontId="19" fillId="30" borderId="19" xfId="25" applyFont="1" applyFill="1" applyBorder="1" applyAlignment="1">
      <alignment horizontal="center" vertical="center" wrapText="1"/>
    </xf>
    <xf numFmtId="0" fontId="19" fillId="30" borderId="37" xfId="25" applyFont="1" applyFill="1" applyBorder="1" applyAlignment="1">
      <alignment horizontal="center" vertical="center" wrapText="1"/>
    </xf>
    <xf numFmtId="0" fontId="51" fillId="0" borderId="41" xfId="0" applyFont="1" applyBorder="1" applyAlignment="1">
      <alignment horizontal="left" vertical="center" wrapText="1"/>
    </xf>
    <xf numFmtId="0" fontId="51" fillId="0" borderId="19" xfId="0" applyFont="1" applyBorder="1" applyAlignment="1">
      <alignment horizontal="left" vertical="center" wrapText="1"/>
    </xf>
    <xf numFmtId="0" fontId="51" fillId="0" borderId="37" xfId="0" applyFont="1" applyBorder="1" applyAlignment="1">
      <alignment horizontal="left" vertical="center" wrapText="1"/>
    </xf>
    <xf numFmtId="0" fontId="19" fillId="20" borderId="47" xfId="25" applyFont="1" applyFill="1" applyBorder="1" applyAlignment="1">
      <alignment horizontal="justify" vertical="center" wrapText="1"/>
    </xf>
    <xf numFmtId="0" fontId="19" fillId="20" borderId="11" xfId="25" applyFont="1" applyFill="1" applyBorder="1" applyAlignment="1">
      <alignment horizontal="justify" vertical="center" wrapText="1"/>
    </xf>
    <xf numFmtId="0" fontId="19" fillId="20" borderId="12" xfId="25" applyFont="1" applyFill="1" applyBorder="1" applyAlignment="1">
      <alignment horizontal="justify" vertical="center" wrapText="1"/>
    </xf>
    <xf numFmtId="0" fontId="19" fillId="20" borderId="13" xfId="25" applyFont="1" applyFill="1" applyBorder="1" applyAlignment="1">
      <alignment horizontal="justify" vertical="center" wrapText="1"/>
    </xf>
    <xf numFmtId="0" fontId="19" fillId="20" borderId="0" xfId="25" applyFont="1" applyFill="1" applyAlignment="1">
      <alignment horizontal="justify" vertical="center" wrapText="1"/>
    </xf>
    <xf numFmtId="0" fontId="19" fillId="20" borderId="14" xfId="25" applyFont="1" applyFill="1" applyBorder="1" applyAlignment="1">
      <alignment horizontal="justify" vertical="center" wrapText="1"/>
    </xf>
    <xf numFmtId="0" fontId="19" fillId="20" borderId="45" xfId="25" applyFont="1" applyFill="1" applyBorder="1" applyAlignment="1">
      <alignment horizontal="justify" vertical="center" wrapText="1"/>
    </xf>
    <xf numFmtId="0" fontId="19" fillId="20" borderId="15" xfId="25" applyFont="1" applyFill="1" applyBorder="1" applyAlignment="1">
      <alignment horizontal="justify" vertical="center" wrapText="1"/>
    </xf>
    <xf numFmtId="0" fontId="19" fillId="20" borderId="16" xfId="25" applyFont="1" applyFill="1" applyBorder="1" applyAlignment="1">
      <alignment horizontal="justify" vertical="center" wrapText="1"/>
    </xf>
    <xf numFmtId="14" fontId="56" fillId="0" borderId="47" xfId="0" applyNumberFormat="1" applyFont="1" applyBorder="1" applyAlignment="1">
      <alignment horizontal="center" vertical="center" wrapText="1"/>
    </xf>
    <xf numFmtId="0" fontId="56" fillId="0" borderId="12" xfId="0" applyFont="1" applyBorder="1" applyAlignment="1">
      <alignment horizontal="center" vertical="center" wrapText="1"/>
    </xf>
    <xf numFmtId="0" fontId="56" fillId="0" borderId="13" xfId="0" applyFont="1" applyBorder="1" applyAlignment="1">
      <alignment horizontal="center" vertical="center" wrapText="1"/>
    </xf>
    <xf numFmtId="0" fontId="56" fillId="0" borderId="14" xfId="0" applyFont="1" applyBorder="1" applyAlignment="1">
      <alignment horizontal="center" vertical="center" wrapText="1"/>
    </xf>
    <xf numFmtId="0" fontId="56" fillId="0" borderId="45" xfId="0" applyFont="1" applyBorder="1" applyAlignment="1">
      <alignment horizontal="center" vertical="center" wrapText="1"/>
    </xf>
    <xf numFmtId="0" fontId="56" fillId="0" borderId="16" xfId="0" applyFont="1" applyBorder="1" applyAlignment="1">
      <alignment horizontal="center" vertical="center" wrapText="1"/>
    </xf>
    <xf numFmtId="0" fontId="57" fillId="0" borderId="50" xfId="0" applyFont="1" applyBorder="1" applyAlignment="1">
      <alignment horizontal="center" vertical="center" wrapText="1"/>
    </xf>
    <xf numFmtId="0" fontId="57" fillId="0" borderId="51" xfId="0" applyFont="1" applyBorder="1" applyAlignment="1">
      <alignment horizontal="center" vertical="center" wrapText="1"/>
    </xf>
    <xf numFmtId="0" fontId="57" fillId="0" borderId="52" xfId="0" applyFont="1" applyBorder="1" applyAlignment="1">
      <alignment horizontal="justify" vertical="center" wrapText="1"/>
    </xf>
    <xf numFmtId="0" fontId="57" fillId="0" borderId="22" xfId="0" applyFont="1" applyBorder="1" applyAlignment="1">
      <alignment horizontal="justify" vertical="center" wrapText="1"/>
    </xf>
    <xf numFmtId="9" fontId="24" fillId="0" borderId="85" xfId="0" applyNumberFormat="1" applyFont="1" applyBorder="1" applyAlignment="1">
      <alignment horizontal="justify" vertical="center" wrapText="1"/>
    </xf>
    <xf numFmtId="9" fontId="24" fillId="0" borderId="88" xfId="0" applyNumberFormat="1" applyFont="1" applyBorder="1" applyAlignment="1">
      <alignment horizontal="justify" vertical="center" wrapText="1"/>
    </xf>
    <xf numFmtId="174" fontId="22" fillId="0" borderId="85" xfId="0" applyNumberFormat="1" applyFont="1" applyBorder="1" applyAlignment="1">
      <alignment horizontal="center" vertical="center" wrapText="1"/>
    </xf>
    <xf numFmtId="174" fontId="22" fillId="0" borderId="88" xfId="0" applyNumberFormat="1" applyFont="1" applyBorder="1" applyAlignment="1">
      <alignment horizontal="center" vertical="center" wrapText="1"/>
    </xf>
    <xf numFmtId="9" fontId="24" fillId="0" borderId="0" xfId="0" applyNumberFormat="1" applyFont="1" applyAlignment="1">
      <alignment horizontal="justify" vertical="center" wrapText="1"/>
    </xf>
    <xf numFmtId="174" fontId="22" fillId="0" borderId="0" xfId="0" applyNumberFormat="1" applyFont="1" applyAlignment="1">
      <alignment horizontal="center" vertical="center" wrapText="1"/>
    </xf>
    <xf numFmtId="9" fontId="54" fillId="32" borderId="5" xfId="25" applyNumberFormat="1" applyFont="1" applyFill="1" applyBorder="1" applyAlignment="1">
      <alignment horizontal="justify" vertical="center" wrapText="1"/>
    </xf>
    <xf numFmtId="9" fontId="54" fillId="32" borderId="1" xfId="25" applyNumberFormat="1" applyFont="1" applyFill="1" applyBorder="1" applyAlignment="1">
      <alignment horizontal="justify" vertical="center" wrapText="1"/>
    </xf>
    <xf numFmtId="9" fontId="54" fillId="32" borderId="9" xfId="25" applyNumberFormat="1" applyFont="1" applyFill="1" applyBorder="1" applyAlignment="1">
      <alignment horizontal="justify" vertical="center" wrapText="1"/>
    </xf>
    <xf numFmtId="9" fontId="54" fillId="32" borderId="41" xfId="25" applyNumberFormat="1" applyFont="1" applyFill="1" applyBorder="1" applyAlignment="1">
      <alignment horizontal="justify" vertical="center" wrapText="1"/>
    </xf>
    <xf numFmtId="9" fontId="54" fillId="32" borderId="19" xfId="25" applyNumberFormat="1" applyFont="1" applyFill="1" applyBorder="1" applyAlignment="1">
      <alignment horizontal="justify" vertical="center" wrapText="1"/>
    </xf>
    <xf numFmtId="9" fontId="54" fillId="32" borderId="37" xfId="25" applyNumberFormat="1" applyFont="1" applyFill="1" applyBorder="1" applyAlignment="1">
      <alignment horizontal="justify" vertical="center" wrapText="1"/>
    </xf>
    <xf numFmtId="0" fontId="23" fillId="26" borderId="85" xfId="0" applyFont="1" applyFill="1" applyBorder="1" applyAlignment="1">
      <alignment horizontal="justify" vertical="center" wrapText="1"/>
    </xf>
    <xf numFmtId="0" fontId="23" fillId="26" borderId="88" xfId="0" applyFont="1" applyFill="1" applyBorder="1" applyAlignment="1">
      <alignment horizontal="justify" vertical="center" wrapText="1"/>
    </xf>
    <xf numFmtId="0" fontId="23" fillId="26" borderId="85" xfId="0" applyFont="1" applyFill="1" applyBorder="1" applyAlignment="1">
      <alignment horizontal="center" vertical="center" wrapText="1"/>
    </xf>
    <xf numFmtId="0" fontId="23" fillId="26" borderId="88" xfId="0" applyFont="1" applyFill="1" applyBorder="1" applyAlignment="1">
      <alignment horizontal="center" vertical="center" wrapText="1"/>
    </xf>
    <xf numFmtId="0" fontId="23" fillId="26" borderId="89" xfId="0" applyFont="1" applyFill="1" applyBorder="1" applyAlignment="1">
      <alignment horizontal="center" vertical="center" wrapText="1"/>
    </xf>
    <xf numFmtId="0" fontId="23" fillId="26" borderId="90" xfId="0" applyFont="1" applyFill="1" applyBorder="1" applyAlignment="1">
      <alignment horizontal="center" vertical="center" wrapText="1"/>
    </xf>
    <xf numFmtId="0" fontId="23" fillId="26" borderId="91" xfId="0" applyFont="1" applyFill="1" applyBorder="1" applyAlignment="1">
      <alignment horizontal="center" vertical="center" wrapText="1"/>
    </xf>
    <xf numFmtId="9" fontId="22" fillId="0" borderId="85" xfId="0" applyNumberFormat="1" applyFont="1" applyBorder="1" applyAlignment="1">
      <alignment horizontal="center" vertical="center" wrapText="1"/>
    </xf>
    <xf numFmtId="9" fontId="22" fillId="0" borderId="88" xfId="0" applyNumberFormat="1" applyFont="1" applyBorder="1" applyAlignment="1">
      <alignment horizontal="center" vertical="center" wrapText="1"/>
    </xf>
    <xf numFmtId="2" fontId="54" fillId="0" borderId="8" xfId="25" applyNumberFormat="1" applyFont="1" applyBorder="1" applyAlignment="1">
      <alignment horizontal="justify" vertical="top" wrapText="1"/>
    </xf>
    <xf numFmtId="2" fontId="54" fillId="0" borderId="26" xfId="25" applyNumberFormat="1" applyFont="1" applyBorder="1" applyAlignment="1">
      <alignment horizontal="justify" vertical="top" wrapText="1"/>
    </xf>
    <xf numFmtId="0" fontId="41" fillId="0" borderId="52" xfId="0" applyFont="1" applyBorder="1" applyAlignment="1">
      <alignment horizontal="center" vertical="center" wrapText="1"/>
    </xf>
    <xf numFmtId="0" fontId="41" fillId="0" borderId="22" xfId="0" applyFont="1" applyBorder="1" applyAlignment="1">
      <alignment horizontal="center" vertical="center" wrapText="1"/>
    </xf>
    <xf numFmtId="0" fontId="12" fillId="19" borderId="15" xfId="25" applyFont="1" applyFill="1" applyBorder="1" applyAlignment="1">
      <alignment horizontal="left" vertical="center" wrapText="1"/>
    </xf>
    <xf numFmtId="0" fontId="12" fillId="0" borderId="10" xfId="25" applyFont="1" applyBorder="1" applyAlignment="1">
      <alignment horizontal="center" vertical="center" wrapText="1"/>
    </xf>
    <xf numFmtId="0" fontId="12" fillId="0" borderId="33" xfId="25" applyFont="1" applyBorder="1" applyAlignment="1">
      <alignment horizontal="center" vertical="center" wrapText="1"/>
    </xf>
    <xf numFmtId="0" fontId="12" fillId="20" borderId="59" xfId="25" applyFont="1" applyFill="1" applyBorder="1" applyAlignment="1">
      <alignment horizontal="center" vertical="center" wrapText="1"/>
    </xf>
    <xf numFmtId="0" fontId="12" fillId="20" borderId="25" xfId="25" applyFont="1" applyFill="1" applyBorder="1" applyAlignment="1">
      <alignment horizontal="center" vertical="center" wrapText="1"/>
    </xf>
    <xf numFmtId="0" fontId="12" fillId="20" borderId="20" xfId="25" applyFont="1" applyFill="1" applyBorder="1" applyAlignment="1">
      <alignment horizontal="center" vertical="center" wrapText="1"/>
    </xf>
    <xf numFmtId="0" fontId="12" fillId="20" borderId="58" xfId="25" applyFont="1" applyFill="1" applyBorder="1" applyAlignment="1">
      <alignment horizontal="center" vertical="center" wrapText="1"/>
    </xf>
    <xf numFmtId="0" fontId="41" fillId="0" borderId="50" xfId="0" applyFont="1" applyBorder="1" applyAlignment="1">
      <alignment horizontal="center" vertical="center" wrapText="1"/>
    </xf>
    <xf numFmtId="0" fontId="41" fillId="0" borderId="51" xfId="0" applyFont="1" applyBorder="1" applyAlignment="1">
      <alignment horizontal="center" vertical="center" wrapText="1"/>
    </xf>
    <xf numFmtId="0" fontId="12" fillId="19" borderId="20" xfId="25" applyFont="1" applyFill="1" applyBorder="1" applyAlignment="1">
      <alignment horizontal="center" vertical="center" wrapText="1"/>
    </xf>
    <xf numFmtId="0" fontId="12" fillId="19" borderId="3" xfId="25" applyFont="1" applyFill="1" applyBorder="1" applyAlignment="1">
      <alignment horizontal="center" vertical="center" wrapText="1"/>
    </xf>
    <xf numFmtId="0" fontId="12" fillId="19" borderId="7" xfId="25" applyFont="1" applyFill="1" applyBorder="1" applyAlignment="1">
      <alignment horizontal="center" vertical="center" wrapText="1"/>
    </xf>
    <xf numFmtId="0" fontId="47" fillId="0" borderId="47" xfId="0" applyFont="1" applyBorder="1" applyAlignment="1">
      <alignment horizontal="center" vertical="center"/>
    </xf>
    <xf numFmtId="0" fontId="47" fillId="0" borderId="12" xfId="0" applyFont="1" applyBorder="1" applyAlignment="1">
      <alignment horizontal="center" vertical="center"/>
    </xf>
    <xf numFmtId="0" fontId="47" fillId="0" borderId="13" xfId="0" applyFont="1" applyBorder="1" applyAlignment="1">
      <alignment horizontal="center" vertical="center"/>
    </xf>
    <xf numFmtId="0" fontId="47" fillId="0" borderId="14" xfId="0" applyFont="1" applyBorder="1" applyAlignment="1">
      <alignment horizontal="center" vertical="center"/>
    </xf>
    <xf numFmtId="0" fontId="47" fillId="0" borderId="45" xfId="0" applyFont="1" applyBorder="1" applyAlignment="1">
      <alignment horizontal="center" vertical="center"/>
    </xf>
    <xf numFmtId="0" fontId="47" fillId="0" borderId="16" xfId="0" applyFont="1" applyBorder="1" applyAlignment="1">
      <alignment horizontal="center" vertical="center"/>
    </xf>
    <xf numFmtId="0" fontId="12" fillId="20" borderId="47" xfId="25" applyFont="1" applyFill="1" applyBorder="1" applyAlignment="1">
      <alignment horizontal="center" vertical="center" wrapText="1"/>
    </xf>
    <xf numFmtId="0" fontId="12" fillId="20" borderId="12" xfId="25" applyFont="1" applyFill="1" applyBorder="1" applyAlignment="1">
      <alignment horizontal="center" vertical="center" wrapText="1"/>
    </xf>
    <xf numFmtId="0" fontId="12" fillId="20" borderId="13" xfId="25" applyFont="1" applyFill="1" applyBorder="1" applyAlignment="1">
      <alignment horizontal="center" vertical="center" wrapText="1"/>
    </xf>
    <xf numFmtId="0" fontId="12" fillId="20" borderId="14" xfId="25" applyFont="1" applyFill="1" applyBorder="1" applyAlignment="1">
      <alignment horizontal="center" vertical="center" wrapText="1"/>
    </xf>
    <xf numFmtId="0" fontId="12" fillId="20" borderId="45" xfId="25" applyFont="1" applyFill="1" applyBorder="1" applyAlignment="1">
      <alignment horizontal="center" vertical="center" wrapText="1"/>
    </xf>
    <xf numFmtId="0" fontId="12" fillId="20" borderId="16" xfId="25" applyFont="1" applyFill="1" applyBorder="1" applyAlignment="1">
      <alignment horizontal="center" vertical="center" wrapText="1"/>
    </xf>
    <xf numFmtId="0" fontId="12" fillId="20" borderId="42" xfId="25" applyFont="1" applyFill="1" applyBorder="1" applyAlignment="1">
      <alignment horizontal="left" vertical="center" wrapText="1"/>
    </xf>
    <xf numFmtId="0" fontId="12" fillId="20" borderId="44" xfId="25" applyFont="1" applyFill="1" applyBorder="1" applyAlignment="1">
      <alignment horizontal="left" vertical="center" wrapText="1"/>
    </xf>
    <xf numFmtId="0" fontId="15" fillId="0" borderId="42" xfId="25" applyFont="1" applyBorder="1" applyAlignment="1">
      <alignment horizontal="center" vertical="center" wrapText="1"/>
    </xf>
    <xf numFmtId="0" fontId="15" fillId="0" borderId="43" xfId="25" applyFont="1" applyBorder="1" applyAlignment="1">
      <alignment horizontal="center" vertical="center" wrapText="1"/>
    </xf>
    <xf numFmtId="0" fontId="15" fillId="0" borderId="44" xfId="25" applyFont="1" applyBorder="1" applyAlignment="1">
      <alignment horizontal="center" vertical="center" wrapText="1"/>
    </xf>
    <xf numFmtId="172" fontId="12" fillId="19" borderId="56" xfId="20" applyNumberFormat="1" applyFont="1" applyFill="1" applyBorder="1" applyAlignment="1" applyProtection="1">
      <alignment horizontal="center" vertical="center" wrapText="1"/>
    </xf>
    <xf numFmtId="172" fontId="12" fillId="19" borderId="67" xfId="20" applyNumberFormat="1" applyFont="1" applyFill="1" applyBorder="1" applyAlignment="1" applyProtection="1">
      <alignment horizontal="center" vertical="center" wrapText="1"/>
    </xf>
    <xf numFmtId="172" fontId="12" fillId="19" borderId="41" xfId="20" applyNumberFormat="1" applyFont="1" applyFill="1" applyBorder="1" applyAlignment="1" applyProtection="1">
      <alignment horizontal="center" vertical="center" wrapText="1"/>
    </xf>
    <xf numFmtId="0" fontId="12" fillId="19" borderId="52" xfId="25" applyFont="1" applyFill="1" applyBorder="1" applyAlignment="1">
      <alignment horizontal="center" vertical="center" wrapText="1"/>
    </xf>
    <xf numFmtId="0" fontId="12" fillId="19" borderId="60" xfId="25" applyFont="1" applyFill="1" applyBorder="1" applyAlignment="1">
      <alignment horizontal="center" vertical="center" wrapText="1"/>
    </xf>
    <xf numFmtId="0" fontId="12" fillId="19" borderId="5" xfId="25" applyFont="1" applyFill="1" applyBorder="1" applyAlignment="1">
      <alignment horizontal="center" vertical="center" wrapText="1"/>
    </xf>
    <xf numFmtId="172" fontId="12" fillId="0" borderId="2" xfId="20" applyNumberFormat="1" applyFont="1" applyFill="1" applyBorder="1" applyAlignment="1" applyProtection="1">
      <alignment horizontal="center" vertical="center" wrapText="1"/>
    </xf>
    <xf numFmtId="172" fontId="12" fillId="0" borderId="22" xfId="20" applyNumberFormat="1" applyFont="1" applyFill="1" applyBorder="1" applyAlignment="1" applyProtection="1">
      <alignment horizontal="center" vertical="center" wrapText="1"/>
    </xf>
    <xf numFmtId="172" fontId="12" fillId="19" borderId="21" xfId="20" applyNumberFormat="1" applyFont="1" applyFill="1" applyBorder="1" applyAlignment="1" applyProtection="1">
      <alignment horizontal="center" vertical="center" wrapText="1"/>
    </xf>
    <xf numFmtId="0" fontId="12" fillId="0" borderId="2" xfId="25" applyFont="1" applyBorder="1" applyAlignment="1">
      <alignment horizontal="center" vertical="center" wrapText="1"/>
    </xf>
    <xf numFmtId="0" fontId="12" fillId="0" borderId="60" xfId="25" applyFont="1" applyBorder="1" applyAlignment="1">
      <alignment horizontal="center" vertical="center" wrapText="1"/>
    </xf>
    <xf numFmtId="0" fontId="12" fillId="0" borderId="5" xfId="25" applyFont="1" applyBorder="1" applyAlignment="1">
      <alignment horizontal="center" vertical="center" wrapText="1"/>
    </xf>
    <xf numFmtId="0" fontId="12" fillId="0" borderId="47" xfId="25" applyFont="1" applyBorder="1" applyAlignment="1">
      <alignment horizontal="center" vertical="center"/>
    </xf>
    <xf numFmtId="0" fontId="12" fillId="0" borderId="11" xfId="25" applyFont="1" applyBorder="1" applyAlignment="1">
      <alignment horizontal="center" vertical="center"/>
    </xf>
    <xf numFmtId="0" fontId="12" fillId="0" borderId="12" xfId="25" applyFont="1" applyBorder="1" applyAlignment="1">
      <alignment horizontal="center" vertical="center"/>
    </xf>
    <xf numFmtId="9" fontId="43" fillId="0" borderId="59" xfId="25" applyNumberFormat="1" applyFont="1" applyBorder="1" applyAlignment="1">
      <alignment horizontal="center" vertical="center" wrapText="1"/>
    </xf>
    <xf numFmtId="9" fontId="43" fillId="0" borderId="24" xfId="25" applyNumberFormat="1" applyFont="1" applyBorder="1" applyAlignment="1">
      <alignment horizontal="center" vertical="center" wrapText="1"/>
    </xf>
    <xf numFmtId="9" fontId="43" fillId="0" borderId="65" xfId="25" applyNumberFormat="1" applyFont="1" applyBorder="1" applyAlignment="1">
      <alignment horizontal="center" vertical="center" wrapText="1"/>
    </xf>
    <xf numFmtId="9" fontId="43" fillId="0" borderId="68" xfId="25" applyNumberFormat="1" applyFont="1" applyBorder="1" applyAlignment="1">
      <alignment horizontal="center" vertical="center" wrapText="1"/>
    </xf>
    <xf numFmtId="9" fontId="43" fillId="0" borderId="0" xfId="25" applyNumberFormat="1" applyFont="1" applyAlignment="1">
      <alignment horizontal="center" vertical="center" wrapText="1"/>
    </xf>
    <xf numFmtId="9" fontId="43" fillId="0" borderId="14" xfId="25" applyNumberFormat="1" applyFont="1" applyBorder="1" applyAlignment="1">
      <alignment horizontal="center" vertical="center" wrapText="1"/>
    </xf>
    <xf numFmtId="0" fontId="12" fillId="19" borderId="34" xfId="25" applyFont="1" applyFill="1" applyBorder="1" applyAlignment="1">
      <alignment horizontal="center" vertical="center" wrapText="1"/>
    </xf>
    <xf numFmtId="0" fontId="12" fillId="19" borderId="48" xfId="25" applyFont="1" applyFill="1" applyBorder="1" applyAlignment="1">
      <alignment horizontal="center" vertical="center" wrapText="1"/>
    </xf>
    <xf numFmtId="0" fontId="12" fillId="19" borderId="35" xfId="25" applyFont="1" applyFill="1" applyBorder="1" applyAlignment="1">
      <alignment horizontal="center" vertical="center" wrapText="1"/>
    </xf>
    <xf numFmtId="0" fontId="12" fillId="19" borderId="49" xfId="25" applyFont="1" applyFill="1" applyBorder="1" applyAlignment="1">
      <alignment horizontal="center" vertical="center" wrapText="1"/>
    </xf>
    <xf numFmtId="0" fontId="12" fillId="20" borderId="1" xfId="25" applyFont="1" applyFill="1" applyBorder="1" applyAlignment="1">
      <alignment horizontal="center" vertical="center" wrapText="1"/>
    </xf>
    <xf numFmtId="0" fontId="12" fillId="20" borderId="5" xfId="25" applyFont="1" applyFill="1" applyBorder="1" applyAlignment="1">
      <alignment horizontal="center" vertical="center" wrapText="1"/>
    </xf>
    <xf numFmtId="0" fontId="12" fillId="20" borderId="35" xfId="25" applyFont="1" applyFill="1" applyBorder="1" applyAlignment="1">
      <alignment horizontal="center" vertical="center" wrapText="1"/>
    </xf>
    <xf numFmtId="0" fontId="12" fillId="0" borderId="13" xfId="25" applyFont="1" applyBorder="1" applyAlignment="1">
      <alignment horizontal="center" vertical="center"/>
    </xf>
    <xf numFmtId="0" fontId="12" fillId="0" borderId="0" xfId="25" applyFont="1" applyAlignment="1">
      <alignment horizontal="center" vertical="center"/>
    </xf>
    <xf numFmtId="0" fontId="12" fillId="0" borderId="14" xfId="25" applyFont="1" applyBorder="1" applyAlignment="1">
      <alignment horizontal="center" vertical="center"/>
    </xf>
    <xf numFmtId="0" fontId="12" fillId="19" borderId="0" xfId="25" applyFont="1" applyFill="1" applyAlignment="1">
      <alignment horizontal="center" vertical="center" wrapText="1"/>
    </xf>
    <xf numFmtId="0" fontId="12" fillId="0" borderId="42" xfId="25" applyFont="1" applyBorder="1" applyAlignment="1">
      <alignment horizontal="center" vertical="center" wrapText="1"/>
    </xf>
    <xf numFmtId="0" fontId="12" fillId="0" borderId="43" xfId="25" applyFont="1" applyBorder="1" applyAlignment="1">
      <alignment horizontal="center" vertical="center" wrapText="1"/>
    </xf>
    <xf numFmtId="0" fontId="12" fillId="0" borderId="44" xfId="25" applyFont="1" applyBorder="1" applyAlignment="1">
      <alignment horizontal="center" vertical="center" wrapText="1"/>
    </xf>
    <xf numFmtId="9" fontId="43" fillId="0" borderId="59" xfId="33" applyFont="1" applyFill="1" applyBorder="1" applyAlignment="1" applyProtection="1">
      <alignment horizontal="center" vertical="center" wrapText="1"/>
    </xf>
    <xf numFmtId="9" fontId="43" fillId="0" borderId="24" xfId="33" applyFont="1" applyFill="1" applyBorder="1" applyAlignment="1" applyProtection="1">
      <alignment horizontal="center" vertical="center" wrapText="1"/>
    </xf>
    <xf numFmtId="9" fontId="43" fillId="0" borderId="25" xfId="33" applyFont="1" applyFill="1" applyBorder="1" applyAlignment="1" applyProtection="1">
      <alignment horizontal="center" vertical="center" wrapText="1"/>
    </xf>
    <xf numFmtId="9" fontId="43" fillId="0" borderId="63" xfId="33" applyFont="1" applyFill="1" applyBorder="1" applyAlignment="1" applyProtection="1">
      <alignment horizontal="center" vertical="center" wrapText="1"/>
    </xf>
    <xf numFmtId="9" fontId="43" fillId="0" borderId="15" xfId="33" applyFont="1" applyFill="1" applyBorder="1" applyAlignment="1" applyProtection="1">
      <alignment horizontal="center" vertical="center" wrapText="1"/>
    </xf>
    <xf numFmtId="9" fontId="43" fillId="0" borderId="64" xfId="33" applyFont="1" applyFill="1" applyBorder="1" applyAlignment="1" applyProtection="1">
      <alignment horizontal="center" vertical="center" wrapText="1"/>
    </xf>
    <xf numFmtId="9" fontId="43" fillId="0" borderId="65" xfId="33" applyFont="1" applyFill="1" applyBorder="1" applyAlignment="1" applyProtection="1">
      <alignment horizontal="center" vertical="center" wrapText="1"/>
    </xf>
    <xf numFmtId="9" fontId="43" fillId="0" borderId="16" xfId="33" applyFont="1" applyFill="1" applyBorder="1" applyAlignment="1" applyProtection="1">
      <alignment horizontal="center" vertical="center" wrapText="1"/>
    </xf>
    <xf numFmtId="0" fontId="12" fillId="20" borderId="2" xfId="25" applyFont="1" applyFill="1" applyBorder="1" applyAlignment="1">
      <alignment horizontal="center" vertical="center" wrapText="1"/>
    </xf>
    <xf numFmtId="0" fontId="12" fillId="20" borderId="60" xfId="25" applyFont="1" applyFill="1" applyBorder="1" applyAlignment="1">
      <alignment horizontal="center" vertical="center" wrapText="1"/>
    </xf>
    <xf numFmtId="0" fontId="12" fillId="20" borderId="9" xfId="25" applyFont="1" applyFill="1" applyBorder="1" applyAlignment="1">
      <alignment horizontal="center" vertical="center" wrapText="1"/>
    </xf>
    <xf numFmtId="0" fontId="12" fillId="20" borderId="3" xfId="25" applyFont="1" applyFill="1" applyBorder="1" applyAlignment="1">
      <alignment horizontal="center" vertical="center" wrapText="1"/>
    </xf>
    <xf numFmtId="0" fontId="12" fillId="19" borderId="6" xfId="25" applyFont="1" applyFill="1" applyBorder="1" applyAlignment="1">
      <alignment horizontal="center" vertical="center" wrapText="1"/>
    </xf>
    <xf numFmtId="0" fontId="12" fillId="19" borderId="58" xfId="25" applyFont="1" applyFill="1" applyBorder="1" applyAlignment="1">
      <alignment horizontal="center" vertical="center" wrapText="1"/>
    </xf>
    <xf numFmtId="0" fontId="12" fillId="20" borderId="42" xfId="25" applyFont="1" applyFill="1" applyBorder="1" applyAlignment="1">
      <alignment horizontal="center" vertical="center" wrapText="1"/>
    </xf>
    <xf numFmtId="0" fontId="12" fillId="20" borderId="43" xfId="25" applyFont="1" applyFill="1" applyBorder="1" applyAlignment="1">
      <alignment horizontal="center" vertical="center" wrapText="1"/>
    </xf>
    <xf numFmtId="0" fontId="12" fillId="20" borderId="44" xfId="25" applyFont="1" applyFill="1" applyBorder="1" applyAlignment="1">
      <alignment horizontal="center" vertical="center" wrapText="1"/>
    </xf>
    <xf numFmtId="2" fontId="11" fillId="0" borderId="18" xfId="25" applyNumberFormat="1" applyFont="1" applyBorder="1" applyAlignment="1">
      <alignment vertical="center" wrapText="1"/>
    </xf>
    <xf numFmtId="0" fontId="0" fillId="0" borderId="32" xfId="0" applyBorder="1" applyAlignment="1">
      <alignment vertical="center" wrapText="1"/>
    </xf>
    <xf numFmtId="0" fontId="12" fillId="20" borderId="29" xfId="25" applyFont="1" applyFill="1" applyBorder="1" applyAlignment="1">
      <alignment horizontal="center" vertical="center" wrapText="1"/>
    </xf>
    <xf numFmtId="0" fontId="12" fillId="20" borderId="30" xfId="25" applyFont="1" applyFill="1" applyBorder="1" applyAlignment="1">
      <alignment horizontal="center" vertical="center" wrapText="1"/>
    </xf>
    <xf numFmtId="0" fontId="12" fillId="20" borderId="31" xfId="25" applyFont="1" applyFill="1" applyBorder="1" applyAlignment="1">
      <alignment horizontal="center" vertical="center" wrapText="1"/>
    </xf>
    <xf numFmtId="9" fontId="12" fillId="0" borderId="42" xfId="25" applyNumberFormat="1" applyFont="1" applyBorder="1" applyAlignment="1">
      <alignment horizontal="center" vertical="center" wrapText="1"/>
    </xf>
    <xf numFmtId="9" fontId="12" fillId="0" borderId="44" xfId="25" applyNumberFormat="1" applyFont="1" applyBorder="1" applyAlignment="1">
      <alignment horizontal="center" vertical="center" wrapText="1"/>
    </xf>
    <xf numFmtId="172" fontId="12" fillId="19" borderId="2" xfId="20" applyNumberFormat="1" applyFont="1" applyFill="1" applyBorder="1" applyAlignment="1" applyProtection="1">
      <alignment horizontal="center" vertical="center"/>
    </xf>
    <xf numFmtId="172" fontId="12" fillId="19" borderId="5" xfId="20" applyNumberFormat="1" applyFont="1" applyFill="1" applyBorder="1" applyAlignment="1" applyProtection="1">
      <alignment horizontal="center" vertical="center"/>
    </xf>
    <xf numFmtId="0" fontId="12" fillId="20" borderId="7" xfId="25" applyFont="1" applyFill="1" applyBorder="1" applyAlignment="1">
      <alignment horizontal="center" vertical="center" wrapText="1"/>
    </xf>
    <xf numFmtId="0" fontId="12" fillId="20" borderId="22" xfId="25" applyFont="1" applyFill="1" applyBorder="1" applyAlignment="1">
      <alignment horizontal="center" vertical="center" wrapText="1"/>
    </xf>
    <xf numFmtId="9" fontId="43" fillId="0" borderId="59" xfId="25" applyNumberFormat="1" applyFont="1" applyBorder="1" applyAlignment="1">
      <alignment horizontal="left" vertical="center" wrapText="1"/>
    </xf>
    <xf numFmtId="9" fontId="43" fillId="0" borderId="24" xfId="25" applyNumberFormat="1" applyFont="1" applyBorder="1" applyAlignment="1">
      <alignment horizontal="left" vertical="center" wrapText="1"/>
    </xf>
    <xf numFmtId="9" fontId="43" fillId="0" borderId="65" xfId="25" applyNumberFormat="1" applyFont="1" applyBorder="1" applyAlignment="1">
      <alignment horizontal="left" vertical="center" wrapText="1"/>
    </xf>
    <xf numFmtId="9" fontId="43" fillId="0" borderId="68" xfId="25" applyNumberFormat="1" applyFont="1" applyBorder="1" applyAlignment="1">
      <alignment horizontal="left" vertical="center" wrapText="1"/>
    </xf>
    <xf numFmtId="9" fontId="43" fillId="0" borderId="0" xfId="25" applyNumberFormat="1" applyFont="1" applyAlignment="1">
      <alignment horizontal="left" vertical="center" wrapText="1"/>
    </xf>
    <xf numFmtId="9" fontId="43" fillId="0" borderId="14" xfId="25" applyNumberFormat="1" applyFont="1" applyBorder="1" applyAlignment="1">
      <alignment horizontal="left" vertical="center" wrapText="1"/>
    </xf>
    <xf numFmtId="0" fontId="12" fillId="20" borderId="46" xfId="25" applyFont="1" applyFill="1" applyBorder="1" applyAlignment="1">
      <alignment horizontal="center" vertical="center" wrapText="1"/>
    </xf>
    <xf numFmtId="0" fontId="12" fillId="20" borderId="66" xfId="25" applyFont="1" applyFill="1" applyBorder="1" applyAlignment="1">
      <alignment horizontal="center" vertical="center" wrapText="1"/>
    </xf>
    <xf numFmtId="0" fontId="12" fillId="20" borderId="51" xfId="25" applyFont="1" applyFill="1" applyBorder="1" applyAlignment="1">
      <alignment horizontal="center" vertical="center" wrapText="1"/>
    </xf>
    <xf numFmtId="0" fontId="47" fillId="0" borderId="53" xfId="0" applyFont="1" applyBorder="1" applyAlignment="1">
      <alignment horizontal="center" vertical="center"/>
    </xf>
    <xf numFmtId="0" fontId="47" fillId="0" borderId="55" xfId="0" applyFont="1" applyBorder="1" applyAlignment="1">
      <alignment horizontal="center" vertical="center"/>
    </xf>
    <xf numFmtId="2" fontId="11" fillId="0" borderId="10" xfId="25" applyNumberFormat="1" applyFont="1" applyBorder="1" applyAlignment="1">
      <alignment horizontal="center" vertical="center" wrapText="1"/>
    </xf>
    <xf numFmtId="2" fontId="11" fillId="0" borderId="33" xfId="25" applyNumberFormat="1" applyFont="1" applyBorder="1" applyAlignment="1">
      <alignment horizontal="center" vertical="center" wrapText="1"/>
    </xf>
    <xf numFmtId="0" fontId="11" fillId="0" borderId="42" xfId="25" applyFont="1" applyBorder="1" applyAlignment="1">
      <alignment horizontal="center" vertical="center" wrapText="1"/>
    </xf>
    <xf numFmtId="0" fontId="11" fillId="0" borderId="43" xfId="25" applyFont="1" applyBorder="1" applyAlignment="1">
      <alignment horizontal="center" vertical="center" wrapText="1"/>
    </xf>
    <xf numFmtId="0" fontId="11" fillId="0" borderId="44" xfId="25" applyFont="1" applyBorder="1" applyAlignment="1">
      <alignment horizontal="center" vertical="center" wrapText="1"/>
    </xf>
    <xf numFmtId="9" fontId="43" fillId="0" borderId="63" xfId="25" applyNumberFormat="1" applyFont="1" applyBorder="1" applyAlignment="1">
      <alignment horizontal="center" vertical="center" wrapText="1"/>
    </xf>
    <xf numFmtId="9" fontId="43" fillId="0" borderId="15" xfId="25" applyNumberFormat="1" applyFont="1" applyBorder="1" applyAlignment="1">
      <alignment horizontal="center" vertical="center" wrapText="1"/>
    </xf>
    <xf numFmtId="9" fontId="43" fillId="0" borderId="16" xfId="25" applyNumberFormat="1" applyFont="1" applyBorder="1" applyAlignment="1">
      <alignment horizontal="center" vertical="center" wrapText="1"/>
    </xf>
    <xf numFmtId="0" fontId="11" fillId="0" borderId="53" xfId="25" applyFont="1" applyBorder="1" applyAlignment="1">
      <alignment horizontal="center" vertical="center" wrapText="1"/>
    </xf>
    <xf numFmtId="0" fontId="11" fillId="0" borderId="54" xfId="25" applyFont="1" applyBorder="1" applyAlignment="1">
      <alignment horizontal="center" vertical="center" wrapText="1"/>
    </xf>
    <xf numFmtId="0" fontId="11" fillId="0" borderId="55" xfId="25" applyFont="1" applyBorder="1" applyAlignment="1">
      <alignment horizontal="center" vertical="center" wrapText="1"/>
    </xf>
    <xf numFmtId="0" fontId="12" fillId="29" borderId="5" xfId="0" applyFont="1" applyFill="1" applyBorder="1" applyAlignment="1">
      <alignment horizontal="left" vertical="center" wrapText="1"/>
    </xf>
    <xf numFmtId="0" fontId="12" fillId="29" borderId="1" xfId="0" applyFont="1" applyFill="1" applyBorder="1" applyAlignment="1">
      <alignment horizontal="left" vertical="center" wrapText="1"/>
    </xf>
    <xf numFmtId="0" fontId="12" fillId="29" borderId="9" xfId="0" applyFont="1" applyFill="1" applyBorder="1" applyAlignment="1">
      <alignment horizontal="left" vertical="center" wrapText="1"/>
    </xf>
    <xf numFmtId="0" fontId="46" fillId="0" borderId="41" xfId="0" applyFont="1" applyBorder="1" applyAlignment="1">
      <alignment horizontal="left" vertical="center" wrapText="1"/>
    </xf>
    <xf numFmtId="0" fontId="46" fillId="0" borderId="19" xfId="0" applyFont="1" applyBorder="1" applyAlignment="1">
      <alignment horizontal="left" vertical="center" wrapText="1"/>
    </xf>
    <xf numFmtId="0" fontId="46" fillId="0" borderId="37" xfId="0" applyFont="1" applyBorder="1" applyAlignment="1">
      <alignment horizontal="left" vertical="center" wrapText="1"/>
    </xf>
    <xf numFmtId="0" fontId="12" fillId="20" borderId="11" xfId="25" applyFont="1" applyFill="1" applyBorder="1" applyAlignment="1">
      <alignment horizontal="center" vertical="center" wrapText="1"/>
    </xf>
    <xf numFmtId="0" fontId="12" fillId="20" borderId="0" xfId="25" applyFont="1" applyFill="1" applyAlignment="1">
      <alignment horizontal="center" vertical="center" wrapText="1"/>
    </xf>
    <xf numFmtId="0" fontId="12" fillId="20" borderId="15" xfId="25" applyFont="1" applyFill="1" applyBorder="1" applyAlignment="1">
      <alignment horizontal="center" vertical="center" wrapText="1"/>
    </xf>
    <xf numFmtId="0" fontId="12" fillId="20" borderId="47" xfId="25" applyFont="1" applyFill="1" applyBorder="1" applyAlignment="1">
      <alignment horizontal="left" vertical="center" wrapText="1"/>
    </xf>
    <xf numFmtId="0" fontId="12" fillId="20" borderId="12" xfId="25" applyFont="1" applyFill="1" applyBorder="1" applyAlignment="1">
      <alignment horizontal="left" vertical="center" wrapText="1"/>
    </xf>
    <xf numFmtId="0" fontId="12" fillId="20" borderId="45" xfId="25" applyFont="1" applyFill="1" applyBorder="1" applyAlignment="1">
      <alignment horizontal="left" vertical="center" wrapText="1"/>
    </xf>
    <xf numFmtId="0" fontId="12" fillId="20" borderId="16" xfId="25" applyFont="1" applyFill="1" applyBorder="1" applyAlignment="1">
      <alignment horizontal="left" vertical="center" wrapText="1"/>
    </xf>
    <xf numFmtId="0" fontId="12" fillId="20" borderId="13" xfId="25" applyFont="1" applyFill="1" applyBorder="1" applyAlignment="1">
      <alignment horizontal="left" vertical="center" wrapText="1"/>
    </xf>
    <xf numFmtId="0" fontId="12" fillId="20" borderId="14" xfId="25" applyFont="1" applyFill="1" applyBorder="1" applyAlignment="1">
      <alignment horizontal="left" vertical="center" wrapText="1"/>
    </xf>
    <xf numFmtId="0" fontId="12" fillId="0" borderId="29" xfId="25" applyFont="1" applyBorder="1" applyAlignment="1">
      <alignment horizontal="center" vertical="center" wrapText="1"/>
    </xf>
    <xf numFmtId="0" fontId="12" fillId="0" borderId="30" xfId="25" applyFont="1" applyBorder="1" applyAlignment="1">
      <alignment horizontal="center" vertical="center" wrapText="1"/>
    </xf>
    <xf numFmtId="0" fontId="12" fillId="0" borderId="31" xfId="25" applyFont="1" applyBorder="1" applyAlignment="1">
      <alignment horizontal="center" vertical="center" wrapText="1"/>
    </xf>
    <xf numFmtId="0" fontId="0" fillId="0" borderId="50" xfId="0" applyBorder="1" applyAlignment="1">
      <alignment horizontal="center" vertical="center"/>
    </xf>
    <xf numFmtId="0" fontId="0" fillId="0" borderId="51" xfId="0" applyBorder="1" applyAlignment="1">
      <alignment horizontal="center" vertical="center"/>
    </xf>
    <xf numFmtId="0" fontId="41" fillId="0" borderId="56" xfId="0" applyFont="1" applyBorder="1" applyAlignment="1">
      <alignment horizontal="center" vertical="center" wrapText="1"/>
    </xf>
    <xf numFmtId="0" fontId="41" fillId="0" borderId="57" xfId="0" applyFont="1" applyBorder="1" applyAlignment="1">
      <alignment horizontal="center" vertical="center" wrapText="1"/>
    </xf>
    <xf numFmtId="0" fontId="12" fillId="0" borderId="13" xfId="25" applyFont="1" applyBorder="1" applyAlignment="1">
      <alignment horizontal="center" vertical="center" wrapText="1"/>
    </xf>
    <xf numFmtId="0" fontId="12" fillId="0" borderId="0" xfId="25" applyFont="1" applyAlignment="1">
      <alignment horizontal="center" vertical="center" wrapText="1"/>
    </xf>
    <xf numFmtId="0" fontId="12" fillId="0" borderId="14" xfId="25" applyFont="1" applyBorder="1" applyAlignment="1">
      <alignment horizontal="center" vertical="center" wrapText="1"/>
    </xf>
    <xf numFmtId="0" fontId="12" fillId="0" borderId="45" xfId="25" applyFont="1" applyBorder="1" applyAlignment="1">
      <alignment horizontal="center" vertical="center" wrapText="1"/>
    </xf>
    <xf numFmtId="0" fontId="12" fillId="0" borderId="15" xfId="25" applyFont="1" applyBorder="1" applyAlignment="1">
      <alignment horizontal="center" vertical="center" wrapText="1"/>
    </xf>
    <xf numFmtId="0" fontId="12" fillId="0" borderId="16" xfId="25" applyFont="1" applyBorder="1" applyAlignment="1">
      <alignment horizontal="center" vertical="center" wrapText="1"/>
    </xf>
    <xf numFmtId="0" fontId="12" fillId="0" borderId="47" xfId="25" applyFont="1" applyBorder="1" applyAlignment="1">
      <alignment horizontal="center" vertical="center" wrapText="1"/>
    </xf>
    <xf numFmtId="0" fontId="12" fillId="0" borderId="11" xfId="25" applyFont="1" applyBorder="1" applyAlignment="1">
      <alignment horizontal="center" vertical="center" wrapText="1"/>
    </xf>
    <xf numFmtId="0" fontId="12" fillId="0" borderId="12" xfId="25" applyFont="1" applyBorder="1" applyAlignment="1">
      <alignment horizontal="center" vertical="center" wrapText="1"/>
    </xf>
    <xf numFmtId="0" fontId="12" fillId="0" borderId="48" xfId="0" applyFont="1" applyBorder="1" applyAlignment="1">
      <alignment horizontal="left" vertical="center" wrapText="1"/>
    </xf>
    <xf numFmtId="0" fontId="12" fillId="0" borderId="35" xfId="0" applyFont="1" applyBorder="1" applyAlignment="1">
      <alignment horizontal="left" vertical="center" wrapText="1"/>
    </xf>
    <xf numFmtId="0" fontId="12" fillId="0" borderId="49" xfId="0" applyFont="1" applyBorder="1" applyAlignment="1">
      <alignment horizontal="left" vertical="center" wrapText="1"/>
    </xf>
    <xf numFmtId="0" fontId="0" fillId="0" borderId="52" xfId="0" applyBorder="1" applyAlignment="1">
      <alignment horizontal="center" vertical="center"/>
    </xf>
    <xf numFmtId="0" fontId="0" fillId="0" borderId="22" xfId="0" applyBorder="1" applyAlignment="1">
      <alignment horizontal="center" vertical="center"/>
    </xf>
    <xf numFmtId="0" fontId="0" fillId="0" borderId="56" xfId="0" applyBorder="1" applyAlignment="1">
      <alignment horizontal="center" vertical="center"/>
    </xf>
    <xf numFmtId="0" fontId="0" fillId="0" borderId="57" xfId="0" applyBorder="1" applyAlignment="1">
      <alignment horizontal="center" vertical="center"/>
    </xf>
    <xf numFmtId="0" fontId="12" fillId="19" borderId="2" xfId="25" applyFont="1" applyFill="1" applyBorder="1" applyAlignment="1">
      <alignment horizontal="center" vertical="center" wrapText="1"/>
    </xf>
    <xf numFmtId="0" fontId="12" fillId="0" borderId="22" xfId="25" applyFont="1" applyBorder="1" applyAlignment="1">
      <alignment horizontal="center" vertical="center" wrapText="1"/>
    </xf>
    <xf numFmtId="3" fontId="12" fillId="0" borderId="59" xfId="25" applyNumberFormat="1" applyFont="1" applyBorder="1" applyAlignment="1">
      <alignment horizontal="center" vertical="center" wrapText="1"/>
    </xf>
    <xf numFmtId="3" fontId="12" fillId="0" borderId="25" xfId="25" applyNumberFormat="1" applyFont="1" applyBorder="1" applyAlignment="1">
      <alignment horizontal="center" vertical="center" wrapText="1"/>
    </xf>
    <xf numFmtId="0" fontId="12" fillId="20" borderId="8" xfId="25" applyFont="1" applyFill="1" applyBorder="1" applyAlignment="1">
      <alignment horizontal="center" vertical="center" wrapText="1"/>
    </xf>
    <xf numFmtId="0" fontId="11" fillId="20" borderId="1" xfId="25" applyFont="1" applyFill="1" applyBorder="1" applyAlignment="1">
      <alignment horizontal="center" vertical="center" wrapText="1"/>
    </xf>
    <xf numFmtId="0" fontId="12" fillId="20" borderId="23" xfId="25" applyFont="1" applyFill="1" applyBorder="1" applyAlignment="1">
      <alignment horizontal="center" vertical="center" wrapText="1"/>
    </xf>
    <xf numFmtId="0" fontId="12" fillId="20" borderId="6" xfId="25" applyFont="1" applyFill="1" applyBorder="1" applyAlignment="1">
      <alignment horizontal="center" vertical="center" wrapText="1"/>
    </xf>
    <xf numFmtId="172" fontId="12" fillId="19" borderId="2" xfId="20" applyNumberFormat="1" applyFont="1" applyFill="1" applyBorder="1" applyAlignment="1" applyProtection="1">
      <alignment horizontal="center" vertical="center" wrapText="1"/>
    </xf>
    <xf numFmtId="172" fontId="12" fillId="19" borderId="5" xfId="20" applyNumberFormat="1" applyFont="1" applyFill="1" applyBorder="1" applyAlignment="1" applyProtection="1">
      <alignment horizontal="center" vertical="center" wrapText="1"/>
    </xf>
    <xf numFmtId="0" fontId="12" fillId="0" borderId="18" xfId="25" applyFont="1" applyBorder="1" applyAlignment="1">
      <alignment horizontal="center" vertical="center" wrapText="1"/>
    </xf>
    <xf numFmtId="0" fontId="12" fillId="0" borderId="32" xfId="25" applyFont="1" applyBorder="1" applyAlignment="1">
      <alignment horizontal="center" vertical="center" wrapText="1"/>
    </xf>
    <xf numFmtId="0" fontId="12" fillId="0" borderId="34" xfId="25" applyFont="1" applyBorder="1" applyAlignment="1">
      <alignment horizontal="center" vertical="center" wrapText="1"/>
    </xf>
    <xf numFmtId="0" fontId="12" fillId="0" borderId="35" xfId="25" applyFont="1" applyBorder="1" applyAlignment="1">
      <alignment horizontal="center" vertical="center" wrapText="1"/>
    </xf>
    <xf numFmtId="0" fontId="12" fillId="0" borderId="49" xfId="25" applyFont="1" applyBorder="1" applyAlignment="1">
      <alignment horizontal="center" vertical="center" wrapText="1"/>
    </xf>
    <xf numFmtId="0" fontId="43" fillId="0" borderId="1" xfId="25" applyFont="1" applyBorder="1" applyAlignment="1">
      <alignment horizontal="left" vertical="center" wrapText="1"/>
    </xf>
    <xf numFmtId="0" fontId="43" fillId="0" borderId="9" xfId="25" applyFont="1" applyBorder="1" applyAlignment="1">
      <alignment horizontal="left" vertical="center" wrapText="1"/>
    </xf>
    <xf numFmtId="2" fontId="11" fillId="0" borderId="18" xfId="25" applyNumberFormat="1" applyFont="1" applyBorder="1" applyAlignment="1">
      <alignment horizontal="center" vertical="center" wrapText="1"/>
    </xf>
    <xf numFmtId="2" fontId="11" fillId="0" borderId="27" xfId="25" applyNumberFormat="1" applyFont="1" applyBorder="1" applyAlignment="1">
      <alignment horizontal="center" vertical="center" wrapText="1"/>
    </xf>
    <xf numFmtId="2" fontId="11" fillId="0" borderId="38" xfId="25" applyNumberFormat="1" applyFont="1" applyBorder="1" applyAlignment="1">
      <alignment horizontal="center" vertical="center" wrapText="1"/>
    </xf>
    <xf numFmtId="2" fontId="11" fillId="0" borderId="4" xfId="25" applyNumberFormat="1" applyFont="1" applyBorder="1" applyAlignment="1">
      <alignment horizontal="center" vertical="center" wrapText="1"/>
    </xf>
    <xf numFmtId="0" fontId="12" fillId="20" borderId="62" xfId="25" applyFont="1" applyFill="1" applyBorder="1" applyAlignment="1">
      <alignment horizontal="center" vertical="center" wrapText="1"/>
    </xf>
    <xf numFmtId="0" fontId="12" fillId="20" borderId="4" xfId="25" applyFont="1" applyFill="1" applyBorder="1" applyAlignment="1">
      <alignment horizontal="center" vertical="center" wrapText="1"/>
    </xf>
    <xf numFmtId="2" fontId="11" fillId="0" borderId="27" xfId="25" applyNumberFormat="1" applyFont="1" applyBorder="1" applyAlignment="1">
      <alignment vertical="center" wrapText="1"/>
    </xf>
    <xf numFmtId="2" fontId="11" fillId="0" borderId="8" xfId="25" applyNumberFormat="1" applyFont="1" applyBorder="1" applyAlignment="1">
      <alignment vertical="center" wrapText="1"/>
    </xf>
    <xf numFmtId="0" fontId="12" fillId="20" borderId="34" xfId="25" applyFont="1" applyFill="1" applyBorder="1" applyAlignment="1">
      <alignment horizontal="center" vertical="center" wrapText="1"/>
    </xf>
    <xf numFmtId="2" fontId="54" fillId="0" borderId="26" xfId="25" applyNumberFormat="1" applyFont="1" applyBorder="1" applyAlignment="1">
      <alignment horizontal="justify" vertical="center" wrapText="1"/>
    </xf>
    <xf numFmtId="0" fontId="54" fillId="31" borderId="23" xfId="0" applyFont="1" applyFill="1" applyBorder="1" applyAlignment="1">
      <alignment horizontal="justify" vertical="top" wrapText="1"/>
    </xf>
    <xf numFmtId="0" fontId="54" fillId="31" borderId="24" xfId="0" applyFont="1" applyFill="1" applyBorder="1" applyAlignment="1">
      <alignment horizontal="justify" vertical="top" wrapText="1"/>
    </xf>
    <xf numFmtId="0" fontId="54" fillId="31" borderId="25" xfId="0" applyFont="1" applyFill="1" applyBorder="1" applyAlignment="1">
      <alignment horizontal="justify" vertical="top" wrapText="1"/>
    </xf>
    <xf numFmtId="0" fontId="54" fillId="31" borderId="6" xfId="0" applyFont="1" applyFill="1" applyBorder="1" applyAlignment="1">
      <alignment horizontal="justify" vertical="top" wrapText="1"/>
    </xf>
    <xf numFmtId="0" fontId="54" fillId="31" borderId="3" xfId="0" applyFont="1" applyFill="1" applyBorder="1" applyAlignment="1">
      <alignment horizontal="justify" vertical="top" wrapText="1"/>
    </xf>
    <xf numFmtId="0" fontId="54" fillId="31" borderId="58" xfId="0" applyFont="1" applyFill="1" applyBorder="1" applyAlignment="1">
      <alignment horizontal="justify" vertical="top" wrapText="1"/>
    </xf>
    <xf numFmtId="9" fontId="54" fillId="0" borderId="2" xfId="25" applyNumberFormat="1" applyFont="1" applyBorder="1" applyAlignment="1">
      <alignment horizontal="center" vertical="center" wrapText="1"/>
    </xf>
    <xf numFmtId="9" fontId="54" fillId="0" borderId="21" xfId="25" applyNumberFormat="1" applyFont="1" applyBorder="1" applyAlignment="1">
      <alignment horizontal="center" vertical="center" wrapText="1"/>
    </xf>
    <xf numFmtId="0" fontId="54" fillId="31" borderId="23" xfId="0" applyFont="1" applyFill="1" applyBorder="1" applyAlignment="1">
      <alignment horizontal="justify" wrapText="1"/>
    </xf>
    <xf numFmtId="0" fontId="54" fillId="31" borderId="24" xfId="0" applyFont="1" applyFill="1" applyBorder="1" applyAlignment="1">
      <alignment horizontal="justify" wrapText="1"/>
    </xf>
    <xf numFmtId="0" fontId="54" fillId="31" borderId="25" xfId="0" applyFont="1" applyFill="1" applyBorder="1" applyAlignment="1">
      <alignment horizontal="justify" wrapText="1"/>
    </xf>
    <xf numFmtId="0" fontId="54" fillId="31" borderId="6" xfId="0" applyFont="1" applyFill="1" applyBorder="1" applyAlignment="1">
      <alignment horizontal="justify" wrapText="1"/>
    </xf>
    <xf numFmtId="0" fontId="54" fillId="31" borderId="3" xfId="0" applyFont="1" applyFill="1" applyBorder="1" applyAlignment="1">
      <alignment horizontal="justify" wrapText="1"/>
    </xf>
    <xf numFmtId="0" fontId="54" fillId="31" borderId="58" xfId="0" applyFont="1" applyFill="1" applyBorder="1" applyAlignment="1">
      <alignment horizontal="justify" wrapText="1"/>
    </xf>
    <xf numFmtId="0" fontId="19" fillId="0" borderId="34" xfId="25" applyFont="1" applyBorder="1" applyAlignment="1">
      <alignment horizontal="center" vertical="center" wrapText="1"/>
    </xf>
    <xf numFmtId="0" fontId="19" fillId="0" borderId="26" xfId="25" applyFont="1" applyBorder="1" applyAlignment="1">
      <alignment horizontal="center" vertical="center" wrapText="1"/>
    </xf>
    <xf numFmtId="0" fontId="19" fillId="0" borderId="19" xfId="25" applyFont="1" applyBorder="1" applyAlignment="1">
      <alignment horizontal="center" vertical="center" wrapText="1"/>
    </xf>
    <xf numFmtId="0" fontId="19" fillId="0" borderId="37" xfId="25" applyFont="1" applyBorder="1" applyAlignment="1">
      <alignment horizontal="center" vertical="center" wrapText="1"/>
    </xf>
    <xf numFmtId="0" fontId="62" fillId="0" borderId="50" xfId="0" applyFont="1" applyBorder="1" applyAlignment="1">
      <alignment horizontal="center" vertical="center" wrapText="1"/>
    </xf>
    <xf numFmtId="0" fontId="62" fillId="0" borderId="51" xfId="0" applyFont="1" applyBorder="1" applyAlignment="1">
      <alignment horizontal="center" vertical="center" wrapText="1"/>
    </xf>
    <xf numFmtId="0" fontId="19" fillId="0" borderId="42" xfId="25" applyFont="1" applyBorder="1" applyAlignment="1">
      <alignment horizontal="left" vertical="center" wrapText="1"/>
    </xf>
    <xf numFmtId="0" fontId="19" fillId="0" borderId="43" xfId="25" applyFont="1" applyBorder="1" applyAlignment="1">
      <alignment horizontal="left" vertical="center" wrapText="1"/>
    </xf>
    <xf numFmtId="0" fontId="19" fillId="0" borderId="44" xfId="25" applyFont="1" applyBorder="1" applyAlignment="1">
      <alignment horizontal="left" vertical="center" wrapText="1"/>
    </xf>
    <xf numFmtId="3" fontId="19" fillId="0" borderId="59" xfId="25" applyNumberFormat="1" applyFont="1" applyBorder="1" applyAlignment="1">
      <alignment horizontal="center" vertical="center" wrapText="1"/>
    </xf>
    <xf numFmtId="3" fontId="19" fillId="0" borderId="25" xfId="25" applyNumberFormat="1" applyFont="1" applyBorder="1" applyAlignment="1">
      <alignment horizontal="center" vertical="center" wrapText="1"/>
    </xf>
    <xf numFmtId="0" fontId="19" fillId="20" borderId="61" xfId="25" applyFont="1" applyFill="1" applyBorder="1" applyAlignment="1">
      <alignment horizontal="center" vertical="center" wrapText="1"/>
    </xf>
    <xf numFmtId="0" fontId="19" fillId="20" borderId="32" xfId="25" applyFont="1" applyFill="1" applyBorder="1" applyAlignment="1">
      <alignment horizontal="center" vertical="center" wrapText="1"/>
    </xf>
    <xf numFmtId="0" fontId="19" fillId="20" borderId="69" xfId="25" applyFont="1" applyFill="1" applyBorder="1" applyAlignment="1">
      <alignment horizontal="center" vertical="center" wrapText="1"/>
    </xf>
    <xf numFmtId="0" fontId="19" fillId="20" borderId="63" xfId="25" applyFont="1" applyFill="1" applyBorder="1" applyAlignment="1">
      <alignment horizontal="center" vertical="center" wrapText="1"/>
    </xf>
    <xf numFmtId="9" fontId="54" fillId="19" borderId="58" xfId="25" applyNumberFormat="1" applyFont="1" applyFill="1" applyBorder="1" applyAlignment="1">
      <alignment horizontal="justify" vertical="top" wrapText="1"/>
    </xf>
    <xf numFmtId="9" fontId="54" fillId="19" borderId="4" xfId="25" applyNumberFormat="1" applyFont="1" applyFill="1" applyBorder="1" applyAlignment="1">
      <alignment horizontal="justify" vertical="top" wrapText="1"/>
    </xf>
    <xf numFmtId="9" fontId="54" fillId="19" borderId="28" xfId="25" applyNumberFormat="1" applyFont="1" applyFill="1" applyBorder="1" applyAlignment="1">
      <alignment horizontal="justify" vertical="top" wrapText="1"/>
    </xf>
    <xf numFmtId="9" fontId="54" fillId="19" borderId="5" xfId="25" applyNumberFormat="1" applyFont="1" applyFill="1" applyBorder="1" applyAlignment="1">
      <alignment horizontal="justify" vertical="top" wrapText="1"/>
    </xf>
    <xf numFmtId="9" fontId="54" fillId="19" borderId="1" xfId="25" applyNumberFormat="1" applyFont="1" applyFill="1" applyBorder="1" applyAlignment="1">
      <alignment horizontal="justify" vertical="top" wrapText="1"/>
    </xf>
    <xf numFmtId="9" fontId="54" fillId="19" borderId="9" xfId="25" applyNumberFormat="1" applyFont="1" applyFill="1" applyBorder="1" applyAlignment="1">
      <alignment horizontal="justify" vertical="top" wrapText="1"/>
    </xf>
    <xf numFmtId="9" fontId="54" fillId="0" borderId="20" xfId="25" applyNumberFormat="1" applyFont="1" applyBorder="1" applyAlignment="1">
      <alignment horizontal="center" vertical="center" wrapText="1"/>
    </xf>
    <xf numFmtId="9" fontId="54" fillId="19" borderId="2" xfId="25" applyNumberFormat="1" applyFont="1" applyFill="1" applyBorder="1" applyAlignment="1">
      <alignment horizontal="center" vertical="center" wrapText="1"/>
    </xf>
    <xf numFmtId="2" fontId="54" fillId="19" borderId="8" xfId="25" applyNumberFormat="1" applyFont="1" applyFill="1" applyBorder="1" applyAlignment="1">
      <alignment horizontal="justify" vertical="center" wrapText="1"/>
    </xf>
    <xf numFmtId="0" fontId="58" fillId="19" borderId="8" xfId="0" applyFont="1" applyFill="1" applyBorder="1" applyAlignment="1">
      <alignment horizontal="justify" vertical="center" wrapText="1"/>
    </xf>
    <xf numFmtId="9" fontId="54" fillId="19" borderId="5" xfId="25" applyNumberFormat="1" applyFont="1" applyFill="1" applyBorder="1" applyAlignment="1">
      <alignment horizontal="justify" vertical="center" wrapText="1"/>
    </xf>
    <xf numFmtId="9" fontId="54" fillId="19" borderId="1" xfId="25" applyNumberFormat="1" applyFont="1" applyFill="1" applyBorder="1" applyAlignment="1">
      <alignment horizontal="justify" vertical="center" wrapText="1"/>
    </xf>
    <xf numFmtId="9" fontId="54" fillId="19" borderId="9" xfId="25" applyNumberFormat="1" applyFont="1" applyFill="1" applyBorder="1" applyAlignment="1">
      <alignment horizontal="justify" vertical="center" wrapText="1"/>
    </xf>
    <xf numFmtId="0" fontId="11" fillId="0" borderId="88" xfId="0" applyFont="1" applyBorder="1" applyAlignment="1">
      <alignment horizontal="justify" vertical="center" wrapText="1"/>
    </xf>
    <xf numFmtId="0" fontId="11" fillId="0" borderId="88" xfId="0" applyFont="1" applyBorder="1" applyAlignment="1">
      <alignment vertical="center"/>
    </xf>
    <xf numFmtId="0" fontId="11" fillId="0" borderId="90" xfId="0" applyFont="1" applyBorder="1" applyAlignment="1">
      <alignment vertical="center"/>
    </xf>
    <xf numFmtId="0" fontId="11" fillId="0" borderId="91" xfId="0" applyFont="1" applyBorder="1" applyAlignment="1">
      <alignment vertical="center"/>
    </xf>
    <xf numFmtId="173" fontId="19" fillId="0" borderId="42" xfId="31" applyNumberFormat="1" applyFont="1" applyFill="1" applyBorder="1" applyAlignment="1" applyProtection="1">
      <alignment horizontal="center" vertical="center" wrapText="1"/>
    </xf>
    <xf numFmtId="173" fontId="19" fillId="0" borderId="44" xfId="31" applyNumberFormat="1" applyFont="1" applyFill="1" applyBorder="1" applyAlignment="1" applyProtection="1">
      <alignment horizontal="center" vertical="center" wrapText="1"/>
    </xf>
    <xf numFmtId="2" fontId="54" fillId="19" borderId="27" xfId="25" applyNumberFormat="1" applyFont="1" applyFill="1" applyBorder="1" applyAlignment="1">
      <alignment horizontal="justify" vertical="center" wrapText="1"/>
    </xf>
    <xf numFmtId="9" fontId="54" fillId="19" borderId="47" xfId="25" applyNumberFormat="1" applyFont="1" applyFill="1" applyBorder="1" applyAlignment="1">
      <alignment horizontal="justify" vertical="top" wrapText="1"/>
    </xf>
    <xf numFmtId="9" fontId="54" fillId="19" borderId="11" xfId="25" applyNumberFormat="1" applyFont="1" applyFill="1" applyBorder="1" applyAlignment="1">
      <alignment horizontal="justify" vertical="top" wrapText="1"/>
    </xf>
    <xf numFmtId="9" fontId="54" fillId="19" borderId="12" xfId="25" applyNumberFormat="1" applyFont="1" applyFill="1" applyBorder="1" applyAlignment="1">
      <alignment horizontal="justify" vertical="top" wrapText="1"/>
    </xf>
    <xf numFmtId="9" fontId="54" fillId="19" borderId="6" xfId="25" applyNumberFormat="1" applyFont="1" applyFill="1" applyBorder="1" applyAlignment="1">
      <alignment horizontal="justify" vertical="top" wrapText="1"/>
    </xf>
    <xf numFmtId="9" fontId="54" fillId="19" borderId="3" xfId="25" applyNumberFormat="1" applyFont="1" applyFill="1" applyBorder="1" applyAlignment="1">
      <alignment horizontal="justify" vertical="top" wrapText="1"/>
    </xf>
    <xf numFmtId="9" fontId="54" fillId="19" borderId="7" xfId="25" applyNumberFormat="1" applyFont="1" applyFill="1" applyBorder="1" applyAlignment="1">
      <alignment horizontal="justify" vertical="top" wrapText="1"/>
    </xf>
    <xf numFmtId="9" fontId="54" fillId="0" borderId="68" xfId="25" applyNumberFormat="1" applyFont="1" applyBorder="1" applyAlignment="1">
      <alignment horizontal="center" vertical="center" wrapText="1"/>
    </xf>
    <xf numFmtId="0" fontId="64" fillId="31" borderId="1" xfId="0" applyFont="1" applyFill="1" applyBorder="1" applyAlignment="1">
      <alignment horizontal="justify" vertical="top" wrapText="1"/>
    </xf>
    <xf numFmtId="0" fontId="54" fillId="31" borderId="1" xfId="0" applyFont="1" applyFill="1" applyBorder="1" applyAlignment="1">
      <alignment horizontal="justify" vertical="top" wrapText="1"/>
    </xf>
    <xf numFmtId="9" fontId="64" fillId="19" borderId="23" xfId="25" applyNumberFormat="1" applyFont="1" applyFill="1" applyBorder="1" applyAlignment="1">
      <alignment horizontal="justify" vertical="top" wrapText="1"/>
    </xf>
    <xf numFmtId="9" fontId="54" fillId="19" borderId="24" xfId="25" applyNumberFormat="1" applyFont="1" applyFill="1" applyBorder="1" applyAlignment="1">
      <alignment horizontal="justify" vertical="top" wrapText="1"/>
    </xf>
    <xf numFmtId="9" fontId="54" fillId="19" borderId="65" xfId="25" applyNumberFormat="1" applyFont="1" applyFill="1" applyBorder="1" applyAlignment="1">
      <alignment horizontal="justify" vertical="top" wrapText="1"/>
    </xf>
    <xf numFmtId="9" fontId="54" fillId="19" borderId="45" xfId="25" applyNumberFormat="1" applyFont="1" applyFill="1" applyBorder="1" applyAlignment="1">
      <alignment horizontal="justify" vertical="top" wrapText="1"/>
    </xf>
    <xf numFmtId="9" fontId="54" fillId="19" borderId="15" xfId="25" applyNumberFormat="1" applyFont="1" applyFill="1" applyBorder="1" applyAlignment="1">
      <alignment horizontal="justify" vertical="top" wrapText="1"/>
    </xf>
    <xf numFmtId="9" fontId="54" fillId="19" borderId="16" xfId="25" applyNumberFormat="1" applyFont="1" applyFill="1" applyBorder="1" applyAlignment="1">
      <alignment horizontal="justify" vertical="top" wrapText="1"/>
    </xf>
    <xf numFmtId="9" fontId="54" fillId="19" borderId="23" xfId="25" applyNumberFormat="1" applyFont="1" applyFill="1" applyBorder="1" applyAlignment="1">
      <alignment horizontal="justify" vertical="top" wrapText="1"/>
    </xf>
    <xf numFmtId="0" fontId="60" fillId="19" borderId="26" xfId="0" applyFont="1" applyFill="1" applyBorder="1" applyAlignment="1">
      <alignment horizontal="justify" vertical="center" wrapText="1"/>
    </xf>
    <xf numFmtId="0" fontId="23" fillId="26" borderId="96" xfId="0" applyFont="1" applyFill="1" applyBorder="1" applyAlignment="1">
      <alignment horizontal="justify" vertical="center" wrapText="1"/>
    </xf>
    <xf numFmtId="0" fontId="11" fillId="0" borderId="93" xfId="0" applyFont="1" applyBorder="1" applyAlignment="1">
      <alignment horizontal="justify" vertical="center" wrapText="1"/>
    </xf>
    <xf numFmtId="0" fontId="23" fillId="26" borderId="97" xfId="0" applyFont="1" applyFill="1" applyBorder="1" applyAlignment="1">
      <alignment horizontal="center" vertical="center" wrapText="1"/>
    </xf>
    <xf numFmtId="0" fontId="23" fillId="26" borderId="98" xfId="0" applyFont="1" applyFill="1" applyBorder="1" applyAlignment="1">
      <alignment horizontal="center" vertical="center" wrapText="1"/>
    </xf>
    <xf numFmtId="0" fontId="11" fillId="0" borderId="99" xfId="0" applyFont="1" applyBorder="1" applyAlignment="1">
      <alignment vertical="center"/>
    </xf>
    <xf numFmtId="0" fontId="11" fillId="0" borderId="100" xfId="0" applyFont="1" applyBorder="1" applyAlignment="1">
      <alignment vertical="center"/>
    </xf>
    <xf numFmtId="9" fontId="24" fillId="0" borderId="92" xfId="0" applyNumberFormat="1" applyFont="1" applyBorder="1" applyAlignment="1">
      <alignment horizontal="justify" vertical="center" wrapText="1"/>
    </xf>
    <xf numFmtId="9" fontId="24" fillId="0" borderId="93" xfId="0" applyNumberFormat="1" applyFont="1" applyBorder="1" applyAlignment="1">
      <alignment horizontal="justify" vertical="center" wrapText="1"/>
    </xf>
    <xf numFmtId="9" fontId="11" fillId="0" borderId="88" xfId="0" applyNumberFormat="1" applyFont="1" applyBorder="1" applyAlignment="1">
      <alignment vertical="center"/>
    </xf>
    <xf numFmtId="0" fontId="24" fillId="0" borderId="0" xfId="0" applyFont="1" applyAlignment="1">
      <alignment horizontal="justify" vertical="center" wrapText="1"/>
    </xf>
    <xf numFmtId="174" fontId="11" fillId="0" borderId="0" xfId="0" applyNumberFormat="1" applyFont="1" applyAlignment="1">
      <alignment vertical="center"/>
    </xf>
    <xf numFmtId="0" fontId="24" fillId="0" borderId="93" xfId="0" applyFont="1" applyBorder="1" applyAlignment="1">
      <alignment horizontal="justify" vertical="center" wrapText="1"/>
    </xf>
    <xf numFmtId="174" fontId="11" fillId="0" borderId="88" xfId="0" applyNumberFormat="1" applyFont="1" applyBorder="1" applyAlignment="1">
      <alignment vertical="center"/>
    </xf>
    <xf numFmtId="0" fontId="24" fillId="0" borderId="94" xfId="0" applyFont="1" applyBorder="1" applyAlignment="1">
      <alignment horizontal="justify" vertical="center" wrapText="1"/>
    </xf>
    <xf numFmtId="174" fontId="11" fillId="0" borderId="95" xfId="0" applyNumberFormat="1" applyFont="1" applyBorder="1" applyAlignment="1">
      <alignment vertical="center"/>
    </xf>
    <xf numFmtId="0" fontId="19" fillId="0" borderId="70" xfId="25" applyFont="1" applyBorder="1" applyAlignment="1">
      <alignment horizontal="center" vertical="center" wrapText="1"/>
    </xf>
    <xf numFmtId="0" fontId="19" fillId="20" borderId="18" xfId="25" applyFont="1" applyFill="1" applyBorder="1" applyAlignment="1">
      <alignment horizontal="center" vertical="center" wrapText="1"/>
    </xf>
    <xf numFmtId="0" fontId="19" fillId="20" borderId="10" xfId="25" applyFont="1" applyFill="1" applyBorder="1" applyAlignment="1">
      <alignment horizontal="center" vertical="center" wrapText="1"/>
    </xf>
    <xf numFmtId="0" fontId="54" fillId="20" borderId="10" xfId="25" applyFont="1" applyFill="1" applyBorder="1" applyAlignment="1">
      <alignment horizontal="center" vertical="center" wrapText="1"/>
    </xf>
    <xf numFmtId="0" fontId="54" fillId="31" borderId="27" xfId="0" applyFont="1" applyFill="1" applyBorder="1" applyAlignment="1">
      <alignment horizontal="justify" vertical="center" wrapText="1"/>
    </xf>
    <xf numFmtId="0" fontId="54" fillId="31" borderId="4" xfId="0" applyFont="1" applyFill="1" applyBorder="1" applyAlignment="1">
      <alignment horizontal="justify" vertical="center" wrapText="1"/>
    </xf>
    <xf numFmtId="0" fontId="54" fillId="31" borderId="28" xfId="0" applyFont="1" applyFill="1" applyBorder="1" applyAlignment="1">
      <alignment horizontal="justify" vertical="center" wrapText="1"/>
    </xf>
    <xf numFmtId="0" fontId="54" fillId="31" borderId="8" xfId="0" applyFont="1" applyFill="1" applyBorder="1" applyAlignment="1">
      <alignment horizontal="justify" vertical="center" wrapText="1"/>
    </xf>
    <xf numFmtId="0" fontId="54" fillId="31" borderId="1" xfId="0" applyFont="1" applyFill="1" applyBorder="1" applyAlignment="1">
      <alignment horizontal="justify" vertical="center" wrapText="1"/>
    </xf>
    <xf numFmtId="0" fontId="54" fillId="31" borderId="9" xfId="0" applyFont="1" applyFill="1" applyBorder="1" applyAlignment="1">
      <alignment horizontal="justify" vertical="center" wrapText="1"/>
    </xf>
    <xf numFmtId="0" fontId="19" fillId="20" borderId="68" xfId="25" applyFont="1" applyFill="1" applyBorder="1" applyAlignment="1">
      <alignment horizontal="center" vertical="center" wrapText="1"/>
    </xf>
    <xf numFmtId="0" fontId="19" fillId="20" borderId="71" xfId="25" applyFont="1" applyFill="1" applyBorder="1" applyAlignment="1">
      <alignment horizontal="center" vertical="center" wrapText="1"/>
    </xf>
    <xf numFmtId="0" fontId="54" fillId="0" borderId="61" xfId="25" applyFont="1" applyBorder="1" applyAlignment="1">
      <alignment horizontal="justify" vertical="center" wrapText="1"/>
    </xf>
    <xf numFmtId="0" fontId="54" fillId="0" borderId="32" xfId="25" applyFont="1" applyBorder="1" applyAlignment="1">
      <alignment horizontal="justify" vertical="center" wrapText="1"/>
    </xf>
    <xf numFmtId="9" fontId="19" fillId="0" borderId="62" xfId="25" applyNumberFormat="1" applyFont="1" applyBorder="1" applyAlignment="1">
      <alignment horizontal="center" vertical="center" wrapText="1"/>
    </xf>
    <xf numFmtId="0" fontId="54" fillId="31" borderId="35" xfId="0" applyFont="1" applyFill="1" applyBorder="1" applyAlignment="1">
      <alignment horizontal="justify" vertical="top" wrapText="1"/>
    </xf>
    <xf numFmtId="0" fontId="54" fillId="31" borderId="49" xfId="0" applyFont="1" applyFill="1" applyBorder="1" applyAlignment="1">
      <alignment horizontal="justify" vertical="top" wrapText="1"/>
    </xf>
    <xf numFmtId="0" fontId="54" fillId="31" borderId="19" xfId="0" applyFont="1" applyFill="1" applyBorder="1" applyAlignment="1">
      <alignment horizontal="justify" vertical="top" wrapText="1"/>
    </xf>
    <xf numFmtId="0" fontId="54" fillId="31" borderId="37" xfId="0" applyFont="1" applyFill="1" applyBorder="1" applyAlignment="1">
      <alignment horizontal="justify" vertical="top" wrapText="1"/>
    </xf>
    <xf numFmtId="0" fontId="54" fillId="31" borderId="69" xfId="0" applyFont="1" applyFill="1" applyBorder="1" applyAlignment="1">
      <alignment horizontal="justify" vertical="top" wrapText="1"/>
    </xf>
    <xf numFmtId="0" fontId="54" fillId="31" borderId="11" xfId="0" applyFont="1" applyFill="1" applyBorder="1" applyAlignment="1">
      <alignment horizontal="justify" vertical="top" wrapText="1"/>
    </xf>
    <xf numFmtId="0" fontId="54" fillId="31" borderId="105" xfId="0" applyFont="1" applyFill="1" applyBorder="1" applyAlignment="1">
      <alignment horizontal="justify" vertical="top" wrapText="1"/>
    </xf>
    <xf numFmtId="0" fontId="54" fillId="31" borderId="63" xfId="0" applyFont="1" applyFill="1" applyBorder="1" applyAlignment="1">
      <alignment horizontal="justify" vertical="top" wrapText="1"/>
    </xf>
    <xf numFmtId="0" fontId="54" fillId="31" borderId="15" xfId="0" applyFont="1" applyFill="1" applyBorder="1" applyAlignment="1">
      <alignment horizontal="justify" vertical="top" wrapText="1"/>
    </xf>
    <xf numFmtId="0" fontId="54" fillId="31" borderId="64" xfId="0" applyFont="1" applyFill="1" applyBorder="1" applyAlignment="1">
      <alignment horizontal="justify" vertical="top" wrapText="1"/>
    </xf>
    <xf numFmtId="0" fontId="19" fillId="20" borderId="19" xfId="25" applyFont="1" applyFill="1" applyBorder="1" applyAlignment="1">
      <alignment horizontal="center" vertical="center" wrapText="1"/>
    </xf>
    <xf numFmtId="0" fontId="19" fillId="20" borderId="37" xfId="25" applyFont="1" applyFill="1" applyBorder="1" applyAlignment="1">
      <alignment horizontal="center" vertical="center" wrapText="1"/>
    </xf>
    <xf numFmtId="0" fontId="54" fillId="31" borderId="8" xfId="0" applyFont="1" applyFill="1" applyBorder="1" applyAlignment="1">
      <alignment horizontal="left" vertical="center" wrapText="1"/>
    </xf>
    <xf numFmtId="0" fontId="54" fillId="31" borderId="1" xfId="0" applyFont="1" applyFill="1" applyBorder="1" applyAlignment="1">
      <alignment horizontal="left" vertical="center" wrapText="1"/>
    </xf>
    <xf numFmtId="0" fontId="54" fillId="31" borderId="9" xfId="0" applyFont="1" applyFill="1" applyBorder="1" applyAlignment="1">
      <alignment horizontal="left" vertical="center" wrapText="1"/>
    </xf>
    <xf numFmtId="2" fontId="54" fillId="0" borderId="40" xfId="25" applyNumberFormat="1" applyFont="1" applyBorder="1" applyAlignment="1">
      <alignment horizontal="justify" vertical="top" wrapText="1"/>
    </xf>
    <xf numFmtId="2" fontId="54" fillId="0" borderId="32" xfId="25" applyNumberFormat="1" applyFont="1" applyBorder="1" applyAlignment="1">
      <alignment horizontal="justify" vertical="top" wrapText="1"/>
    </xf>
    <xf numFmtId="0" fontId="54" fillId="31" borderId="26" xfId="0" applyFont="1" applyFill="1" applyBorder="1" applyAlignment="1">
      <alignment horizontal="justify" vertical="center" wrapText="1"/>
    </xf>
    <xf numFmtId="0" fontId="54" fillId="31" borderId="19" xfId="0" applyFont="1" applyFill="1" applyBorder="1" applyAlignment="1">
      <alignment horizontal="justify" vertical="center" wrapText="1"/>
    </xf>
    <xf numFmtId="0" fontId="54" fillId="31" borderId="37" xfId="0" applyFont="1" applyFill="1" applyBorder="1" applyAlignment="1">
      <alignment horizontal="justify" vertical="center" wrapText="1"/>
    </xf>
    <xf numFmtId="9" fontId="54" fillId="0" borderId="59" xfId="25" applyNumberFormat="1" applyFont="1" applyBorder="1" applyAlignment="1">
      <alignment horizontal="center" vertical="center" wrapText="1"/>
    </xf>
    <xf numFmtId="0" fontId="24" fillId="0" borderId="88" xfId="0" applyFont="1" applyBorder="1" applyAlignment="1">
      <alignment horizontal="justify" vertical="center" wrapText="1"/>
    </xf>
    <xf numFmtId="14" fontId="56" fillId="0" borderId="12" xfId="0" applyNumberFormat="1" applyFont="1" applyBorder="1" applyAlignment="1">
      <alignment horizontal="center" vertical="center" wrapText="1"/>
    </xf>
    <xf numFmtId="14" fontId="56" fillId="0" borderId="13" xfId="0" applyNumberFormat="1" applyFont="1" applyBorder="1" applyAlignment="1">
      <alignment horizontal="center" vertical="center" wrapText="1"/>
    </xf>
    <xf numFmtId="14" fontId="56" fillId="0" borderId="14" xfId="0" applyNumberFormat="1" applyFont="1" applyBorder="1" applyAlignment="1">
      <alignment horizontal="center" vertical="center" wrapText="1"/>
    </xf>
    <xf numFmtId="14" fontId="56" fillId="0" borderId="45" xfId="0" applyNumberFormat="1" applyFont="1" applyBorder="1" applyAlignment="1">
      <alignment horizontal="center" vertical="center" wrapText="1"/>
    </xf>
    <xf numFmtId="14" fontId="56" fillId="0" borderId="16" xfId="0" applyNumberFormat="1" applyFont="1" applyBorder="1" applyAlignment="1">
      <alignment horizontal="center" vertical="center" wrapText="1"/>
    </xf>
    <xf numFmtId="0" fontId="51" fillId="0" borderId="56" xfId="0" applyFont="1" applyBorder="1" applyAlignment="1">
      <alignment horizontal="left" vertical="center" wrapText="1"/>
    </xf>
    <xf numFmtId="0" fontId="51" fillId="0" borderId="67" xfId="0" applyFont="1" applyBorder="1" applyAlignment="1">
      <alignment horizontal="left" vertical="center" wrapText="1"/>
    </xf>
    <xf numFmtId="0" fontId="51" fillId="0" borderId="57" xfId="0" applyFont="1" applyBorder="1" applyAlignment="1">
      <alignment horizontal="left" vertical="center" wrapText="1"/>
    </xf>
    <xf numFmtId="0" fontId="19" fillId="0" borderId="47" xfId="25" applyFont="1" applyBorder="1" applyAlignment="1">
      <alignment horizontal="center" vertical="center" wrapText="1"/>
    </xf>
    <xf numFmtId="0" fontId="19" fillId="0" borderId="11" xfId="25" applyFont="1" applyBorder="1" applyAlignment="1">
      <alignment horizontal="center" vertical="center" wrapText="1"/>
    </xf>
    <xf numFmtId="0" fontId="19" fillId="0" borderId="12" xfId="25" applyFont="1" applyBorder="1" applyAlignment="1">
      <alignment horizontal="center" vertical="center" wrapText="1"/>
    </xf>
    <xf numFmtId="0" fontId="19" fillId="0" borderId="45" xfId="25" applyFont="1" applyBorder="1" applyAlignment="1">
      <alignment horizontal="center" vertical="center" wrapText="1"/>
    </xf>
    <xf numFmtId="0" fontId="19" fillId="0" borderId="15" xfId="25" applyFont="1" applyBorder="1" applyAlignment="1">
      <alignment horizontal="center" vertical="center" wrapText="1"/>
    </xf>
    <xf numFmtId="0" fontId="19" fillId="0" borderId="16" xfId="25" applyFont="1" applyBorder="1" applyAlignment="1">
      <alignment horizontal="center" vertical="center" wrapText="1"/>
    </xf>
    <xf numFmtId="0" fontId="19" fillId="0" borderId="52" xfId="0" applyFont="1" applyBorder="1" applyAlignment="1">
      <alignment horizontal="left" vertical="center" wrapText="1"/>
    </xf>
    <xf numFmtId="0" fontId="19" fillId="0" borderId="60" xfId="0" applyFont="1" applyBorder="1" applyAlignment="1">
      <alignment horizontal="left" vertical="center" wrapText="1"/>
    </xf>
    <xf numFmtId="0" fontId="19" fillId="0" borderId="22" xfId="0" applyFont="1" applyBorder="1" applyAlignment="1">
      <alignment horizontal="left" vertical="center" wrapText="1"/>
    </xf>
    <xf numFmtId="0" fontId="54" fillId="0" borderId="53" xfId="25" applyFont="1" applyBorder="1" applyAlignment="1">
      <alignment horizontal="center" vertical="center" wrapText="1"/>
    </xf>
    <xf numFmtId="0" fontId="54" fillId="0" borderId="54" xfId="25" applyFont="1" applyBorder="1" applyAlignment="1">
      <alignment horizontal="center" vertical="center" wrapText="1"/>
    </xf>
    <xf numFmtId="0" fontId="54" fillId="0" borderId="55" xfId="25" applyFont="1" applyBorder="1" applyAlignment="1">
      <alignment horizontal="center" vertical="center" wrapText="1"/>
    </xf>
    <xf numFmtId="0" fontId="19" fillId="0" borderId="42" xfId="25" applyFont="1" applyBorder="1" applyAlignment="1">
      <alignment horizontal="center" vertical="center"/>
    </xf>
    <xf numFmtId="0" fontId="19" fillId="0" borderId="43" xfId="25" applyFont="1" applyBorder="1" applyAlignment="1">
      <alignment horizontal="center" vertical="center"/>
    </xf>
    <xf numFmtId="0" fontId="19" fillId="0" borderId="44" xfId="25" applyFont="1" applyBorder="1" applyAlignment="1">
      <alignment horizontal="center" vertical="center"/>
    </xf>
    <xf numFmtId="0" fontId="19" fillId="0" borderId="50" xfId="0" applyFont="1" applyBorder="1" applyAlignment="1">
      <alignment horizontal="left" vertical="center" wrapText="1"/>
    </xf>
    <xf numFmtId="0" fontId="19" fillId="0" borderId="66" xfId="0" applyFont="1" applyBorder="1" applyAlignment="1">
      <alignment horizontal="left" vertical="center" wrapText="1"/>
    </xf>
    <xf numFmtId="0" fontId="19" fillId="0" borderId="51" xfId="0" applyFont="1" applyBorder="1" applyAlignment="1">
      <alignment horizontal="left" vertical="center" wrapText="1"/>
    </xf>
    <xf numFmtId="0" fontId="54" fillId="0" borderId="18" xfId="25" applyFont="1" applyBorder="1" applyAlignment="1">
      <alignment horizontal="justify" vertical="center" wrapText="1"/>
    </xf>
    <xf numFmtId="0" fontId="19" fillId="20" borderId="48" xfId="25" applyFont="1" applyFill="1" applyBorder="1" applyAlignment="1">
      <alignment horizontal="center" vertical="center" wrapText="1"/>
    </xf>
    <xf numFmtId="0" fontId="60" fillId="0" borderId="1" xfId="25" applyFont="1" applyBorder="1" applyAlignment="1">
      <alignment horizontal="left" vertical="center" wrapText="1"/>
    </xf>
    <xf numFmtId="0" fontId="60" fillId="0" borderId="9" xfId="25" applyFont="1" applyBorder="1" applyAlignment="1">
      <alignment horizontal="left" vertical="center" wrapText="1"/>
    </xf>
    <xf numFmtId="9" fontId="24" fillId="0" borderId="104" xfId="0" applyNumberFormat="1" applyFont="1" applyBorder="1" applyAlignment="1">
      <alignment horizontal="justify" vertical="center" wrapText="1"/>
    </xf>
    <xf numFmtId="174" fontId="22" fillId="0" borderId="104" xfId="0" applyNumberFormat="1" applyFont="1" applyBorder="1" applyAlignment="1">
      <alignment horizontal="center" vertical="center" wrapText="1"/>
    </xf>
    <xf numFmtId="0" fontId="19" fillId="19" borderId="43" xfId="25" applyFont="1" applyFill="1" applyBorder="1" applyAlignment="1">
      <alignment horizontal="left" vertical="center" wrapText="1"/>
    </xf>
    <xf numFmtId="0" fontId="54" fillId="0" borderId="42" xfId="25" applyFont="1" applyBorder="1" applyAlignment="1">
      <alignment horizontal="left" vertical="center" wrapText="1"/>
    </xf>
    <xf numFmtId="0" fontId="54" fillId="0" borderId="43" xfId="25" applyFont="1" applyBorder="1" applyAlignment="1">
      <alignment horizontal="left" vertical="center" wrapText="1"/>
    </xf>
    <xf numFmtId="0" fontId="54" fillId="0" borderId="44" xfId="25" applyFont="1" applyBorder="1" applyAlignment="1">
      <alignment horizontal="left" vertical="center" wrapText="1"/>
    </xf>
    <xf numFmtId="0" fontId="19" fillId="20" borderId="53" xfId="25" applyFont="1" applyFill="1" applyBorder="1" applyAlignment="1">
      <alignment horizontal="center" vertical="center" wrapText="1"/>
    </xf>
    <xf numFmtId="0" fontId="19" fillId="20" borderId="55" xfId="25" applyFont="1" applyFill="1" applyBorder="1" applyAlignment="1">
      <alignment horizontal="center" vertical="center" wrapText="1"/>
    </xf>
    <xf numFmtId="0" fontId="19" fillId="20" borderId="47" xfId="25" applyFont="1" applyFill="1" applyBorder="1" applyAlignment="1">
      <alignment horizontal="center" vertical="center" wrapText="1"/>
    </xf>
    <xf numFmtId="9" fontId="19" fillId="0" borderId="68" xfId="25" applyNumberFormat="1" applyFont="1" applyBorder="1" applyAlignment="1">
      <alignment horizontal="center" vertical="center" wrapText="1"/>
    </xf>
    <xf numFmtId="0" fontId="19" fillId="0" borderId="63" xfId="25" applyFont="1" applyBorder="1" applyAlignment="1">
      <alignment horizontal="center" vertical="center" wrapText="1"/>
    </xf>
    <xf numFmtId="9" fontId="54" fillId="32" borderId="47" xfId="25" applyNumberFormat="1" applyFont="1" applyFill="1" applyBorder="1" applyAlignment="1">
      <alignment horizontal="justify" vertical="center" wrapText="1"/>
    </xf>
    <xf numFmtId="9" fontId="54" fillId="32" borderId="11" xfId="25" applyNumberFormat="1" applyFont="1" applyFill="1" applyBorder="1" applyAlignment="1">
      <alignment horizontal="justify" vertical="center" wrapText="1"/>
    </xf>
    <xf numFmtId="9" fontId="54" fillId="32" borderId="12" xfId="25" applyNumberFormat="1" applyFont="1" applyFill="1" applyBorder="1" applyAlignment="1">
      <alignment horizontal="justify" vertical="center" wrapText="1"/>
    </xf>
    <xf numFmtId="9" fontId="54" fillId="32" borderId="45" xfId="25" applyNumberFormat="1" applyFont="1" applyFill="1" applyBorder="1" applyAlignment="1">
      <alignment horizontal="justify" vertical="center" wrapText="1"/>
    </xf>
    <xf numFmtId="9" fontId="54" fillId="32" borderId="15" xfId="25" applyNumberFormat="1" applyFont="1" applyFill="1" applyBorder="1" applyAlignment="1">
      <alignment horizontal="justify" vertical="center" wrapText="1"/>
    </xf>
    <xf numFmtId="9" fontId="54" fillId="32" borderId="16" xfId="25" applyNumberFormat="1" applyFont="1" applyFill="1" applyBorder="1" applyAlignment="1">
      <alignment horizontal="justify" vertical="center" wrapText="1"/>
    </xf>
    <xf numFmtId="0" fontId="64" fillId="33" borderId="59" xfId="0" applyFont="1" applyFill="1" applyBorder="1" applyAlignment="1">
      <alignment horizontal="justify" vertical="center" wrapText="1"/>
    </xf>
    <xf numFmtId="0" fontId="64" fillId="33" borderId="24" xfId="0" applyFont="1" applyFill="1" applyBorder="1" applyAlignment="1">
      <alignment horizontal="justify" vertical="center" wrapText="1"/>
    </xf>
    <xf numFmtId="0" fontId="64" fillId="33" borderId="25" xfId="0" applyFont="1" applyFill="1" applyBorder="1" applyAlignment="1">
      <alignment horizontal="justify" vertical="center" wrapText="1"/>
    </xf>
    <xf numFmtId="0" fontId="64" fillId="33" borderId="101" xfId="0" applyFont="1" applyFill="1" applyBorder="1" applyAlignment="1">
      <alignment horizontal="justify" vertical="center" wrapText="1"/>
    </xf>
    <xf numFmtId="0" fontId="64" fillId="33" borderId="102" xfId="0" applyFont="1" applyFill="1" applyBorder="1" applyAlignment="1">
      <alignment horizontal="justify" vertical="center" wrapText="1"/>
    </xf>
    <xf numFmtId="0" fontId="64" fillId="33" borderId="103" xfId="0" applyFont="1" applyFill="1" applyBorder="1" applyAlignment="1">
      <alignment horizontal="justify" vertical="center" wrapText="1"/>
    </xf>
    <xf numFmtId="9" fontId="54" fillId="32" borderId="24" xfId="33" applyFont="1" applyFill="1" applyBorder="1" applyAlignment="1" applyProtection="1">
      <alignment horizontal="justify" vertical="center" wrapText="1"/>
    </xf>
    <xf numFmtId="9" fontId="54" fillId="32" borderId="25" xfId="33" applyFont="1" applyFill="1" applyBorder="1" applyAlignment="1" applyProtection="1">
      <alignment horizontal="justify" vertical="center" wrapText="1"/>
    </xf>
    <xf numFmtId="9" fontId="54" fillId="32" borderId="15" xfId="33" applyFont="1" applyFill="1" applyBorder="1" applyAlignment="1" applyProtection="1">
      <alignment horizontal="justify" vertical="center" wrapText="1"/>
    </xf>
    <xf numFmtId="9" fontId="54" fillId="32" borderId="64" xfId="33" applyFont="1" applyFill="1" applyBorder="1" applyAlignment="1" applyProtection="1">
      <alignment horizontal="justify" vertical="center" wrapText="1"/>
    </xf>
    <xf numFmtId="0" fontId="19" fillId="20" borderId="24" xfId="25" applyFont="1" applyFill="1" applyBorder="1" applyAlignment="1">
      <alignment horizontal="center" vertical="center" wrapText="1"/>
    </xf>
    <xf numFmtId="0" fontId="19" fillId="20" borderId="65" xfId="25" applyFont="1" applyFill="1" applyBorder="1" applyAlignment="1">
      <alignment horizontal="center" vertical="center" wrapText="1"/>
    </xf>
    <xf numFmtId="0" fontId="54" fillId="20" borderId="2" xfId="25" applyFont="1" applyFill="1" applyBorder="1" applyAlignment="1">
      <alignment horizontal="center" vertical="center" wrapText="1"/>
    </xf>
    <xf numFmtId="0" fontId="19" fillId="19" borderId="50" xfId="25" applyFont="1" applyFill="1" applyBorder="1" applyAlignment="1">
      <alignment horizontal="center" vertical="center" wrapText="1"/>
    </xf>
    <xf numFmtId="0" fontId="19" fillId="19" borderId="66" xfId="25" applyFont="1" applyFill="1" applyBorder="1" applyAlignment="1">
      <alignment horizontal="center" vertical="center" wrapText="1"/>
    </xf>
    <xf numFmtId="0" fontId="19" fillId="19" borderId="51" xfId="25" applyFont="1" applyFill="1" applyBorder="1" applyAlignment="1">
      <alignment horizontal="center" vertical="center" wrapText="1"/>
    </xf>
    <xf numFmtId="0" fontId="19" fillId="20" borderId="52" xfId="25" applyFont="1" applyFill="1" applyBorder="1" applyAlignment="1">
      <alignment horizontal="center" vertical="center" wrapText="1"/>
    </xf>
    <xf numFmtId="0" fontId="19" fillId="20" borderId="22" xfId="25" applyFont="1" applyFill="1" applyBorder="1" applyAlignment="1">
      <alignment horizontal="center" vertical="center" wrapText="1"/>
    </xf>
    <xf numFmtId="9" fontId="60" fillId="32" borderId="23" xfId="25" applyNumberFormat="1" applyFont="1" applyFill="1" applyBorder="1" applyAlignment="1">
      <alignment horizontal="justify" vertical="center" wrapText="1"/>
    </xf>
    <xf numFmtId="9" fontId="60" fillId="32" borderId="24" xfId="25" applyNumberFormat="1" applyFont="1" applyFill="1" applyBorder="1" applyAlignment="1">
      <alignment horizontal="justify" vertical="center" wrapText="1"/>
    </xf>
    <xf numFmtId="9" fontId="60" fillId="32" borderId="65" xfId="25" applyNumberFormat="1" applyFont="1" applyFill="1" applyBorder="1" applyAlignment="1">
      <alignment horizontal="justify" vertical="center" wrapText="1"/>
    </xf>
    <xf numFmtId="9" fontId="60" fillId="32" borderId="13" xfId="25" applyNumberFormat="1" applyFont="1" applyFill="1" applyBorder="1" applyAlignment="1">
      <alignment horizontal="justify" vertical="center" wrapText="1"/>
    </xf>
    <xf numFmtId="9" fontId="60" fillId="32" borderId="0" xfId="25" applyNumberFormat="1" applyFont="1" applyFill="1" applyAlignment="1">
      <alignment horizontal="justify" vertical="center" wrapText="1"/>
    </xf>
    <xf numFmtId="9" fontId="60" fillId="32" borderId="14" xfId="25" applyNumberFormat="1" applyFont="1" applyFill="1" applyBorder="1" applyAlignment="1">
      <alignment horizontal="justify" vertical="center" wrapText="1"/>
    </xf>
    <xf numFmtId="10" fontId="54" fillId="0" borderId="9" xfId="25" applyNumberFormat="1" applyFont="1" applyBorder="1" applyAlignment="1">
      <alignment horizontal="center" vertical="center" wrapText="1"/>
    </xf>
    <xf numFmtId="9" fontId="54" fillId="32" borderId="23" xfId="25" applyNumberFormat="1" applyFont="1" applyFill="1" applyBorder="1" applyAlignment="1">
      <alignment horizontal="justify" vertical="center" wrapText="1"/>
    </xf>
    <xf numFmtId="9" fontId="54" fillId="32" borderId="24" xfId="25" applyNumberFormat="1" applyFont="1" applyFill="1" applyBorder="1" applyAlignment="1">
      <alignment horizontal="justify" vertical="center" wrapText="1"/>
    </xf>
    <xf numFmtId="9" fontId="54" fillId="32" borderId="65" xfId="25" applyNumberFormat="1" applyFont="1" applyFill="1" applyBorder="1" applyAlignment="1">
      <alignment horizontal="justify" vertical="center" wrapText="1"/>
    </xf>
    <xf numFmtId="9" fontId="64" fillId="32" borderId="59" xfId="33" applyFont="1" applyFill="1" applyBorder="1" applyAlignment="1" applyProtection="1">
      <alignment horizontal="justify" vertical="center" wrapText="1"/>
    </xf>
    <xf numFmtId="9" fontId="64" fillId="32" borderId="24" xfId="33" applyFont="1" applyFill="1" applyBorder="1" applyAlignment="1" applyProtection="1">
      <alignment horizontal="justify" vertical="center" wrapText="1"/>
    </xf>
    <xf numFmtId="9" fontId="64" fillId="32" borderId="25" xfId="33" applyFont="1" applyFill="1" applyBorder="1" applyAlignment="1" applyProtection="1">
      <alignment horizontal="justify" vertical="center" wrapText="1"/>
    </xf>
    <xf numFmtId="9" fontId="64" fillId="32" borderId="63" xfId="33" applyFont="1" applyFill="1" applyBorder="1" applyAlignment="1" applyProtection="1">
      <alignment horizontal="justify" vertical="center" wrapText="1"/>
    </xf>
    <xf numFmtId="9" fontId="64" fillId="32" borderId="15" xfId="33" applyFont="1" applyFill="1" applyBorder="1" applyAlignment="1" applyProtection="1">
      <alignment horizontal="justify" vertical="center" wrapText="1"/>
    </xf>
    <xf numFmtId="9" fontId="64" fillId="32" borderId="64" xfId="33" applyFont="1" applyFill="1" applyBorder="1" applyAlignment="1" applyProtection="1">
      <alignment horizontal="justify" vertical="center" wrapText="1"/>
    </xf>
    <xf numFmtId="0" fontId="19" fillId="20" borderId="70" xfId="25" applyFont="1" applyFill="1" applyBorder="1" applyAlignment="1">
      <alignment horizontal="center" vertical="center" wrapText="1"/>
    </xf>
    <xf numFmtId="0" fontId="19" fillId="20" borderId="28" xfId="25" applyFont="1" applyFill="1" applyBorder="1" applyAlignment="1">
      <alignment horizontal="center" vertical="center" wrapText="1"/>
    </xf>
    <xf numFmtId="1" fontId="19" fillId="0" borderId="42" xfId="31" applyNumberFormat="1" applyFont="1" applyFill="1" applyBorder="1" applyAlignment="1" applyProtection="1">
      <alignment horizontal="center" vertical="center" wrapText="1"/>
    </xf>
    <xf numFmtId="1" fontId="19" fillId="0" borderId="44" xfId="31" applyNumberFormat="1" applyFont="1" applyFill="1" applyBorder="1" applyAlignment="1" applyProtection="1">
      <alignment horizontal="center" vertical="center" wrapText="1"/>
    </xf>
    <xf numFmtId="10" fontId="54" fillId="0" borderId="37" xfId="25" applyNumberFormat="1" applyFont="1" applyBorder="1" applyAlignment="1">
      <alignment horizontal="center" vertical="center" wrapText="1"/>
    </xf>
    <xf numFmtId="9" fontId="54" fillId="19" borderId="8" xfId="25" applyNumberFormat="1" applyFont="1" applyFill="1" applyBorder="1" applyAlignment="1">
      <alignment horizontal="justify" vertical="center" wrapText="1"/>
    </xf>
    <xf numFmtId="9" fontId="54" fillId="19" borderId="26" xfId="25" applyNumberFormat="1" applyFont="1" applyFill="1" applyBorder="1" applyAlignment="1">
      <alignment horizontal="justify" vertical="center" wrapText="1"/>
    </xf>
    <xf numFmtId="9" fontId="54" fillId="19" borderId="19" xfId="25" applyNumberFormat="1" applyFont="1" applyFill="1" applyBorder="1" applyAlignment="1">
      <alignment horizontal="justify" vertical="center" wrapText="1"/>
    </xf>
    <xf numFmtId="9" fontId="54" fillId="19" borderId="37" xfId="25" applyNumberFormat="1" applyFont="1" applyFill="1" applyBorder="1" applyAlignment="1">
      <alignment horizontal="justify" vertical="center" wrapText="1"/>
    </xf>
    <xf numFmtId="0" fontId="54" fillId="20" borderId="21" xfId="25" applyFont="1" applyFill="1" applyBorder="1" applyAlignment="1">
      <alignment horizontal="center" vertical="center" wrapText="1"/>
    </xf>
    <xf numFmtId="0" fontId="19" fillId="20" borderId="64" xfId="25" applyFont="1" applyFill="1" applyBorder="1" applyAlignment="1">
      <alignment horizontal="center" vertical="center" wrapText="1"/>
    </xf>
    <xf numFmtId="9" fontId="54" fillId="19" borderId="58" xfId="25" applyNumberFormat="1" applyFont="1" applyFill="1" applyBorder="1" applyAlignment="1">
      <alignment horizontal="justify" vertical="center" wrapText="1"/>
    </xf>
    <xf numFmtId="9" fontId="54" fillId="19" borderId="4" xfId="25" applyNumberFormat="1" applyFont="1" applyFill="1" applyBorder="1" applyAlignment="1">
      <alignment horizontal="justify" vertical="center" wrapText="1"/>
    </xf>
    <xf numFmtId="9" fontId="54" fillId="19" borderId="28" xfId="25" applyNumberFormat="1" applyFont="1" applyFill="1" applyBorder="1" applyAlignment="1">
      <alignment horizontal="justify" vertical="center" wrapText="1"/>
    </xf>
    <xf numFmtId="0" fontId="19" fillId="0" borderId="40" xfId="25" applyFont="1" applyBorder="1" applyAlignment="1">
      <alignment horizontal="justify" vertical="center" wrapText="1"/>
    </xf>
    <xf numFmtId="9" fontId="19" fillId="0" borderId="38" xfId="25" applyNumberFormat="1" applyFont="1" applyBorder="1" applyAlignment="1">
      <alignment horizontal="center" vertical="center" wrapText="1"/>
    </xf>
    <xf numFmtId="9" fontId="19" fillId="0" borderId="33" xfId="25" applyNumberFormat="1" applyFont="1" applyBorder="1" applyAlignment="1">
      <alignment horizontal="center" vertical="center" wrapText="1"/>
    </xf>
    <xf numFmtId="9" fontId="54" fillId="0" borderId="63" xfId="25" applyNumberFormat="1" applyFont="1" applyBorder="1" applyAlignment="1">
      <alignment horizontal="center" vertical="center" wrapText="1"/>
    </xf>
    <xf numFmtId="0" fontId="46" fillId="0" borderId="10" xfId="0" applyFont="1" applyBorder="1" applyAlignment="1">
      <alignment horizontal="center" vertical="center" wrapText="1"/>
    </xf>
    <xf numFmtId="0" fontId="46" fillId="0" borderId="38" xfId="0" applyFont="1" applyBorder="1" applyAlignment="1">
      <alignment horizontal="center" vertical="center" wrapText="1"/>
    </xf>
    <xf numFmtId="0" fontId="46" fillId="0" borderId="4" xfId="0" applyFont="1" applyBorder="1" applyAlignment="1">
      <alignment horizontal="center" vertical="center" wrapText="1"/>
    </xf>
    <xf numFmtId="0" fontId="46" fillId="0" borderId="59" xfId="0" applyFont="1" applyBorder="1" applyAlignment="1">
      <alignment horizontal="center" vertical="center"/>
    </xf>
    <xf numFmtId="0" fontId="46" fillId="0" borderId="24" xfId="0" applyFont="1" applyBorder="1" applyAlignment="1">
      <alignment horizontal="center" vertical="center"/>
    </xf>
    <xf numFmtId="0" fontId="46" fillId="0" borderId="25" xfId="0" applyFont="1" applyBorder="1" applyAlignment="1">
      <alignment horizontal="center" vertical="center"/>
    </xf>
    <xf numFmtId="0" fontId="46" fillId="0" borderId="68" xfId="0" applyFont="1" applyBorder="1" applyAlignment="1">
      <alignment horizontal="center" vertical="center"/>
    </xf>
    <xf numFmtId="0" fontId="46" fillId="0" borderId="0" xfId="0" applyFont="1" applyAlignment="1">
      <alignment horizontal="center" vertical="center"/>
    </xf>
    <xf numFmtId="0" fontId="46" fillId="0" borderId="71" xfId="0" applyFont="1" applyBorder="1" applyAlignment="1">
      <alignment horizontal="center" vertical="center"/>
    </xf>
    <xf numFmtId="0" fontId="46" fillId="0" borderId="20" xfId="0" applyFont="1" applyBorder="1" applyAlignment="1">
      <alignment horizontal="center" vertical="center"/>
    </xf>
    <xf numFmtId="0" fontId="46" fillId="0" borderId="3" xfId="0" applyFont="1" applyBorder="1" applyAlignment="1">
      <alignment horizontal="center" vertical="center"/>
    </xf>
    <xf numFmtId="0" fontId="46" fillId="0" borderId="58" xfId="0" applyFont="1" applyBorder="1" applyAlignment="1">
      <alignment horizontal="center" vertical="center"/>
    </xf>
    <xf numFmtId="0" fontId="46" fillId="0" borderId="2" xfId="0" applyFont="1" applyBorder="1" applyAlignment="1">
      <alignment horizontal="center" vertical="center"/>
    </xf>
    <xf numFmtId="0" fontId="46" fillId="0" borderId="60" xfId="0" applyFont="1" applyBorder="1" applyAlignment="1">
      <alignment horizontal="center" vertical="center"/>
    </xf>
    <xf numFmtId="0" fontId="46" fillId="0" borderId="5" xfId="0" applyFont="1" applyBorder="1" applyAlignment="1">
      <alignment horizontal="center" vertical="center"/>
    </xf>
    <xf numFmtId="0" fontId="46" fillId="0" borderId="2" xfId="0" applyFont="1" applyBorder="1" applyAlignment="1">
      <alignment horizontal="center" vertical="center" wrapText="1"/>
    </xf>
    <xf numFmtId="0" fontId="46" fillId="0" borderId="5" xfId="0" applyFont="1" applyBorder="1" applyAlignment="1">
      <alignment horizontal="center" vertical="center" wrapText="1"/>
    </xf>
    <xf numFmtId="0" fontId="42" fillId="0" borderId="20" xfId="0" applyFont="1" applyBorder="1" applyAlignment="1">
      <alignment horizontal="left" vertical="center"/>
    </xf>
    <xf numFmtId="0" fontId="42" fillId="0" borderId="3" xfId="0" applyFont="1" applyBorder="1" applyAlignment="1">
      <alignment horizontal="left" vertical="center"/>
    </xf>
    <xf numFmtId="0" fontId="42" fillId="0" borderId="60" xfId="0" applyFont="1" applyBorder="1" applyAlignment="1">
      <alignment horizontal="left" vertical="center"/>
    </xf>
    <xf numFmtId="0" fontId="42" fillId="0" borderId="5" xfId="0" applyFont="1" applyBorder="1" applyAlignment="1">
      <alignment horizontal="left" vertical="center"/>
    </xf>
    <xf numFmtId="0" fontId="42" fillId="0" borderId="2" xfId="0" applyFont="1" applyBorder="1" applyAlignment="1">
      <alignment horizontal="left" vertical="center"/>
    </xf>
    <xf numFmtId="0" fontId="46" fillId="0" borderId="60" xfId="0" applyFont="1" applyBorder="1" applyAlignment="1">
      <alignment horizontal="center" vertical="center" wrapText="1"/>
    </xf>
    <xf numFmtId="0" fontId="46" fillId="0" borderId="1" xfId="0" applyFont="1" applyBorder="1" applyAlignment="1">
      <alignment horizontal="center" vertical="center"/>
    </xf>
    <xf numFmtId="14" fontId="52" fillId="0" borderId="1" xfId="0" applyNumberFormat="1" applyFont="1" applyBorder="1" applyAlignment="1">
      <alignment horizontal="center" vertical="center"/>
    </xf>
    <xf numFmtId="0" fontId="52" fillId="0" borderId="1" xfId="0" applyFont="1" applyBorder="1" applyAlignment="1">
      <alignment horizontal="center" vertical="center"/>
    </xf>
    <xf numFmtId="0" fontId="12" fillId="0" borderId="5" xfId="0" applyFont="1" applyBorder="1" applyAlignment="1">
      <alignment horizontal="left" vertical="center" wrapText="1"/>
    </xf>
    <xf numFmtId="0" fontId="12" fillId="0" borderId="1" xfId="0" applyFont="1" applyBorder="1" applyAlignment="1">
      <alignment horizontal="left" vertical="center" wrapText="1"/>
    </xf>
    <xf numFmtId="0" fontId="46" fillId="0" borderId="1" xfId="0" applyFont="1" applyBorder="1" applyAlignment="1">
      <alignment horizontal="left" vertical="center" wrapText="1"/>
    </xf>
    <xf numFmtId="0" fontId="46" fillId="0" borderId="1" xfId="0" applyFont="1" applyBorder="1" applyAlignment="1">
      <alignment horizontal="center" vertical="center" wrapText="1"/>
    </xf>
    <xf numFmtId="0" fontId="67" fillId="0" borderId="1" xfId="25" applyFont="1" applyBorder="1" applyAlignment="1">
      <alignment horizontal="center" vertical="center" wrapText="1"/>
    </xf>
    <xf numFmtId="0" fontId="68" fillId="0" borderId="1" xfId="25" applyFont="1" applyBorder="1" applyAlignment="1">
      <alignment horizontal="center" vertical="center" wrapText="1"/>
    </xf>
    <xf numFmtId="0" fontId="68" fillId="0" borderId="1" xfId="25" applyFont="1" applyBorder="1" applyAlignment="1">
      <alignment horizontal="left" vertical="center" wrapText="1"/>
    </xf>
    <xf numFmtId="41" fontId="48" fillId="0" borderId="10" xfId="12" applyFont="1" applyFill="1" applyBorder="1" applyAlignment="1">
      <alignment vertical="center" wrapText="1"/>
    </xf>
    <xf numFmtId="0" fontId="48" fillId="0" borderId="4" xfId="0" applyFont="1" applyBorder="1" applyAlignment="1">
      <alignment vertical="center"/>
    </xf>
    <xf numFmtId="41" fontId="48" fillId="0" borderId="10" xfId="12" applyFont="1" applyFill="1" applyBorder="1" applyAlignment="1">
      <alignment horizontal="justify" vertical="center" wrapText="1"/>
    </xf>
    <xf numFmtId="0" fontId="48" fillId="0" borderId="4" xfId="0" applyFont="1" applyBorder="1" applyAlignment="1">
      <alignment horizontal="justify" vertical="center"/>
    </xf>
    <xf numFmtId="0" fontId="46" fillId="0" borderId="2" xfId="0" applyFont="1" applyBorder="1" applyAlignment="1">
      <alignment horizontal="left" vertical="center"/>
    </xf>
    <xf numFmtId="0" fontId="46" fillId="0" borderId="60" xfId="0" applyFont="1" applyBorder="1" applyAlignment="1">
      <alignment horizontal="left" vertical="center"/>
    </xf>
    <xf numFmtId="0" fontId="46" fillId="0" borderId="5" xfId="0" applyFont="1" applyBorder="1" applyAlignment="1">
      <alignment horizontal="left" vertical="center"/>
    </xf>
    <xf numFmtId="0" fontId="46" fillId="0" borderId="20" xfId="0" applyFont="1" applyBorder="1" applyAlignment="1">
      <alignment horizontal="left" vertical="center"/>
    </xf>
    <xf numFmtId="0" fontId="46" fillId="0" borderId="3" xfId="0" applyFont="1" applyBorder="1" applyAlignment="1">
      <alignment horizontal="left" vertical="center"/>
    </xf>
    <xf numFmtId="0" fontId="46" fillId="0" borderId="58" xfId="0" applyFont="1" applyBorder="1" applyAlignment="1">
      <alignment horizontal="left" vertical="center"/>
    </xf>
    <xf numFmtId="0" fontId="53" fillId="0" borderId="59" xfId="0" applyFont="1" applyBorder="1" applyAlignment="1">
      <alignment vertical="center" wrapText="1"/>
    </xf>
    <xf numFmtId="0" fontId="53" fillId="0" borderId="24" xfId="0" applyFont="1" applyBorder="1" applyAlignment="1">
      <alignment vertical="center" wrapText="1"/>
    </xf>
    <xf numFmtId="0" fontId="53" fillId="0" borderId="25" xfId="0" applyFont="1" applyBorder="1" applyAlignment="1">
      <alignment vertical="center" wrapText="1"/>
    </xf>
    <xf numFmtId="0" fontId="53" fillId="0" borderId="1" xfId="0" applyFont="1" applyBorder="1" applyAlignment="1">
      <alignment horizontal="center" vertical="center"/>
    </xf>
    <xf numFmtId="0" fontId="27" fillId="0" borderId="1" xfId="0" applyFont="1" applyBorder="1" applyAlignment="1">
      <alignment vertical="center" wrapText="1"/>
    </xf>
    <xf numFmtId="0" fontId="28" fillId="19" borderId="4" xfId="0" applyFont="1" applyFill="1" applyBorder="1" applyAlignment="1">
      <alignment horizontal="center" vertical="center"/>
    </xf>
    <xf numFmtId="0" fontId="28" fillId="19" borderId="1" xfId="0" applyFont="1" applyFill="1" applyBorder="1" applyAlignment="1">
      <alignment horizontal="center" vertical="center"/>
    </xf>
    <xf numFmtId="0" fontId="27" fillId="9" borderId="10" xfId="0" applyFont="1" applyFill="1" applyBorder="1" applyAlignment="1">
      <alignment horizontal="center" vertical="center" wrapText="1"/>
    </xf>
    <xf numFmtId="0" fontId="27" fillId="9" borderId="4" xfId="0" applyFont="1" applyFill="1" applyBorder="1" applyAlignment="1">
      <alignment horizontal="center" vertical="center" wrapText="1"/>
    </xf>
    <xf numFmtId="0" fontId="27" fillId="9" borderId="2" xfId="0" applyFont="1" applyFill="1" applyBorder="1" applyAlignment="1">
      <alignment horizontal="center" vertical="center" wrapText="1"/>
    </xf>
    <xf numFmtId="0" fontId="27" fillId="9" borderId="5" xfId="0" applyFont="1" applyFill="1" applyBorder="1" applyAlignment="1">
      <alignment horizontal="center" vertical="center" wrapText="1"/>
    </xf>
    <xf numFmtId="0" fontId="27" fillId="9" borderId="1" xfId="0" applyFont="1" applyFill="1" applyBorder="1" applyAlignment="1">
      <alignment horizontal="center" vertical="center"/>
    </xf>
    <xf numFmtId="0" fontId="27" fillId="9" borderId="60" xfId="0" applyFont="1" applyFill="1" applyBorder="1" applyAlignment="1">
      <alignment horizontal="center" vertical="center" wrapText="1"/>
    </xf>
    <xf numFmtId="0" fontId="11" fillId="19" borderId="2" xfId="0" applyFont="1" applyFill="1" applyBorder="1" applyAlignment="1">
      <alignment horizontal="left" vertical="center" wrapText="1"/>
    </xf>
    <xf numFmtId="0" fontId="11" fillId="19" borderId="5" xfId="0" applyFont="1" applyFill="1" applyBorder="1" applyAlignment="1">
      <alignment horizontal="left" vertical="center" wrapText="1"/>
    </xf>
    <xf numFmtId="0" fontId="46" fillId="21" borderId="2" xfId="0" applyFont="1" applyFill="1" applyBorder="1" applyAlignment="1">
      <alignment horizontal="center" vertical="center"/>
    </xf>
    <xf numFmtId="0" fontId="46" fillId="21" borderId="5" xfId="0" applyFont="1" applyFill="1" applyBorder="1" applyAlignment="1">
      <alignment horizontal="center" vertical="center"/>
    </xf>
    <xf numFmtId="0" fontId="46" fillId="0" borderId="2" xfId="0" applyFont="1" applyBorder="1" applyAlignment="1">
      <alignment horizontal="left" vertical="center" wrapText="1"/>
    </xf>
    <xf numFmtId="0" fontId="46" fillId="0" borderId="5" xfId="0" applyFont="1" applyBorder="1" applyAlignment="1">
      <alignment horizontal="left" vertical="center" wrapText="1"/>
    </xf>
    <xf numFmtId="0" fontId="42" fillId="0" borderId="10" xfId="0" applyFont="1" applyBorder="1" applyAlignment="1">
      <alignment horizontal="left" vertical="center" wrapText="1"/>
    </xf>
    <xf numFmtId="0" fontId="42" fillId="0" borderId="38" xfId="0" applyFont="1" applyBorder="1" applyAlignment="1">
      <alignment horizontal="left" vertical="center" wrapText="1"/>
    </xf>
    <xf numFmtId="0" fontId="42" fillId="0" borderId="4" xfId="0" applyFont="1" applyBorder="1" applyAlignment="1">
      <alignment horizontal="left" vertical="center" wrapText="1"/>
    </xf>
    <xf numFmtId="41" fontId="42" fillId="0" borderId="59" xfId="12" applyFont="1" applyFill="1" applyBorder="1" applyAlignment="1">
      <alignment horizontal="left" vertical="center"/>
    </xf>
    <xf numFmtId="41" fontId="42" fillId="0" borderId="68" xfId="12" applyFont="1" applyFill="1" applyBorder="1" applyAlignment="1">
      <alignment horizontal="left" vertical="center"/>
    </xf>
    <xf numFmtId="41" fontId="42" fillId="0" borderId="20" xfId="12" applyFont="1" applyFill="1" applyBorder="1" applyAlignment="1">
      <alignment horizontal="left" vertical="center"/>
    </xf>
    <xf numFmtId="0" fontId="0" fillId="13" borderId="1" xfId="0" applyFill="1" applyBorder="1" applyAlignment="1">
      <alignment horizontal="center"/>
    </xf>
    <xf numFmtId="0" fontId="0" fillId="0" borderId="71" xfId="0" applyBorder="1" applyAlignment="1">
      <alignment horizontal="center"/>
    </xf>
    <xf numFmtId="0" fontId="0" fillId="0" borderId="0" xfId="0" applyAlignment="1">
      <alignment horizontal="center"/>
    </xf>
    <xf numFmtId="0" fontId="0" fillId="0" borderId="3" xfId="0" applyBorder="1" applyAlignment="1">
      <alignment horizontal="center"/>
    </xf>
    <xf numFmtId="0" fontId="0" fillId="0" borderId="47" xfId="0" applyBorder="1" applyAlignment="1">
      <alignment horizontal="center"/>
    </xf>
    <xf numFmtId="0" fontId="0" fillId="0" borderId="11" xfId="0" applyBorder="1" applyAlignment="1">
      <alignment horizontal="center"/>
    </xf>
    <xf numFmtId="0" fontId="0" fillId="0" borderId="12" xfId="0" applyBorder="1" applyAlignment="1">
      <alignment horizontal="center"/>
    </xf>
    <xf numFmtId="0" fontId="0" fillId="18" borderId="71" xfId="0" applyFill="1" applyBorder="1" applyAlignment="1">
      <alignment horizontal="center"/>
    </xf>
  </cellXfs>
  <cellStyles count="37">
    <cellStyle name="20% - Énfasis6 2" xfId="1" xr:uid="{00000000-0005-0000-0000-000000000000}"/>
    <cellStyle name="BodyStyle" xfId="2" xr:uid="{00000000-0005-0000-0000-000001000000}"/>
    <cellStyle name="Borde de la tabla derecha" xfId="3" xr:uid="{00000000-0005-0000-0000-000002000000}"/>
    <cellStyle name="Borde de la tabla izquierda" xfId="4" xr:uid="{00000000-0005-0000-0000-000003000000}"/>
    <cellStyle name="Encabezado 1 2" xfId="5" xr:uid="{00000000-0005-0000-0000-000004000000}"/>
    <cellStyle name="Encabezado 2" xfId="6" xr:uid="{00000000-0005-0000-0000-000005000000}"/>
    <cellStyle name="Énfasis6 2" xfId="7" xr:uid="{00000000-0005-0000-0000-000006000000}"/>
    <cellStyle name="Fecha" xfId="8" xr:uid="{00000000-0005-0000-0000-000007000000}"/>
    <cellStyle name="HeaderStyle" xfId="9" xr:uid="{00000000-0005-0000-0000-000008000000}"/>
    <cellStyle name="Millares" xfId="10" builtinId="3"/>
    <cellStyle name="Millares [0]" xfId="11" builtinId="6"/>
    <cellStyle name="Millares [0] 2" xfId="12" xr:uid="{00000000-0005-0000-0000-00000B000000}"/>
    <cellStyle name="Millares [0] 2 2" xfId="13" xr:uid="{00000000-0005-0000-0000-00000C000000}"/>
    <cellStyle name="Millares [0] 2 2 2" xfId="14" xr:uid="{00000000-0005-0000-0000-00000D000000}"/>
    <cellStyle name="Millares [0] 2 3" xfId="15" xr:uid="{00000000-0005-0000-0000-00000E000000}"/>
    <cellStyle name="Millares 2" xfId="16" xr:uid="{00000000-0005-0000-0000-00000F000000}"/>
    <cellStyle name="Moneda" xfId="17" builtinId="4"/>
    <cellStyle name="Moneda [0]" xfId="18" builtinId="7"/>
    <cellStyle name="Moneda 130" xfId="19" xr:uid="{00000000-0005-0000-0000-000012000000}"/>
    <cellStyle name="Moneda 2" xfId="20" xr:uid="{00000000-0005-0000-0000-000013000000}"/>
    <cellStyle name="Moneda 2 2" xfId="21" xr:uid="{00000000-0005-0000-0000-000014000000}"/>
    <cellStyle name="Moneda 23" xfId="22" xr:uid="{00000000-0005-0000-0000-000015000000}"/>
    <cellStyle name="Moneda 3" xfId="23" xr:uid="{00000000-0005-0000-0000-000016000000}"/>
    <cellStyle name="Neutral 2" xfId="24" xr:uid="{00000000-0005-0000-0000-000017000000}"/>
    <cellStyle name="Normal" xfId="0" builtinId="0"/>
    <cellStyle name="Normal 2" xfId="25" xr:uid="{00000000-0005-0000-0000-000019000000}"/>
    <cellStyle name="Normal 2 2" xfId="26" xr:uid="{00000000-0005-0000-0000-00001A000000}"/>
    <cellStyle name="Normal 2 3" xfId="27" xr:uid="{00000000-0005-0000-0000-00001B000000}"/>
    <cellStyle name="Normal 3" xfId="28" xr:uid="{00000000-0005-0000-0000-00001C000000}"/>
    <cellStyle name="Normal 3 2" xfId="29" xr:uid="{00000000-0005-0000-0000-00001D000000}"/>
    <cellStyle name="Normal 6 2" xfId="30" xr:uid="{00000000-0005-0000-0000-00001E000000}"/>
    <cellStyle name="Porcentaje" xfId="31" builtinId="5"/>
    <cellStyle name="Porcentaje 2" xfId="32" xr:uid="{00000000-0005-0000-0000-000020000000}"/>
    <cellStyle name="Porcentual 2" xfId="33" xr:uid="{00000000-0005-0000-0000-000021000000}"/>
    <cellStyle name="Texto de inicio" xfId="34" xr:uid="{00000000-0005-0000-0000-000022000000}"/>
    <cellStyle name="Texto de la columna A" xfId="35" xr:uid="{00000000-0005-0000-0000-000023000000}"/>
    <cellStyle name="Título 4" xfId="36" xr:uid="{00000000-0005-0000-0000-000024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66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20"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666750</xdr:colOff>
      <xdr:row>0</xdr:row>
      <xdr:rowOff>95250</xdr:rowOff>
    </xdr:from>
    <xdr:to>
      <xdr:col>0</xdr:col>
      <xdr:colOff>1828800</xdr:colOff>
      <xdr:row>3</xdr:row>
      <xdr:rowOff>133350</xdr:rowOff>
    </xdr:to>
    <xdr:pic>
      <xdr:nvPicPr>
        <xdr:cNvPr id="82915" name="Picture 47">
          <a:extLst>
            <a:ext uri="{FF2B5EF4-FFF2-40B4-BE49-F238E27FC236}">
              <a16:creationId xmlns:a16="http://schemas.microsoft.com/office/drawing/2014/main" id="{40C61BE3-2F62-4898-833F-7626A7F35C8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0" y="95250"/>
          <a:ext cx="1162050" cy="1143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666750</xdr:colOff>
      <xdr:row>0</xdr:row>
      <xdr:rowOff>95250</xdr:rowOff>
    </xdr:from>
    <xdr:to>
      <xdr:col>0</xdr:col>
      <xdr:colOff>1847850</xdr:colOff>
      <xdr:row>3</xdr:row>
      <xdr:rowOff>133350</xdr:rowOff>
    </xdr:to>
    <xdr:pic>
      <xdr:nvPicPr>
        <xdr:cNvPr id="92678" name="Picture 47">
          <a:extLst>
            <a:ext uri="{FF2B5EF4-FFF2-40B4-BE49-F238E27FC236}">
              <a16:creationId xmlns:a16="http://schemas.microsoft.com/office/drawing/2014/main" id="{53C65957-A515-4B8A-9E06-9344D9F3639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0" y="95250"/>
          <a:ext cx="1181100" cy="1143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666750</xdr:colOff>
      <xdr:row>0</xdr:row>
      <xdr:rowOff>95250</xdr:rowOff>
    </xdr:from>
    <xdr:to>
      <xdr:col>0</xdr:col>
      <xdr:colOff>1847850</xdr:colOff>
      <xdr:row>3</xdr:row>
      <xdr:rowOff>133350</xdr:rowOff>
    </xdr:to>
    <xdr:pic>
      <xdr:nvPicPr>
        <xdr:cNvPr id="83740" name="Picture 47">
          <a:extLst>
            <a:ext uri="{FF2B5EF4-FFF2-40B4-BE49-F238E27FC236}">
              <a16:creationId xmlns:a16="http://schemas.microsoft.com/office/drawing/2014/main" id="{0FA8AA9D-B6EA-4F6C-9DCA-173CF3C670F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0" y="95250"/>
          <a:ext cx="1181100" cy="1143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666750</xdr:colOff>
      <xdr:row>0</xdr:row>
      <xdr:rowOff>95250</xdr:rowOff>
    </xdr:from>
    <xdr:to>
      <xdr:col>0</xdr:col>
      <xdr:colOff>1847850</xdr:colOff>
      <xdr:row>3</xdr:row>
      <xdr:rowOff>133350</xdr:rowOff>
    </xdr:to>
    <xdr:pic>
      <xdr:nvPicPr>
        <xdr:cNvPr id="84764" name="Picture 47">
          <a:extLst>
            <a:ext uri="{FF2B5EF4-FFF2-40B4-BE49-F238E27FC236}">
              <a16:creationId xmlns:a16="http://schemas.microsoft.com/office/drawing/2014/main" id="{DCB6452B-96F5-4B1F-BD06-FE184DFDBAE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0" y="95250"/>
          <a:ext cx="1181100" cy="1143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666750</xdr:colOff>
      <xdr:row>0</xdr:row>
      <xdr:rowOff>95250</xdr:rowOff>
    </xdr:from>
    <xdr:to>
      <xdr:col>0</xdr:col>
      <xdr:colOff>1847850</xdr:colOff>
      <xdr:row>3</xdr:row>
      <xdr:rowOff>133350</xdr:rowOff>
    </xdr:to>
    <xdr:pic>
      <xdr:nvPicPr>
        <xdr:cNvPr id="85783" name="Picture 47">
          <a:extLst>
            <a:ext uri="{FF2B5EF4-FFF2-40B4-BE49-F238E27FC236}">
              <a16:creationId xmlns:a16="http://schemas.microsoft.com/office/drawing/2014/main" id="{E2006C89-F94E-4AE6-86AB-32B70853611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0" y="95250"/>
          <a:ext cx="1181100" cy="1143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666750</xdr:colOff>
      <xdr:row>0</xdr:row>
      <xdr:rowOff>95250</xdr:rowOff>
    </xdr:from>
    <xdr:to>
      <xdr:col>0</xdr:col>
      <xdr:colOff>1847850</xdr:colOff>
      <xdr:row>3</xdr:row>
      <xdr:rowOff>133350</xdr:rowOff>
    </xdr:to>
    <xdr:pic>
      <xdr:nvPicPr>
        <xdr:cNvPr id="89742" name="Picture 47">
          <a:extLst>
            <a:ext uri="{FF2B5EF4-FFF2-40B4-BE49-F238E27FC236}">
              <a16:creationId xmlns:a16="http://schemas.microsoft.com/office/drawing/2014/main" id="{1B27D5A7-5209-40E9-9DCA-AAAB4473505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0" y="95250"/>
          <a:ext cx="1181100" cy="1143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1000125</xdr:colOff>
      <xdr:row>0</xdr:row>
      <xdr:rowOff>95250</xdr:rowOff>
    </xdr:from>
    <xdr:to>
      <xdr:col>0</xdr:col>
      <xdr:colOff>2181225</xdr:colOff>
      <xdr:row>3</xdr:row>
      <xdr:rowOff>133350</xdr:rowOff>
    </xdr:to>
    <xdr:pic>
      <xdr:nvPicPr>
        <xdr:cNvPr id="90770" name="Picture 47">
          <a:extLst>
            <a:ext uri="{FF2B5EF4-FFF2-40B4-BE49-F238E27FC236}">
              <a16:creationId xmlns:a16="http://schemas.microsoft.com/office/drawing/2014/main" id="{F863F753-4C99-4992-A996-365DDBE26AA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00125" y="95250"/>
          <a:ext cx="1181100" cy="1149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666750</xdr:colOff>
      <xdr:row>0</xdr:row>
      <xdr:rowOff>95250</xdr:rowOff>
    </xdr:from>
    <xdr:to>
      <xdr:col>0</xdr:col>
      <xdr:colOff>1847850</xdr:colOff>
      <xdr:row>3</xdr:row>
      <xdr:rowOff>133350</xdr:rowOff>
    </xdr:to>
    <xdr:pic>
      <xdr:nvPicPr>
        <xdr:cNvPr id="88856" name="Picture 47">
          <a:extLst>
            <a:ext uri="{FF2B5EF4-FFF2-40B4-BE49-F238E27FC236}">
              <a16:creationId xmlns:a16="http://schemas.microsoft.com/office/drawing/2014/main" id="{17FB1A50-E902-402F-8936-1005FF5F021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0" y="95250"/>
          <a:ext cx="1181100" cy="1143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2.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3.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4.bin"/><Relationship Id="rId4" Type="http://schemas.openxmlformats.org/officeDocument/2006/relationships/comments" Target="../comments5.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6.xml"/><Relationship Id="rId1" Type="http://schemas.openxmlformats.org/officeDocument/2006/relationships/printerSettings" Target="../printerSettings/printerSettings5.bin"/><Relationship Id="rId4" Type="http://schemas.openxmlformats.org/officeDocument/2006/relationships/comments" Target="../comments6.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7.xml"/><Relationship Id="rId1" Type="http://schemas.openxmlformats.org/officeDocument/2006/relationships/printerSettings" Target="../printerSettings/printerSettings6.bin"/><Relationship Id="rId4" Type="http://schemas.openxmlformats.org/officeDocument/2006/relationships/comments" Target="../comments7.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8.xml"/><Relationship Id="rId1" Type="http://schemas.openxmlformats.org/officeDocument/2006/relationships/printerSettings" Target="../printerSettings/printerSettings7.bin"/><Relationship Id="rId4" Type="http://schemas.openxmlformats.org/officeDocument/2006/relationships/comments" Target="../comments8.xml"/></Relationships>
</file>

<file path=xl/worksheets/_rels/sheet9.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7" tint="0.39997558519241921"/>
  </sheetPr>
  <dimension ref="A1:AO303"/>
  <sheetViews>
    <sheetView showGridLines="0" view="pageBreakPreview" topLeftCell="Q30" zoomScale="69" zoomScaleNormal="60" zoomScaleSheetLayoutView="69" workbookViewId="0">
      <selection activeCell="Q46" sqref="Q46:AD47"/>
    </sheetView>
  </sheetViews>
  <sheetFormatPr baseColWidth="10" defaultColWidth="10.6640625" defaultRowHeight="14.4" x14ac:dyDescent="0.3"/>
  <cols>
    <col min="1" max="1" width="45.109375" style="50" customWidth="1"/>
    <col min="2" max="2" width="17.6640625" style="50" customWidth="1"/>
    <col min="3" max="14" width="20.6640625" style="50" customWidth="1"/>
    <col min="15" max="15" width="17.33203125" style="50" customWidth="1"/>
    <col min="16" max="16" width="18.109375" style="50" customWidth="1"/>
    <col min="17" max="19" width="19" style="50" customWidth="1"/>
    <col min="20" max="22" width="25.44140625" style="50" customWidth="1"/>
    <col min="23" max="24" width="17.88671875" style="50" customWidth="1"/>
    <col min="25" max="26" width="18.44140625" style="50" customWidth="1"/>
    <col min="27" max="27" width="19.109375" style="50" customWidth="1"/>
    <col min="28" max="28" width="22.6640625" style="50" customWidth="1"/>
    <col min="29" max="29" width="19" style="50" customWidth="1"/>
    <col min="30" max="30" width="19.44140625" style="50" customWidth="1"/>
    <col min="31" max="31" width="6.33203125" style="50" bestFit="1" customWidth="1"/>
    <col min="32" max="32" width="22.6640625" style="50" customWidth="1"/>
    <col min="33" max="33" width="21.33203125" style="50" customWidth="1"/>
    <col min="34" max="34" width="8.44140625" style="50" customWidth="1"/>
    <col min="35" max="35" width="18.44140625" style="50" bestFit="1" customWidth="1"/>
    <col min="36" max="36" width="5.6640625" style="50" customWidth="1"/>
    <col min="37" max="37" width="18.44140625" style="50" bestFit="1" customWidth="1"/>
    <col min="38" max="38" width="4.6640625" style="50" customWidth="1"/>
    <col min="39" max="39" width="23" style="50" bestFit="1" customWidth="1"/>
    <col min="40" max="40" width="10.6640625" style="50"/>
    <col min="41" max="41" width="18.44140625" style="50" bestFit="1" customWidth="1"/>
    <col min="42" max="42" width="16.109375" style="50" customWidth="1"/>
    <col min="43" max="16384" width="10.6640625" style="50"/>
  </cols>
  <sheetData>
    <row r="1" spans="1:33" ht="32.25" customHeight="1" thickBot="1" x14ac:dyDescent="0.35">
      <c r="A1" s="503"/>
      <c r="B1" s="506" t="s">
        <v>0</v>
      </c>
      <c r="C1" s="507"/>
      <c r="D1" s="507"/>
      <c r="E1" s="507"/>
      <c r="F1" s="507"/>
      <c r="G1" s="507"/>
      <c r="H1" s="507"/>
      <c r="I1" s="507"/>
      <c r="J1" s="507"/>
      <c r="K1" s="507"/>
      <c r="L1" s="507"/>
      <c r="M1" s="507"/>
      <c r="N1" s="507"/>
      <c r="O1" s="507"/>
      <c r="P1" s="507"/>
      <c r="Q1" s="507"/>
      <c r="R1" s="507"/>
      <c r="S1" s="507"/>
      <c r="T1" s="507"/>
      <c r="U1" s="507"/>
      <c r="V1" s="507"/>
      <c r="W1" s="507"/>
      <c r="X1" s="507"/>
      <c r="Y1" s="507"/>
      <c r="Z1" s="507"/>
      <c r="AA1" s="508"/>
      <c r="AB1" s="509" t="s">
        <v>1</v>
      </c>
      <c r="AC1" s="510"/>
      <c r="AD1" s="511"/>
    </row>
    <row r="2" spans="1:33" ht="30.75" customHeight="1" thickBot="1" x14ac:dyDescent="0.35">
      <c r="A2" s="504"/>
      <c r="B2" s="506" t="s">
        <v>2</v>
      </c>
      <c r="C2" s="507"/>
      <c r="D2" s="507"/>
      <c r="E2" s="507"/>
      <c r="F2" s="507"/>
      <c r="G2" s="507"/>
      <c r="H2" s="507"/>
      <c r="I2" s="507"/>
      <c r="J2" s="507"/>
      <c r="K2" s="507"/>
      <c r="L2" s="507"/>
      <c r="M2" s="507"/>
      <c r="N2" s="507"/>
      <c r="O2" s="507"/>
      <c r="P2" s="507"/>
      <c r="Q2" s="507"/>
      <c r="R2" s="507"/>
      <c r="S2" s="507"/>
      <c r="T2" s="507"/>
      <c r="U2" s="507"/>
      <c r="V2" s="507"/>
      <c r="W2" s="507"/>
      <c r="X2" s="507"/>
      <c r="Y2" s="507"/>
      <c r="Z2" s="507"/>
      <c r="AA2" s="508"/>
      <c r="AB2" s="512" t="s">
        <v>3</v>
      </c>
      <c r="AC2" s="513"/>
      <c r="AD2" s="514"/>
    </row>
    <row r="3" spans="1:33" ht="24" customHeight="1" x14ac:dyDescent="0.3">
      <c r="A3" s="504"/>
      <c r="B3" s="518" t="s">
        <v>4</v>
      </c>
      <c r="C3" s="519"/>
      <c r="D3" s="519"/>
      <c r="E3" s="519"/>
      <c r="F3" s="519"/>
      <c r="G3" s="519"/>
      <c r="H3" s="519"/>
      <c r="I3" s="519"/>
      <c r="J3" s="519"/>
      <c r="K3" s="519"/>
      <c r="L3" s="519"/>
      <c r="M3" s="519"/>
      <c r="N3" s="519"/>
      <c r="O3" s="519"/>
      <c r="P3" s="519"/>
      <c r="Q3" s="519"/>
      <c r="R3" s="519"/>
      <c r="S3" s="519"/>
      <c r="T3" s="519"/>
      <c r="U3" s="519"/>
      <c r="V3" s="519"/>
      <c r="W3" s="519"/>
      <c r="X3" s="519"/>
      <c r="Y3" s="519"/>
      <c r="Z3" s="519"/>
      <c r="AA3" s="520"/>
      <c r="AB3" s="512" t="s">
        <v>5</v>
      </c>
      <c r="AC3" s="513"/>
      <c r="AD3" s="514"/>
    </row>
    <row r="4" spans="1:33" ht="21.75" customHeight="1" thickBot="1" x14ac:dyDescent="0.35">
      <c r="A4" s="505"/>
      <c r="B4" s="521"/>
      <c r="C4" s="522"/>
      <c r="D4" s="522"/>
      <c r="E4" s="522"/>
      <c r="F4" s="522"/>
      <c r="G4" s="522"/>
      <c r="H4" s="522"/>
      <c r="I4" s="522"/>
      <c r="J4" s="522"/>
      <c r="K4" s="522"/>
      <c r="L4" s="522"/>
      <c r="M4" s="522"/>
      <c r="N4" s="522"/>
      <c r="O4" s="522"/>
      <c r="P4" s="522"/>
      <c r="Q4" s="522"/>
      <c r="R4" s="522"/>
      <c r="S4" s="522"/>
      <c r="T4" s="522"/>
      <c r="U4" s="522"/>
      <c r="V4" s="522"/>
      <c r="W4" s="522"/>
      <c r="X4" s="522"/>
      <c r="Y4" s="522"/>
      <c r="Z4" s="522"/>
      <c r="AA4" s="523"/>
      <c r="AB4" s="524" t="s">
        <v>6</v>
      </c>
      <c r="AC4" s="525"/>
      <c r="AD4" s="526"/>
    </row>
    <row r="5" spans="1:33" ht="9" customHeight="1" thickBot="1" x14ac:dyDescent="0.35">
      <c r="A5" s="239"/>
      <c r="B5" s="240"/>
      <c r="C5" s="241"/>
      <c r="D5" s="242"/>
      <c r="E5" s="242"/>
      <c r="F5" s="242"/>
      <c r="G5" s="242"/>
      <c r="H5" s="242"/>
      <c r="I5" s="242"/>
      <c r="J5" s="242"/>
      <c r="K5" s="242"/>
      <c r="L5" s="242"/>
      <c r="M5" s="242"/>
      <c r="N5" s="242"/>
      <c r="O5" s="242"/>
      <c r="P5" s="242"/>
      <c r="Q5" s="242"/>
      <c r="R5" s="242"/>
      <c r="S5" s="242"/>
      <c r="T5" s="242"/>
      <c r="U5" s="242"/>
      <c r="V5" s="242"/>
      <c r="W5" s="242"/>
      <c r="X5" s="242"/>
      <c r="Y5" s="242"/>
      <c r="Z5" s="243"/>
      <c r="AA5" s="242"/>
      <c r="AB5" s="244"/>
      <c r="AC5" s="245"/>
      <c r="AD5" s="246"/>
    </row>
    <row r="6" spans="1:33" ht="9" customHeight="1" thickBot="1" x14ac:dyDescent="0.35">
      <c r="A6" s="247"/>
      <c r="B6" s="242"/>
      <c r="C6" s="242"/>
      <c r="D6" s="242"/>
      <c r="E6" s="242"/>
      <c r="F6" s="242"/>
      <c r="G6" s="242"/>
      <c r="H6" s="242"/>
      <c r="I6" s="242"/>
      <c r="J6" s="242"/>
      <c r="K6" s="242"/>
      <c r="L6" s="242"/>
      <c r="M6" s="242"/>
      <c r="N6" s="242"/>
      <c r="O6" s="242"/>
      <c r="P6" s="242"/>
      <c r="Q6" s="242"/>
      <c r="R6" s="242"/>
      <c r="S6" s="242"/>
      <c r="T6" s="242"/>
      <c r="U6" s="242"/>
      <c r="V6" s="242"/>
      <c r="W6" s="242"/>
      <c r="X6" s="242"/>
      <c r="Y6" s="242"/>
      <c r="Z6" s="243"/>
      <c r="AA6" s="242"/>
      <c r="AB6" s="242"/>
      <c r="AC6" s="248"/>
      <c r="AD6" s="249"/>
    </row>
    <row r="7" spans="1:33" ht="15.6" x14ac:dyDescent="0.3">
      <c r="A7" s="467" t="s">
        <v>7</v>
      </c>
      <c r="B7" s="468"/>
      <c r="C7" s="473" t="s">
        <v>38</v>
      </c>
      <c r="D7" s="527" t="s">
        <v>9</v>
      </c>
      <c r="E7" s="528"/>
      <c r="F7" s="528"/>
      <c r="G7" s="528"/>
      <c r="H7" s="529"/>
      <c r="I7" s="536">
        <v>45232</v>
      </c>
      <c r="J7" s="537"/>
      <c r="K7" s="527" t="s">
        <v>10</v>
      </c>
      <c r="L7" s="529"/>
      <c r="M7" s="465" t="s">
        <v>11</v>
      </c>
      <c r="N7" s="466"/>
      <c r="O7" s="542"/>
      <c r="P7" s="543"/>
      <c r="Q7" s="250"/>
      <c r="R7" s="250"/>
      <c r="S7" s="250"/>
      <c r="T7" s="250"/>
      <c r="U7" s="250"/>
      <c r="V7" s="250"/>
      <c r="W7" s="250"/>
      <c r="X7" s="250"/>
      <c r="Y7" s="250"/>
      <c r="Z7" s="251"/>
      <c r="AA7" s="250"/>
      <c r="AB7" s="250"/>
      <c r="AC7" s="252"/>
      <c r="AD7" s="253"/>
      <c r="AE7" s="194"/>
      <c r="AF7" s="194"/>
      <c r="AG7" s="194"/>
    </row>
    <row r="8" spans="1:33" ht="15.6" x14ac:dyDescent="0.3">
      <c r="A8" s="469"/>
      <c r="B8" s="470"/>
      <c r="C8" s="474"/>
      <c r="D8" s="530"/>
      <c r="E8" s="531"/>
      <c r="F8" s="531"/>
      <c r="G8" s="531"/>
      <c r="H8" s="532"/>
      <c r="I8" s="538"/>
      <c r="J8" s="539"/>
      <c r="K8" s="530"/>
      <c r="L8" s="532"/>
      <c r="M8" s="544" t="s">
        <v>12</v>
      </c>
      <c r="N8" s="545"/>
      <c r="O8" s="463"/>
      <c r="P8" s="464"/>
      <c r="Q8" s="250"/>
      <c r="R8" s="250"/>
      <c r="S8" s="250"/>
      <c r="T8" s="250"/>
      <c r="U8" s="250"/>
      <c r="V8" s="250"/>
      <c r="W8" s="250"/>
      <c r="X8" s="250"/>
      <c r="Y8" s="250"/>
      <c r="Z8" s="251"/>
      <c r="AA8" s="250"/>
      <c r="AB8" s="250"/>
      <c r="AC8" s="252"/>
      <c r="AD8" s="253"/>
      <c r="AE8" s="194"/>
      <c r="AF8" s="194"/>
      <c r="AG8" s="194"/>
    </row>
    <row r="9" spans="1:33" ht="16.2" thickBot="1" x14ac:dyDescent="0.35">
      <c r="A9" s="471"/>
      <c r="B9" s="472"/>
      <c r="C9" s="475"/>
      <c r="D9" s="533"/>
      <c r="E9" s="534"/>
      <c r="F9" s="534"/>
      <c r="G9" s="534"/>
      <c r="H9" s="535"/>
      <c r="I9" s="540"/>
      <c r="J9" s="541"/>
      <c r="K9" s="533"/>
      <c r="L9" s="535"/>
      <c r="M9" s="484" t="s">
        <v>13</v>
      </c>
      <c r="N9" s="485"/>
      <c r="O9" s="486" t="s">
        <v>14</v>
      </c>
      <c r="P9" s="487"/>
      <c r="Q9" s="250"/>
      <c r="R9" s="250"/>
      <c r="S9" s="250"/>
      <c r="T9" s="250"/>
      <c r="U9" s="250"/>
      <c r="V9" s="250"/>
      <c r="W9" s="250"/>
      <c r="X9" s="250"/>
      <c r="Y9" s="250"/>
      <c r="Z9" s="251"/>
      <c r="AA9" s="250"/>
      <c r="AB9" s="250"/>
      <c r="AC9" s="252"/>
      <c r="AD9" s="253"/>
      <c r="AE9" s="194"/>
      <c r="AF9" s="194"/>
      <c r="AG9" s="194"/>
    </row>
    <row r="10" spans="1:33" ht="15" customHeight="1" thickBot="1" x14ac:dyDescent="0.35">
      <c r="A10" s="254"/>
      <c r="B10" s="255"/>
      <c r="C10" s="255"/>
      <c r="D10" s="256"/>
      <c r="E10" s="256"/>
      <c r="F10" s="256"/>
      <c r="G10" s="256"/>
      <c r="H10" s="256"/>
      <c r="I10" s="257"/>
      <c r="J10" s="257"/>
      <c r="K10" s="256"/>
      <c r="L10" s="256"/>
      <c r="M10" s="258"/>
      <c r="N10" s="258"/>
      <c r="O10" s="259"/>
      <c r="P10" s="259"/>
      <c r="Q10" s="255"/>
      <c r="R10" s="255"/>
      <c r="S10" s="255"/>
      <c r="T10" s="255"/>
      <c r="U10" s="255"/>
      <c r="V10" s="255"/>
      <c r="W10" s="255"/>
      <c r="X10" s="255"/>
      <c r="Y10" s="255"/>
      <c r="Z10" s="260"/>
      <c r="AA10" s="255"/>
      <c r="AB10" s="255"/>
      <c r="AC10" s="261"/>
      <c r="AD10" s="262"/>
    </row>
    <row r="11" spans="1:33" ht="15" customHeight="1" x14ac:dyDescent="0.3">
      <c r="A11" s="467" t="s">
        <v>15</v>
      </c>
      <c r="B11" s="468"/>
      <c r="C11" s="488" t="s">
        <v>16</v>
      </c>
      <c r="D11" s="489"/>
      <c r="E11" s="489"/>
      <c r="F11" s="489"/>
      <c r="G11" s="489"/>
      <c r="H11" s="489"/>
      <c r="I11" s="489"/>
      <c r="J11" s="489"/>
      <c r="K11" s="489"/>
      <c r="L11" s="489"/>
      <c r="M11" s="489"/>
      <c r="N11" s="489"/>
      <c r="O11" s="489"/>
      <c r="P11" s="489"/>
      <c r="Q11" s="489"/>
      <c r="R11" s="489"/>
      <c r="S11" s="489"/>
      <c r="T11" s="489"/>
      <c r="U11" s="489"/>
      <c r="V11" s="489"/>
      <c r="W11" s="489"/>
      <c r="X11" s="489"/>
      <c r="Y11" s="489"/>
      <c r="Z11" s="489"/>
      <c r="AA11" s="489"/>
      <c r="AB11" s="489"/>
      <c r="AC11" s="489"/>
      <c r="AD11" s="490"/>
    </row>
    <row r="12" spans="1:33" ht="15" customHeight="1" x14ac:dyDescent="0.3">
      <c r="A12" s="469"/>
      <c r="B12" s="470"/>
      <c r="C12" s="491"/>
      <c r="D12" s="492"/>
      <c r="E12" s="492"/>
      <c r="F12" s="492"/>
      <c r="G12" s="492"/>
      <c r="H12" s="492"/>
      <c r="I12" s="492"/>
      <c r="J12" s="492"/>
      <c r="K12" s="492"/>
      <c r="L12" s="492"/>
      <c r="M12" s="492"/>
      <c r="N12" s="492"/>
      <c r="O12" s="492"/>
      <c r="P12" s="492"/>
      <c r="Q12" s="492"/>
      <c r="R12" s="492"/>
      <c r="S12" s="492"/>
      <c r="T12" s="492"/>
      <c r="U12" s="492"/>
      <c r="V12" s="492"/>
      <c r="W12" s="492"/>
      <c r="X12" s="492"/>
      <c r="Y12" s="492"/>
      <c r="Z12" s="492"/>
      <c r="AA12" s="492"/>
      <c r="AB12" s="492"/>
      <c r="AC12" s="492"/>
      <c r="AD12" s="493"/>
    </row>
    <row r="13" spans="1:33" ht="15" customHeight="1" thickBot="1" x14ac:dyDescent="0.35">
      <c r="A13" s="471"/>
      <c r="B13" s="472"/>
      <c r="C13" s="494"/>
      <c r="D13" s="495"/>
      <c r="E13" s="495"/>
      <c r="F13" s="495"/>
      <c r="G13" s="495"/>
      <c r="H13" s="495"/>
      <c r="I13" s="495"/>
      <c r="J13" s="495"/>
      <c r="K13" s="495"/>
      <c r="L13" s="495"/>
      <c r="M13" s="495"/>
      <c r="N13" s="495"/>
      <c r="O13" s="495"/>
      <c r="P13" s="495"/>
      <c r="Q13" s="495"/>
      <c r="R13" s="495"/>
      <c r="S13" s="495"/>
      <c r="T13" s="495"/>
      <c r="U13" s="495"/>
      <c r="V13" s="495"/>
      <c r="W13" s="495"/>
      <c r="X13" s="495"/>
      <c r="Y13" s="495"/>
      <c r="Z13" s="495"/>
      <c r="AA13" s="495"/>
      <c r="AB13" s="495"/>
      <c r="AC13" s="495"/>
      <c r="AD13" s="496"/>
    </row>
    <row r="14" spans="1:33" ht="9" customHeight="1" thickBot="1" x14ac:dyDescent="0.35">
      <c r="A14" s="263"/>
      <c r="B14" s="264"/>
      <c r="C14" s="265"/>
      <c r="D14" s="265"/>
      <c r="E14" s="265"/>
      <c r="F14" s="265"/>
      <c r="G14" s="265"/>
      <c r="H14" s="265"/>
      <c r="I14" s="265"/>
      <c r="J14" s="265"/>
      <c r="K14" s="265"/>
      <c r="L14" s="265"/>
      <c r="M14" s="266"/>
      <c r="N14" s="266"/>
      <c r="O14" s="266"/>
      <c r="P14" s="266"/>
      <c r="Q14" s="266"/>
      <c r="R14" s="267"/>
      <c r="S14" s="267"/>
      <c r="T14" s="267"/>
      <c r="U14" s="267"/>
      <c r="V14" s="267"/>
      <c r="W14" s="267"/>
      <c r="X14" s="267"/>
      <c r="Y14" s="256"/>
      <c r="Z14" s="256"/>
      <c r="AA14" s="256"/>
      <c r="AB14" s="256"/>
      <c r="AC14" s="256"/>
      <c r="AD14" s="268"/>
    </row>
    <row r="15" spans="1:33" ht="49.35" customHeight="1" thickBot="1" x14ac:dyDescent="0.35">
      <c r="A15" s="449" t="s">
        <v>17</v>
      </c>
      <c r="B15" s="450"/>
      <c r="C15" s="515" t="s">
        <v>18</v>
      </c>
      <c r="D15" s="516"/>
      <c r="E15" s="516"/>
      <c r="F15" s="516"/>
      <c r="G15" s="516"/>
      <c r="H15" s="516"/>
      <c r="I15" s="516"/>
      <c r="J15" s="516"/>
      <c r="K15" s="517"/>
      <c r="L15" s="479" t="s">
        <v>19</v>
      </c>
      <c r="M15" s="483"/>
      <c r="N15" s="483"/>
      <c r="O15" s="483"/>
      <c r="P15" s="483"/>
      <c r="Q15" s="480"/>
      <c r="R15" s="476" t="s">
        <v>20</v>
      </c>
      <c r="S15" s="477"/>
      <c r="T15" s="477"/>
      <c r="U15" s="477"/>
      <c r="V15" s="477"/>
      <c r="W15" s="477"/>
      <c r="X15" s="478"/>
      <c r="Y15" s="479" t="s">
        <v>21</v>
      </c>
      <c r="Z15" s="480"/>
      <c r="AA15" s="437" t="s">
        <v>22</v>
      </c>
      <c r="AB15" s="438"/>
      <c r="AC15" s="438"/>
      <c r="AD15" s="439"/>
    </row>
    <row r="16" spans="1:33" ht="9" customHeight="1" thickBot="1" x14ac:dyDescent="0.35">
      <c r="A16" s="247"/>
      <c r="B16" s="242"/>
      <c r="C16" s="448"/>
      <c r="D16" s="448"/>
      <c r="E16" s="448"/>
      <c r="F16" s="448"/>
      <c r="G16" s="448"/>
      <c r="H16" s="448"/>
      <c r="I16" s="448"/>
      <c r="J16" s="448"/>
      <c r="K16" s="448"/>
      <c r="L16" s="448"/>
      <c r="M16" s="448"/>
      <c r="N16" s="448"/>
      <c r="O16" s="448"/>
      <c r="P16" s="448"/>
      <c r="Q16" s="448"/>
      <c r="R16" s="448"/>
      <c r="S16" s="448"/>
      <c r="T16" s="448"/>
      <c r="U16" s="448"/>
      <c r="V16" s="448"/>
      <c r="W16" s="448"/>
      <c r="X16" s="448"/>
      <c r="Y16" s="448"/>
      <c r="Z16" s="448"/>
      <c r="AA16" s="448"/>
      <c r="AB16" s="448"/>
      <c r="AC16" s="269"/>
      <c r="AD16" s="270"/>
    </row>
    <row r="17" spans="1:41" s="76" customFormat="1" ht="37.5" customHeight="1" thickBot="1" x14ac:dyDescent="0.35">
      <c r="A17" s="449" t="s">
        <v>23</v>
      </c>
      <c r="B17" s="450"/>
      <c r="C17" s="451" t="s">
        <v>24</v>
      </c>
      <c r="D17" s="452"/>
      <c r="E17" s="452"/>
      <c r="F17" s="452"/>
      <c r="G17" s="452"/>
      <c r="H17" s="452"/>
      <c r="I17" s="452"/>
      <c r="J17" s="452"/>
      <c r="K17" s="452"/>
      <c r="L17" s="452"/>
      <c r="M17" s="452"/>
      <c r="N17" s="452"/>
      <c r="O17" s="452"/>
      <c r="P17" s="452"/>
      <c r="Q17" s="453"/>
      <c r="R17" s="479" t="s">
        <v>25</v>
      </c>
      <c r="S17" s="483"/>
      <c r="T17" s="483"/>
      <c r="U17" s="483"/>
      <c r="V17" s="480"/>
      <c r="W17" s="481">
        <v>0.55000000000000004</v>
      </c>
      <c r="X17" s="482"/>
      <c r="Y17" s="483" t="s">
        <v>26</v>
      </c>
      <c r="Z17" s="483"/>
      <c r="AA17" s="483"/>
      <c r="AB17" s="480"/>
      <c r="AC17" s="446">
        <v>0.18</v>
      </c>
      <c r="AD17" s="447"/>
    </row>
    <row r="18" spans="1:41" ht="16.5" customHeight="1" thickBot="1" x14ac:dyDescent="0.35">
      <c r="A18" s="271"/>
      <c r="B18" s="272"/>
      <c r="C18" s="272"/>
      <c r="D18" s="272"/>
      <c r="E18" s="272"/>
      <c r="F18" s="272"/>
      <c r="G18" s="272"/>
      <c r="H18" s="272"/>
      <c r="I18" s="272"/>
      <c r="J18" s="272"/>
      <c r="K18" s="272"/>
      <c r="L18" s="272"/>
      <c r="M18" s="272"/>
      <c r="N18" s="272"/>
      <c r="O18" s="272"/>
      <c r="P18" s="272"/>
      <c r="Q18" s="272"/>
      <c r="R18" s="272"/>
      <c r="S18" s="272"/>
      <c r="T18" s="272"/>
      <c r="U18" s="272"/>
      <c r="V18" s="272"/>
      <c r="W18" s="272"/>
      <c r="X18" s="272"/>
      <c r="Y18" s="272"/>
      <c r="Z18" s="272"/>
      <c r="AA18" s="272"/>
      <c r="AB18" s="272"/>
      <c r="AC18" s="272"/>
      <c r="AD18" s="273"/>
    </row>
    <row r="19" spans="1:41" ht="32.1" customHeight="1" thickBot="1" x14ac:dyDescent="0.35">
      <c r="A19" s="479" t="s">
        <v>27</v>
      </c>
      <c r="B19" s="483"/>
      <c r="C19" s="483"/>
      <c r="D19" s="483"/>
      <c r="E19" s="483"/>
      <c r="F19" s="483"/>
      <c r="G19" s="483"/>
      <c r="H19" s="483"/>
      <c r="I19" s="483"/>
      <c r="J19" s="483"/>
      <c r="K19" s="483"/>
      <c r="L19" s="483"/>
      <c r="M19" s="483"/>
      <c r="N19" s="483"/>
      <c r="O19" s="483"/>
      <c r="P19" s="483"/>
      <c r="Q19" s="483"/>
      <c r="R19" s="483"/>
      <c r="S19" s="483"/>
      <c r="T19" s="483"/>
      <c r="U19" s="483"/>
      <c r="V19" s="483"/>
      <c r="W19" s="483"/>
      <c r="X19" s="483"/>
      <c r="Y19" s="483"/>
      <c r="Z19" s="483"/>
      <c r="AA19" s="483"/>
      <c r="AB19" s="483"/>
      <c r="AC19" s="483"/>
      <c r="AD19" s="480"/>
      <c r="AE19" s="83"/>
      <c r="AF19" s="83"/>
    </row>
    <row r="20" spans="1:41" ht="32.1" customHeight="1" thickBot="1" x14ac:dyDescent="0.35">
      <c r="A20" s="274"/>
      <c r="B20" s="248"/>
      <c r="C20" s="500" t="s">
        <v>28</v>
      </c>
      <c r="D20" s="501"/>
      <c r="E20" s="501"/>
      <c r="F20" s="501"/>
      <c r="G20" s="501"/>
      <c r="H20" s="501"/>
      <c r="I20" s="501"/>
      <c r="J20" s="501"/>
      <c r="K20" s="501"/>
      <c r="L20" s="501"/>
      <c r="M20" s="501"/>
      <c r="N20" s="501"/>
      <c r="O20" s="501"/>
      <c r="P20" s="502"/>
      <c r="Q20" s="497" t="s">
        <v>29</v>
      </c>
      <c r="R20" s="498"/>
      <c r="S20" s="498"/>
      <c r="T20" s="498"/>
      <c r="U20" s="498"/>
      <c r="V20" s="498"/>
      <c r="W20" s="498"/>
      <c r="X20" s="498"/>
      <c r="Y20" s="498"/>
      <c r="Z20" s="498"/>
      <c r="AA20" s="498"/>
      <c r="AB20" s="498"/>
      <c r="AC20" s="498"/>
      <c r="AD20" s="499"/>
      <c r="AE20" s="83"/>
      <c r="AF20" s="83"/>
    </row>
    <row r="21" spans="1:41" ht="32.1" customHeight="1" thickBot="1" x14ac:dyDescent="0.35">
      <c r="A21" s="247"/>
      <c r="B21" s="242"/>
      <c r="C21" s="275" t="s">
        <v>30</v>
      </c>
      <c r="D21" s="276" t="s">
        <v>31</v>
      </c>
      <c r="E21" s="276" t="s">
        <v>32</v>
      </c>
      <c r="F21" s="276" t="s">
        <v>33</v>
      </c>
      <c r="G21" s="276" t="s">
        <v>34</v>
      </c>
      <c r="H21" s="276" t="s">
        <v>35</v>
      </c>
      <c r="I21" s="276" t="s">
        <v>36</v>
      </c>
      <c r="J21" s="276" t="s">
        <v>37</v>
      </c>
      <c r="K21" s="276" t="s">
        <v>8</v>
      </c>
      <c r="L21" s="276" t="s">
        <v>38</v>
      </c>
      <c r="M21" s="276" t="s">
        <v>39</v>
      </c>
      <c r="N21" s="276" t="s">
        <v>40</v>
      </c>
      <c r="O21" s="276" t="s">
        <v>41</v>
      </c>
      <c r="P21" s="277" t="s">
        <v>42</v>
      </c>
      <c r="Q21" s="275" t="s">
        <v>30</v>
      </c>
      <c r="R21" s="276" t="s">
        <v>31</v>
      </c>
      <c r="S21" s="276" t="s">
        <v>32</v>
      </c>
      <c r="T21" s="276" t="s">
        <v>33</v>
      </c>
      <c r="U21" s="276" t="s">
        <v>34</v>
      </c>
      <c r="V21" s="276" t="s">
        <v>35</v>
      </c>
      <c r="W21" s="276" t="s">
        <v>36</v>
      </c>
      <c r="X21" s="276" t="s">
        <v>37</v>
      </c>
      <c r="Y21" s="276" t="s">
        <v>8</v>
      </c>
      <c r="Z21" s="276" t="s">
        <v>38</v>
      </c>
      <c r="AA21" s="276" t="s">
        <v>39</v>
      </c>
      <c r="AB21" s="276" t="s">
        <v>40</v>
      </c>
      <c r="AC21" s="276" t="s">
        <v>41</v>
      </c>
      <c r="AD21" s="277" t="s">
        <v>42</v>
      </c>
      <c r="AE21" s="3"/>
      <c r="AF21" s="3"/>
    </row>
    <row r="22" spans="1:41" ht="32.1" customHeight="1" x14ac:dyDescent="0.3">
      <c r="A22" s="392" t="s">
        <v>43</v>
      </c>
      <c r="B22" s="445"/>
      <c r="C22" s="278"/>
      <c r="D22" s="279"/>
      <c r="E22" s="279"/>
      <c r="F22" s="279"/>
      <c r="G22" s="279"/>
      <c r="H22" s="279"/>
      <c r="I22" s="279"/>
      <c r="J22" s="279"/>
      <c r="K22" s="279"/>
      <c r="L22" s="279"/>
      <c r="M22" s="279"/>
      <c r="N22" s="279"/>
      <c r="O22" s="279">
        <f>SUM(C22:N22)</f>
        <v>0</v>
      </c>
      <c r="P22" s="280"/>
      <c r="Q22" s="281">
        <v>752554960</v>
      </c>
      <c r="R22" s="282">
        <v>8537488</v>
      </c>
      <c r="S22" s="282">
        <v>0</v>
      </c>
      <c r="T22" s="282">
        <v>0</v>
      </c>
      <c r="U22" s="282">
        <v>0</v>
      </c>
      <c r="V22" s="282">
        <v>217351570</v>
      </c>
      <c r="W22" s="282">
        <v>0</v>
      </c>
      <c r="X22" s="282">
        <v>0</v>
      </c>
      <c r="Y22" s="282">
        <v>0</v>
      </c>
      <c r="Z22" s="282">
        <v>-8829365</v>
      </c>
      <c r="AA22" s="282">
        <v>0</v>
      </c>
      <c r="AB22" s="282">
        <v>0</v>
      </c>
      <c r="AC22" s="283">
        <f>SUM(Q22:AB22)</f>
        <v>969614653</v>
      </c>
      <c r="AD22" s="284"/>
      <c r="AE22" s="3"/>
      <c r="AF22" s="233"/>
      <c r="AG22" s="234"/>
    </row>
    <row r="23" spans="1:41" ht="32.1" customHeight="1" x14ac:dyDescent="0.3">
      <c r="A23" s="434" t="s">
        <v>44</v>
      </c>
      <c r="B23" s="435"/>
      <c r="C23" s="286"/>
      <c r="D23" s="287"/>
      <c r="E23" s="287"/>
      <c r="F23" s="287"/>
      <c r="G23" s="287"/>
      <c r="H23" s="287"/>
      <c r="I23" s="287"/>
      <c r="J23" s="287"/>
      <c r="K23" s="287"/>
      <c r="L23" s="287"/>
      <c r="M23" s="287"/>
      <c r="N23" s="287"/>
      <c r="O23" s="287">
        <f>SUM(C23:N23)</f>
        <v>0</v>
      </c>
      <c r="P23" s="288" t="str">
        <f>IFERROR(O23/(SUMIF(C23:N23,"&gt;0",C22:N22))," ")</f>
        <v xml:space="preserve"> </v>
      </c>
      <c r="Q23" s="289">
        <f>416447802</f>
        <v>416447802</v>
      </c>
      <c r="R23" s="290">
        <f>666232222-Q23</f>
        <v>249784420</v>
      </c>
      <c r="S23" s="290">
        <f>733025069-Q23-R23</f>
        <v>66792847</v>
      </c>
      <c r="T23" s="290">
        <f>714260395-Q23-R23-S23</f>
        <v>-18764674</v>
      </c>
      <c r="U23" s="290">
        <f>734170887-Q23-R23-S23-T23</f>
        <v>19910492</v>
      </c>
      <c r="V23" s="290">
        <f>734170885-Q23-R23-S23-T23-U23</f>
        <v>-2</v>
      </c>
      <c r="W23" s="290">
        <f>950385801-Q23-R23-S23-T23-U23-V23</f>
        <v>216214916</v>
      </c>
      <c r="X23" s="290">
        <f>950385801-Q23-R23-S23-T23-U23-V23-W23</f>
        <v>0</v>
      </c>
      <c r="Y23" s="290">
        <f>950385801-Q23-R23-S23-T23-U23-V23-W23-X23</f>
        <v>0</v>
      </c>
      <c r="Z23" s="290">
        <f>950385801-Q23-R23-S23-T23-U23-V23-W23-X23-Y23</f>
        <v>0</v>
      </c>
      <c r="AA23" s="290"/>
      <c r="AB23" s="290"/>
      <c r="AC23" s="279">
        <f>SUM(Q23:AB23)</f>
        <v>950385801</v>
      </c>
      <c r="AD23" s="291">
        <f>AC23/AC22</f>
        <v>0.98016856290227705</v>
      </c>
      <c r="AE23" s="3"/>
      <c r="AF23" s="233"/>
      <c r="AG23" s="234"/>
    </row>
    <row r="24" spans="1:41" ht="32.1" customHeight="1" x14ac:dyDescent="0.3">
      <c r="A24" s="434" t="s">
        <v>45</v>
      </c>
      <c r="B24" s="435"/>
      <c r="C24" s="286">
        <f>22111116</f>
        <v>22111116</v>
      </c>
      <c r="D24" s="287">
        <f>598400+1266667+1619390</f>
        <v>3484457</v>
      </c>
      <c r="E24" s="287">
        <v>10000000</v>
      </c>
      <c r="F24" s="287">
        <v>13369627</v>
      </c>
      <c r="G24" s="287"/>
      <c r="H24" s="287">
        <v>0</v>
      </c>
      <c r="I24" s="287"/>
      <c r="J24" s="287"/>
      <c r="K24" s="287"/>
      <c r="L24" s="287"/>
      <c r="M24" s="287"/>
      <c r="N24" s="287"/>
      <c r="O24" s="290">
        <f>SUM(C24:N24)</f>
        <v>48965200</v>
      </c>
      <c r="P24" s="292"/>
      <c r="Q24" s="289"/>
      <c r="R24" s="290">
        <f>5677247+15634065</f>
        <v>21311312</v>
      </c>
      <c r="S24" s="290">
        <f>9767318+40103208</f>
        <v>49870526</v>
      </c>
      <c r="T24" s="290">
        <f>9767318+40103208+1000000+14000000</f>
        <v>64870526</v>
      </c>
      <c r="U24" s="290">
        <f>8536960+9767318+40103208+14000000</f>
        <v>72407486</v>
      </c>
      <c r="V24" s="290">
        <f>9767318+40103208+1000000+24000000</f>
        <v>74870526</v>
      </c>
      <c r="W24" s="290">
        <f>18438000+9767318+40103208+30000000</f>
        <v>98308526</v>
      </c>
      <c r="X24" s="290">
        <f>2700000+814000+36000000+9767318+40103208+10000000</f>
        <v>99384526</v>
      </c>
      <c r="Y24" s="290">
        <f>30000000+9767318+40103208+42435278</f>
        <v>122305804</v>
      </c>
      <c r="Z24" s="290">
        <f>43200000+9767318+40103208+20000000-2943122</f>
        <v>110127404</v>
      </c>
      <c r="AA24" s="290">
        <f>39000000+9767318+40103208+40000000-2943122</f>
        <v>125927404</v>
      </c>
      <c r="AB24" s="290">
        <f>43200000+9767318+40103208+40103208-2943121</f>
        <v>130230613</v>
      </c>
      <c r="AC24" s="287">
        <f>SUM(Q24:AB24)</f>
        <v>969614653</v>
      </c>
      <c r="AD24" s="293"/>
      <c r="AE24" s="3"/>
      <c r="AF24" s="233"/>
      <c r="AG24" s="234"/>
    </row>
    <row r="25" spans="1:41" ht="32.1" customHeight="1" thickBot="1" x14ac:dyDescent="0.35">
      <c r="A25" s="393" t="s">
        <v>46</v>
      </c>
      <c r="B25" s="436"/>
      <c r="C25" s="296">
        <f>23224956</f>
        <v>23224956</v>
      </c>
      <c r="D25" s="297">
        <f>26061657-C25</f>
        <v>2836701</v>
      </c>
      <c r="E25" s="297">
        <f>27904269-C25-D25</f>
        <v>1842612</v>
      </c>
      <c r="F25" s="297">
        <f>48726721-C25-D25-E25</f>
        <v>20822452</v>
      </c>
      <c r="G25" s="297">
        <f>48965200-C25-D25-E25-F25</f>
        <v>238479</v>
      </c>
      <c r="H25" s="297">
        <v>0</v>
      </c>
      <c r="I25" s="297">
        <f>48965200-C25-D25-E25-F25-G25-H25</f>
        <v>0</v>
      </c>
      <c r="J25" s="297"/>
      <c r="K25" s="297"/>
      <c r="L25" s="297"/>
      <c r="M25" s="297"/>
      <c r="N25" s="297"/>
      <c r="O25" s="298">
        <f>SUM(C25:N25)</f>
        <v>48965200</v>
      </c>
      <c r="P25" s="299">
        <f>O25/O24</f>
        <v>1</v>
      </c>
      <c r="Q25" s="300"/>
      <c r="R25" s="301">
        <f>10341984</f>
        <v>10341984</v>
      </c>
      <c r="S25" s="301">
        <f>59458817-R25</f>
        <v>49116833</v>
      </c>
      <c r="T25" s="301">
        <f>119774632-R25-S25</f>
        <v>60315815</v>
      </c>
      <c r="U25" s="301">
        <f>197315348-R25-S25-T25</f>
        <v>77540716</v>
      </c>
      <c r="V25" s="301">
        <f>273125609-R25-S25-T25-U25</f>
        <v>75810261</v>
      </c>
      <c r="W25" s="301">
        <f>349586568-R25-S25-T25-U25-V25</f>
        <v>76460959</v>
      </c>
      <c r="X25" s="301">
        <f>415884758-R25-S25-T25-U25-V25-W25</f>
        <v>66298190</v>
      </c>
      <c r="Y25" s="301">
        <f>479731548-R25-S25-T25-U25-V25-W25-X25</f>
        <v>63846790</v>
      </c>
      <c r="Z25" s="301">
        <f>541363538-Q25-R25-S25-T25-U25-V25-W25-X25-Y25</f>
        <v>61631990</v>
      </c>
      <c r="AA25" s="301"/>
      <c r="AB25" s="301"/>
      <c r="AC25" s="297">
        <f>SUM(Q25:AB25)</f>
        <v>541363538</v>
      </c>
      <c r="AD25" s="302">
        <f>AC25/AC24</f>
        <v>0.55832854456666303</v>
      </c>
      <c r="AE25" s="3"/>
      <c r="AF25" s="233"/>
      <c r="AG25" s="234"/>
    </row>
    <row r="26" spans="1:41" ht="32.1" customHeight="1" thickBot="1" x14ac:dyDescent="0.35">
      <c r="A26" s="247"/>
      <c r="B26" s="242"/>
      <c r="C26" s="303"/>
      <c r="D26" s="304"/>
      <c r="E26" s="304"/>
      <c r="F26" s="304"/>
      <c r="G26" s="304"/>
      <c r="H26" s="304"/>
      <c r="I26" s="304"/>
      <c r="J26" s="304"/>
      <c r="K26" s="304"/>
      <c r="L26" s="304"/>
      <c r="M26" s="304"/>
      <c r="N26" s="304"/>
      <c r="O26" s="304"/>
      <c r="P26" s="304"/>
      <c r="Q26" s="304"/>
      <c r="R26" s="304"/>
      <c r="S26" s="304"/>
      <c r="T26" s="304"/>
      <c r="U26" s="304"/>
      <c r="V26" s="304"/>
      <c r="W26" s="304"/>
      <c r="X26" s="304"/>
      <c r="Y26" s="304"/>
      <c r="Z26" s="304"/>
      <c r="AA26" s="304"/>
      <c r="AB26" s="304"/>
      <c r="AC26" s="248"/>
      <c r="AD26" s="262"/>
      <c r="AF26" s="234"/>
      <c r="AG26" s="234"/>
    </row>
    <row r="27" spans="1:41" ht="33.75" customHeight="1" x14ac:dyDescent="0.3">
      <c r="A27" s="430" t="s">
        <v>47</v>
      </c>
      <c r="B27" s="431"/>
      <c r="C27" s="432"/>
      <c r="D27" s="432"/>
      <c r="E27" s="432"/>
      <c r="F27" s="432"/>
      <c r="G27" s="432"/>
      <c r="H27" s="432"/>
      <c r="I27" s="432"/>
      <c r="J27" s="432"/>
      <c r="K27" s="432"/>
      <c r="L27" s="432"/>
      <c r="M27" s="432"/>
      <c r="N27" s="432"/>
      <c r="O27" s="432"/>
      <c r="P27" s="432"/>
      <c r="Q27" s="432"/>
      <c r="R27" s="432"/>
      <c r="S27" s="432"/>
      <c r="T27" s="432"/>
      <c r="U27" s="432"/>
      <c r="V27" s="432"/>
      <c r="W27" s="432"/>
      <c r="X27" s="432"/>
      <c r="Y27" s="432"/>
      <c r="Z27" s="432"/>
      <c r="AA27" s="432"/>
      <c r="AB27" s="432"/>
      <c r="AC27" s="432"/>
      <c r="AD27" s="433"/>
      <c r="AF27" s="234"/>
      <c r="AG27" s="234"/>
    </row>
    <row r="28" spans="1:41" ht="15" customHeight="1" x14ac:dyDescent="0.3">
      <c r="A28" s="440" t="s">
        <v>48</v>
      </c>
      <c r="B28" s="442" t="s">
        <v>49</v>
      </c>
      <c r="C28" s="443"/>
      <c r="D28" s="435" t="s">
        <v>50</v>
      </c>
      <c r="E28" s="444"/>
      <c r="F28" s="444"/>
      <c r="G28" s="444"/>
      <c r="H28" s="444"/>
      <c r="I28" s="444"/>
      <c r="J28" s="444"/>
      <c r="K28" s="444"/>
      <c r="L28" s="444"/>
      <c r="M28" s="444"/>
      <c r="N28" s="444"/>
      <c r="O28" s="423"/>
      <c r="P28" s="424" t="s">
        <v>41</v>
      </c>
      <c r="Q28" s="424" t="s">
        <v>51</v>
      </c>
      <c r="R28" s="424"/>
      <c r="S28" s="424"/>
      <c r="T28" s="424"/>
      <c r="U28" s="424"/>
      <c r="V28" s="424"/>
      <c r="W28" s="424"/>
      <c r="X28" s="424"/>
      <c r="Y28" s="424"/>
      <c r="Z28" s="424"/>
      <c r="AA28" s="424"/>
      <c r="AB28" s="424"/>
      <c r="AC28" s="424"/>
      <c r="AD28" s="425"/>
    </row>
    <row r="29" spans="1:41" ht="27" customHeight="1" x14ac:dyDescent="0.3">
      <c r="A29" s="441"/>
      <c r="B29" s="426"/>
      <c r="C29" s="428"/>
      <c r="D29" s="305" t="s">
        <v>30</v>
      </c>
      <c r="E29" s="305" t="s">
        <v>31</v>
      </c>
      <c r="F29" s="305" t="s">
        <v>32</v>
      </c>
      <c r="G29" s="305" t="s">
        <v>33</v>
      </c>
      <c r="H29" s="305" t="s">
        <v>34</v>
      </c>
      <c r="I29" s="305" t="s">
        <v>35</v>
      </c>
      <c r="J29" s="305" t="s">
        <v>36</v>
      </c>
      <c r="K29" s="305" t="s">
        <v>37</v>
      </c>
      <c r="L29" s="305" t="s">
        <v>8</v>
      </c>
      <c r="M29" s="305" t="s">
        <v>38</v>
      </c>
      <c r="N29" s="305" t="s">
        <v>39</v>
      </c>
      <c r="O29" s="305" t="s">
        <v>40</v>
      </c>
      <c r="P29" s="423"/>
      <c r="Q29" s="424"/>
      <c r="R29" s="424"/>
      <c r="S29" s="424"/>
      <c r="T29" s="424"/>
      <c r="U29" s="424"/>
      <c r="V29" s="424"/>
      <c r="W29" s="424"/>
      <c r="X29" s="424"/>
      <c r="Y29" s="424"/>
      <c r="Z29" s="424"/>
      <c r="AA29" s="424"/>
      <c r="AB29" s="424"/>
      <c r="AC29" s="424"/>
      <c r="AD29" s="425"/>
    </row>
    <row r="30" spans="1:41" ht="59.25" customHeight="1" thickBot="1" x14ac:dyDescent="0.35">
      <c r="A30" s="307" t="s">
        <v>52</v>
      </c>
      <c r="B30" s="454"/>
      <c r="C30" s="455"/>
      <c r="D30" s="308"/>
      <c r="E30" s="308"/>
      <c r="F30" s="308"/>
      <c r="G30" s="308"/>
      <c r="H30" s="308"/>
      <c r="I30" s="308"/>
      <c r="J30" s="308"/>
      <c r="K30" s="308"/>
      <c r="L30" s="308"/>
      <c r="M30" s="308"/>
      <c r="N30" s="308"/>
      <c r="O30" s="308"/>
      <c r="P30" s="309">
        <f>SUM(D30:O30)</f>
        <v>0</v>
      </c>
      <c r="Q30" s="456"/>
      <c r="R30" s="456"/>
      <c r="S30" s="456"/>
      <c r="T30" s="456"/>
      <c r="U30" s="456"/>
      <c r="V30" s="456"/>
      <c r="W30" s="456"/>
      <c r="X30" s="456"/>
      <c r="Y30" s="456"/>
      <c r="Z30" s="456"/>
      <c r="AA30" s="456"/>
      <c r="AB30" s="456"/>
      <c r="AC30" s="456"/>
      <c r="AD30" s="457"/>
    </row>
    <row r="31" spans="1:41" ht="45" customHeight="1" thickBot="1" x14ac:dyDescent="0.35">
      <c r="A31" s="458" t="s">
        <v>53</v>
      </c>
      <c r="B31" s="459"/>
      <c r="C31" s="459"/>
      <c r="D31" s="459"/>
      <c r="E31" s="459"/>
      <c r="F31" s="459"/>
      <c r="G31" s="459"/>
      <c r="H31" s="459"/>
      <c r="I31" s="459"/>
      <c r="J31" s="459"/>
      <c r="K31" s="459"/>
      <c r="L31" s="459"/>
      <c r="M31" s="459"/>
      <c r="N31" s="459"/>
      <c r="O31" s="459"/>
      <c r="P31" s="459"/>
      <c r="Q31" s="460"/>
      <c r="R31" s="460"/>
      <c r="S31" s="460"/>
      <c r="T31" s="460"/>
      <c r="U31" s="460"/>
      <c r="V31" s="460"/>
      <c r="W31" s="460"/>
      <c r="X31" s="460"/>
      <c r="Y31" s="460"/>
      <c r="Z31" s="460"/>
      <c r="AA31" s="460"/>
      <c r="AB31" s="460"/>
      <c r="AC31" s="460"/>
      <c r="AD31" s="461"/>
    </row>
    <row r="32" spans="1:41" ht="23.1" customHeight="1" x14ac:dyDescent="0.3">
      <c r="A32" s="392" t="s">
        <v>54</v>
      </c>
      <c r="B32" s="396" t="s">
        <v>55</v>
      </c>
      <c r="C32" s="396" t="s">
        <v>49</v>
      </c>
      <c r="D32" s="396" t="s">
        <v>56</v>
      </c>
      <c r="E32" s="396"/>
      <c r="F32" s="396"/>
      <c r="G32" s="396"/>
      <c r="H32" s="396"/>
      <c r="I32" s="396"/>
      <c r="J32" s="396"/>
      <c r="K32" s="396"/>
      <c r="L32" s="396"/>
      <c r="M32" s="396"/>
      <c r="N32" s="396"/>
      <c r="O32" s="396"/>
      <c r="P32" s="397"/>
      <c r="Q32" s="423" t="s">
        <v>57</v>
      </c>
      <c r="R32" s="424"/>
      <c r="S32" s="424"/>
      <c r="T32" s="424"/>
      <c r="U32" s="424"/>
      <c r="V32" s="424"/>
      <c r="W32" s="424"/>
      <c r="X32" s="424"/>
      <c r="Y32" s="424"/>
      <c r="Z32" s="424"/>
      <c r="AA32" s="424"/>
      <c r="AB32" s="424"/>
      <c r="AC32" s="424"/>
      <c r="AD32" s="425"/>
      <c r="AG32" s="87"/>
      <c r="AH32" s="87"/>
      <c r="AI32" s="87"/>
      <c r="AJ32" s="87"/>
      <c r="AK32" s="87"/>
      <c r="AL32" s="87"/>
      <c r="AM32" s="87"/>
      <c r="AN32" s="87"/>
      <c r="AO32" s="87"/>
    </row>
    <row r="33" spans="1:41" ht="27" customHeight="1" x14ac:dyDescent="0.3">
      <c r="A33" s="434"/>
      <c r="B33" s="424"/>
      <c r="C33" s="462"/>
      <c r="D33" s="305" t="s">
        <v>30</v>
      </c>
      <c r="E33" s="305" t="s">
        <v>31</v>
      </c>
      <c r="F33" s="305" t="s">
        <v>32</v>
      </c>
      <c r="G33" s="305" t="s">
        <v>33</v>
      </c>
      <c r="H33" s="305" t="s">
        <v>34</v>
      </c>
      <c r="I33" s="305" t="s">
        <v>35</v>
      </c>
      <c r="J33" s="305" t="s">
        <v>36</v>
      </c>
      <c r="K33" s="305" t="s">
        <v>37</v>
      </c>
      <c r="L33" s="305" t="s">
        <v>8</v>
      </c>
      <c r="M33" s="305" t="s">
        <v>38</v>
      </c>
      <c r="N33" s="305" t="s">
        <v>39</v>
      </c>
      <c r="O33" s="305" t="s">
        <v>40</v>
      </c>
      <c r="P33" s="306" t="s">
        <v>41</v>
      </c>
      <c r="Q33" s="423" t="s">
        <v>58</v>
      </c>
      <c r="R33" s="424"/>
      <c r="S33" s="424"/>
      <c r="T33" s="424" t="s">
        <v>59</v>
      </c>
      <c r="U33" s="424"/>
      <c r="V33" s="424"/>
      <c r="W33" s="426" t="s">
        <v>60</v>
      </c>
      <c r="X33" s="427"/>
      <c r="Y33" s="427"/>
      <c r="Z33" s="428"/>
      <c r="AA33" s="426" t="s">
        <v>61</v>
      </c>
      <c r="AB33" s="427"/>
      <c r="AC33" s="427"/>
      <c r="AD33" s="429"/>
      <c r="AG33" s="87"/>
      <c r="AH33" s="87"/>
      <c r="AI33" s="87"/>
      <c r="AJ33" s="87"/>
      <c r="AK33" s="87"/>
      <c r="AL33" s="87"/>
      <c r="AM33" s="87"/>
      <c r="AN33" s="87"/>
      <c r="AO33" s="87"/>
    </row>
    <row r="34" spans="1:41" ht="198.9" customHeight="1" x14ac:dyDescent="0.3">
      <c r="A34" s="409" t="s">
        <v>52</v>
      </c>
      <c r="B34" s="411">
        <v>0.18</v>
      </c>
      <c r="C34" s="311" t="s">
        <v>62</v>
      </c>
      <c r="D34" s="312">
        <f>D75</f>
        <v>1.6041666666666673E-2</v>
      </c>
      <c r="E34" s="312">
        <f t="shared" ref="E34:O34" si="0">E75</f>
        <v>3.4375000000000017E-2</v>
      </c>
      <c r="F34" s="312">
        <f t="shared" si="0"/>
        <v>3.9416666666666676E-2</v>
      </c>
      <c r="G34" s="312">
        <f t="shared" si="0"/>
        <v>4.0944444444444457E-2</v>
      </c>
      <c r="H34" s="312">
        <f t="shared" si="0"/>
        <v>4.4763888888888902E-2</v>
      </c>
      <c r="I34" s="312">
        <f t="shared" si="0"/>
        <v>4.4763888888888902E-2</v>
      </c>
      <c r="J34" s="312">
        <f t="shared" si="0"/>
        <v>4.4763888888888902E-2</v>
      </c>
      <c r="K34" s="312">
        <f t="shared" si="0"/>
        <v>4.4763888888888902E-2</v>
      </c>
      <c r="L34" s="312">
        <f t="shared" si="0"/>
        <v>6.9208333333333358E-2</v>
      </c>
      <c r="M34" s="312">
        <f t="shared" si="0"/>
        <v>6.9208333333333358E-2</v>
      </c>
      <c r="N34" s="312">
        <f t="shared" si="0"/>
        <v>5.6986111111111126E-2</v>
      </c>
      <c r="O34" s="312">
        <f t="shared" si="0"/>
        <v>4.4763888888888902E-2</v>
      </c>
      <c r="P34" s="313">
        <f>SUM(D34:O34)</f>
        <v>0.55000000000000016</v>
      </c>
      <c r="Q34" s="421" t="s">
        <v>563</v>
      </c>
      <c r="R34" s="414"/>
      <c r="S34" s="415"/>
      <c r="T34" s="413" t="s">
        <v>594</v>
      </c>
      <c r="U34" s="414"/>
      <c r="V34" s="415"/>
      <c r="W34" s="413" t="s">
        <v>595</v>
      </c>
      <c r="X34" s="414"/>
      <c r="Y34" s="414"/>
      <c r="Z34" s="415"/>
      <c r="AA34" s="413" t="s">
        <v>596</v>
      </c>
      <c r="AB34" s="414"/>
      <c r="AC34" s="414"/>
      <c r="AD34" s="419"/>
      <c r="AG34" s="87"/>
      <c r="AH34" s="87"/>
      <c r="AI34" s="87"/>
      <c r="AJ34" s="87"/>
      <c r="AK34" s="87"/>
      <c r="AL34" s="87"/>
      <c r="AM34" s="87"/>
      <c r="AN34" s="87"/>
      <c r="AO34" s="87"/>
    </row>
    <row r="35" spans="1:41" ht="306" customHeight="1" thickBot="1" x14ac:dyDescent="0.35">
      <c r="A35" s="410"/>
      <c r="B35" s="412"/>
      <c r="C35" s="314" t="s">
        <v>63</v>
      </c>
      <c r="D35" s="315">
        <f>D72</f>
        <v>1.6041666666666673E-2</v>
      </c>
      <c r="E35" s="315">
        <f t="shared" ref="E35:O35" si="1">E72</f>
        <v>3.4375000000000017E-2</v>
      </c>
      <c r="F35" s="315">
        <f t="shared" si="1"/>
        <v>3.9416666666666676E-2</v>
      </c>
      <c r="G35" s="315">
        <f t="shared" si="1"/>
        <v>3.7888888888888896E-2</v>
      </c>
      <c r="H35" s="315">
        <f t="shared" si="1"/>
        <v>4.1708333333333347E-2</v>
      </c>
      <c r="I35" s="315">
        <f t="shared" si="1"/>
        <v>4.1708333333333347E-2</v>
      </c>
      <c r="J35" s="315">
        <f t="shared" si="1"/>
        <v>4.1708333333333347E-2</v>
      </c>
      <c r="K35" s="315">
        <f t="shared" si="1"/>
        <v>4.3236111111111121E-2</v>
      </c>
      <c r="L35" s="315">
        <f t="shared" si="1"/>
        <v>7.0736111111111125E-2</v>
      </c>
      <c r="M35" s="315">
        <f t="shared" si="1"/>
        <v>6.8444444444444461E-2</v>
      </c>
      <c r="N35" s="315">
        <f t="shared" si="1"/>
        <v>0</v>
      </c>
      <c r="O35" s="315">
        <f t="shared" si="1"/>
        <v>0</v>
      </c>
      <c r="P35" s="316">
        <f>SUM(D35:O35)</f>
        <v>0.43526388888888906</v>
      </c>
      <c r="Q35" s="422"/>
      <c r="R35" s="417"/>
      <c r="S35" s="418"/>
      <c r="T35" s="416"/>
      <c r="U35" s="417"/>
      <c r="V35" s="418"/>
      <c r="W35" s="416"/>
      <c r="X35" s="417"/>
      <c r="Y35" s="417"/>
      <c r="Z35" s="418"/>
      <c r="AA35" s="416"/>
      <c r="AB35" s="417"/>
      <c r="AC35" s="417"/>
      <c r="AD35" s="420"/>
      <c r="AE35" s="49"/>
      <c r="AG35" s="87"/>
      <c r="AH35" s="87"/>
      <c r="AI35" s="87"/>
      <c r="AJ35" s="87"/>
      <c r="AK35" s="87"/>
      <c r="AL35" s="87"/>
      <c r="AM35" s="87"/>
      <c r="AN35" s="87"/>
      <c r="AO35" s="87"/>
    </row>
    <row r="36" spans="1:41" ht="26.1" customHeight="1" x14ac:dyDescent="0.3">
      <c r="A36" s="392" t="s">
        <v>64</v>
      </c>
      <c r="B36" s="394" t="s">
        <v>65</v>
      </c>
      <c r="C36" s="396" t="s">
        <v>66</v>
      </c>
      <c r="D36" s="396"/>
      <c r="E36" s="396"/>
      <c r="F36" s="396"/>
      <c r="G36" s="396"/>
      <c r="H36" s="396"/>
      <c r="I36" s="396"/>
      <c r="J36" s="396"/>
      <c r="K36" s="396"/>
      <c r="L36" s="396"/>
      <c r="M36" s="396"/>
      <c r="N36" s="396"/>
      <c r="O36" s="396"/>
      <c r="P36" s="397"/>
      <c r="Q36" s="398" t="s">
        <v>67</v>
      </c>
      <c r="R36" s="399"/>
      <c r="S36" s="399"/>
      <c r="T36" s="399"/>
      <c r="U36" s="399"/>
      <c r="V36" s="399"/>
      <c r="W36" s="399"/>
      <c r="X36" s="399"/>
      <c r="Y36" s="399"/>
      <c r="Z36" s="399"/>
      <c r="AA36" s="399"/>
      <c r="AB36" s="399"/>
      <c r="AC36" s="399"/>
      <c r="AD36" s="400"/>
      <c r="AG36" s="87"/>
      <c r="AH36" s="87"/>
      <c r="AI36" s="87"/>
      <c r="AJ36" s="87"/>
      <c r="AK36" s="87"/>
      <c r="AL36" s="87"/>
      <c r="AM36" s="87"/>
      <c r="AN36" s="87"/>
      <c r="AO36" s="87"/>
    </row>
    <row r="37" spans="1:41" ht="60.75" customHeight="1" thickBot="1" x14ac:dyDescent="0.35">
      <c r="A37" s="393"/>
      <c r="B37" s="395"/>
      <c r="C37" s="317" t="s">
        <v>68</v>
      </c>
      <c r="D37" s="317" t="s">
        <v>69</v>
      </c>
      <c r="E37" s="317" t="s">
        <v>70</v>
      </c>
      <c r="F37" s="317" t="s">
        <v>71</v>
      </c>
      <c r="G37" s="317" t="s">
        <v>72</v>
      </c>
      <c r="H37" s="317" t="s">
        <v>73</v>
      </c>
      <c r="I37" s="317" t="s">
        <v>74</v>
      </c>
      <c r="J37" s="317" t="s">
        <v>75</v>
      </c>
      <c r="K37" s="317" t="s">
        <v>76</v>
      </c>
      <c r="L37" s="317" t="s">
        <v>77</v>
      </c>
      <c r="M37" s="317" t="s">
        <v>78</v>
      </c>
      <c r="N37" s="317" t="s">
        <v>79</v>
      </c>
      <c r="O37" s="317" t="s">
        <v>80</v>
      </c>
      <c r="P37" s="318" t="s">
        <v>81</v>
      </c>
      <c r="Q37" s="401" t="s">
        <v>82</v>
      </c>
      <c r="R37" s="402"/>
      <c r="S37" s="402"/>
      <c r="T37" s="402"/>
      <c r="U37" s="402"/>
      <c r="V37" s="402"/>
      <c r="W37" s="402"/>
      <c r="X37" s="402"/>
      <c r="Y37" s="402"/>
      <c r="Z37" s="402"/>
      <c r="AA37" s="402"/>
      <c r="AB37" s="402"/>
      <c r="AC37" s="402"/>
      <c r="AD37" s="403"/>
      <c r="AG37" s="94"/>
      <c r="AH37" s="94"/>
      <c r="AI37" s="94"/>
      <c r="AJ37" s="94"/>
      <c r="AK37" s="94"/>
      <c r="AL37" s="94"/>
      <c r="AM37" s="94"/>
      <c r="AN37" s="94"/>
      <c r="AO37" s="94"/>
    </row>
    <row r="38" spans="1:41" ht="60.9" customHeight="1" x14ac:dyDescent="0.3">
      <c r="A38" s="404" t="s">
        <v>83</v>
      </c>
      <c r="B38" s="405">
        <v>0.05</v>
      </c>
      <c r="C38" s="311" t="s">
        <v>62</v>
      </c>
      <c r="D38" s="319">
        <v>0.05</v>
      </c>
      <c r="E38" s="319">
        <v>0.05</v>
      </c>
      <c r="F38" s="319">
        <v>0.09</v>
      </c>
      <c r="G38" s="319">
        <v>0.09</v>
      </c>
      <c r="H38" s="319">
        <v>0.09</v>
      </c>
      <c r="I38" s="319">
        <v>0.09</v>
      </c>
      <c r="J38" s="319">
        <v>0.09</v>
      </c>
      <c r="K38" s="319">
        <v>0.09</v>
      </c>
      <c r="L38" s="319">
        <v>0.09</v>
      </c>
      <c r="M38" s="319">
        <v>0.09</v>
      </c>
      <c r="N38" s="319">
        <v>0.09</v>
      </c>
      <c r="O38" s="319">
        <v>0.09</v>
      </c>
      <c r="P38" s="320">
        <f t="shared" ref="P38:P49" si="2">SUM(D38:O38)</f>
        <v>0.99999999999999978</v>
      </c>
      <c r="Q38" s="406" t="s">
        <v>564</v>
      </c>
      <c r="R38" s="407"/>
      <c r="S38" s="407"/>
      <c r="T38" s="407"/>
      <c r="U38" s="407"/>
      <c r="V38" s="407"/>
      <c r="W38" s="407"/>
      <c r="X38" s="407"/>
      <c r="Y38" s="407"/>
      <c r="Z38" s="407"/>
      <c r="AA38" s="407"/>
      <c r="AB38" s="407"/>
      <c r="AC38" s="407"/>
      <c r="AD38" s="408"/>
      <c r="AE38" s="97"/>
      <c r="AG38" s="98"/>
      <c r="AH38" s="98"/>
      <c r="AI38" s="98"/>
      <c r="AJ38" s="98"/>
      <c r="AK38" s="98"/>
      <c r="AL38" s="98"/>
      <c r="AM38" s="98"/>
      <c r="AN38" s="98"/>
      <c r="AO38" s="98"/>
    </row>
    <row r="39" spans="1:41" ht="60.9" customHeight="1" x14ac:dyDescent="0.3">
      <c r="A39" s="383"/>
      <c r="B39" s="381"/>
      <c r="C39" s="321" t="s">
        <v>63</v>
      </c>
      <c r="D39" s="322">
        <v>0.05</v>
      </c>
      <c r="E39" s="322">
        <v>0.05</v>
      </c>
      <c r="F39" s="322">
        <v>0.09</v>
      </c>
      <c r="G39" s="322">
        <v>7.0000000000000007E-2</v>
      </c>
      <c r="H39" s="322">
        <v>0.09</v>
      </c>
      <c r="I39" s="322">
        <v>0.09</v>
      </c>
      <c r="J39" s="322">
        <v>7.0000000000000007E-2</v>
      </c>
      <c r="K39" s="322">
        <v>0.08</v>
      </c>
      <c r="L39" s="322">
        <v>0.1</v>
      </c>
      <c r="M39" s="322">
        <v>0.09</v>
      </c>
      <c r="N39" s="322"/>
      <c r="O39" s="322"/>
      <c r="P39" s="323">
        <f t="shared" si="2"/>
        <v>0.77999999999999992</v>
      </c>
      <c r="Q39" s="388"/>
      <c r="R39" s="389"/>
      <c r="S39" s="389"/>
      <c r="T39" s="389"/>
      <c r="U39" s="389"/>
      <c r="V39" s="389"/>
      <c r="W39" s="389"/>
      <c r="X39" s="389"/>
      <c r="Y39" s="389"/>
      <c r="Z39" s="389"/>
      <c r="AA39" s="389"/>
      <c r="AB39" s="389"/>
      <c r="AC39" s="389"/>
      <c r="AD39" s="390"/>
      <c r="AE39" s="97"/>
    </row>
    <row r="40" spans="1:41" ht="59.1" customHeight="1" x14ac:dyDescent="0.3">
      <c r="A40" s="383" t="s">
        <v>84</v>
      </c>
      <c r="B40" s="384">
        <v>2.5000000000000001E-2</v>
      </c>
      <c r="C40" s="324" t="s">
        <v>62</v>
      </c>
      <c r="D40" s="325">
        <v>0.05</v>
      </c>
      <c r="E40" s="325">
        <v>0.05</v>
      </c>
      <c r="F40" s="325">
        <v>0.05</v>
      </c>
      <c r="G40" s="325">
        <v>0.05</v>
      </c>
      <c r="H40" s="325">
        <v>0.1</v>
      </c>
      <c r="I40" s="325">
        <v>0.1</v>
      </c>
      <c r="J40" s="325">
        <v>0.1</v>
      </c>
      <c r="K40" s="325">
        <v>0.1</v>
      </c>
      <c r="L40" s="325">
        <v>0.1</v>
      </c>
      <c r="M40" s="325">
        <v>0.1</v>
      </c>
      <c r="N40" s="325">
        <v>0.1</v>
      </c>
      <c r="O40" s="325">
        <v>0.1</v>
      </c>
      <c r="P40" s="323">
        <f t="shared" si="2"/>
        <v>0.99999999999999989</v>
      </c>
      <c r="Q40" s="385" t="s">
        <v>565</v>
      </c>
      <c r="R40" s="386"/>
      <c r="S40" s="386"/>
      <c r="T40" s="386"/>
      <c r="U40" s="386"/>
      <c r="V40" s="386"/>
      <c r="W40" s="386"/>
      <c r="X40" s="386"/>
      <c r="Y40" s="386"/>
      <c r="Z40" s="386"/>
      <c r="AA40" s="386"/>
      <c r="AB40" s="386"/>
      <c r="AC40" s="386"/>
      <c r="AD40" s="387"/>
      <c r="AE40" s="97"/>
    </row>
    <row r="41" spans="1:41" ht="59.1" customHeight="1" x14ac:dyDescent="0.3">
      <c r="A41" s="383"/>
      <c r="B41" s="384"/>
      <c r="C41" s="321" t="s">
        <v>63</v>
      </c>
      <c r="D41" s="322">
        <v>0.05</v>
      </c>
      <c r="E41" s="322">
        <v>0.05</v>
      </c>
      <c r="F41" s="322">
        <v>0.05</v>
      </c>
      <c r="G41" s="322">
        <v>0.05</v>
      </c>
      <c r="H41" s="322">
        <v>0.1</v>
      </c>
      <c r="I41" s="322">
        <v>0.1</v>
      </c>
      <c r="J41" s="322">
        <v>0.1</v>
      </c>
      <c r="K41" s="322">
        <v>0.1</v>
      </c>
      <c r="L41" s="326">
        <v>0.1</v>
      </c>
      <c r="M41" s="326">
        <v>0.1</v>
      </c>
      <c r="N41" s="326"/>
      <c r="O41" s="326"/>
      <c r="P41" s="323">
        <f t="shared" si="2"/>
        <v>0.79999999999999993</v>
      </c>
      <c r="Q41" s="388"/>
      <c r="R41" s="389"/>
      <c r="S41" s="389"/>
      <c r="T41" s="389"/>
      <c r="U41" s="389"/>
      <c r="V41" s="389"/>
      <c r="W41" s="389"/>
      <c r="X41" s="389"/>
      <c r="Y41" s="389"/>
      <c r="Z41" s="389"/>
      <c r="AA41" s="389"/>
      <c r="AB41" s="389"/>
      <c r="AC41" s="389"/>
      <c r="AD41" s="390"/>
      <c r="AE41" s="97"/>
    </row>
    <row r="42" spans="1:41" ht="60" customHeight="1" x14ac:dyDescent="0.3">
      <c r="A42" s="391" t="s">
        <v>85</v>
      </c>
      <c r="B42" s="384">
        <v>2.5000000000000001E-2</v>
      </c>
      <c r="C42" s="324" t="s">
        <v>62</v>
      </c>
      <c r="D42" s="325">
        <v>0.06</v>
      </c>
      <c r="E42" s="325">
        <v>0.06</v>
      </c>
      <c r="F42" s="325">
        <v>7.0000000000000007E-2</v>
      </c>
      <c r="G42" s="325">
        <v>0.09</v>
      </c>
      <c r="H42" s="325">
        <v>0.09</v>
      </c>
      <c r="I42" s="325">
        <v>0.09</v>
      </c>
      <c r="J42" s="325">
        <v>0.09</v>
      </c>
      <c r="K42" s="325">
        <v>0.09</v>
      </c>
      <c r="L42" s="325">
        <v>0.09</v>
      </c>
      <c r="M42" s="325">
        <v>0.09</v>
      </c>
      <c r="N42" s="325">
        <v>0.09</v>
      </c>
      <c r="O42" s="325">
        <v>0.09</v>
      </c>
      <c r="P42" s="323">
        <f t="shared" si="2"/>
        <v>0.99999999999999978</v>
      </c>
      <c r="Q42" s="385" t="s">
        <v>578</v>
      </c>
      <c r="R42" s="386"/>
      <c r="S42" s="386"/>
      <c r="T42" s="386"/>
      <c r="U42" s="386"/>
      <c r="V42" s="386"/>
      <c r="W42" s="386"/>
      <c r="X42" s="386"/>
      <c r="Y42" s="386"/>
      <c r="Z42" s="386"/>
      <c r="AA42" s="386"/>
      <c r="AB42" s="386"/>
      <c r="AC42" s="386"/>
      <c r="AD42" s="387"/>
      <c r="AE42" s="97"/>
    </row>
    <row r="43" spans="1:41" ht="76.5" customHeight="1" x14ac:dyDescent="0.3">
      <c r="A43" s="391"/>
      <c r="B43" s="384"/>
      <c r="C43" s="321" t="s">
        <v>63</v>
      </c>
      <c r="D43" s="322">
        <v>0.06</v>
      </c>
      <c r="E43" s="322">
        <v>0.06</v>
      </c>
      <c r="F43" s="322">
        <v>7.0000000000000007E-2</v>
      </c>
      <c r="G43" s="322">
        <v>0.09</v>
      </c>
      <c r="H43" s="322">
        <v>0.05</v>
      </c>
      <c r="I43" s="322">
        <v>0.05</v>
      </c>
      <c r="J43" s="322">
        <v>0.09</v>
      </c>
      <c r="K43" s="322">
        <v>0.09</v>
      </c>
      <c r="L43" s="326">
        <v>0.09</v>
      </c>
      <c r="M43" s="326">
        <v>0.08</v>
      </c>
      <c r="N43" s="326"/>
      <c r="O43" s="326"/>
      <c r="P43" s="323">
        <f t="shared" si="2"/>
        <v>0.72999999999999987</v>
      </c>
      <c r="Q43" s="388"/>
      <c r="R43" s="389"/>
      <c r="S43" s="389"/>
      <c r="T43" s="389"/>
      <c r="U43" s="389"/>
      <c r="V43" s="389"/>
      <c r="W43" s="389"/>
      <c r="X43" s="389"/>
      <c r="Y43" s="389"/>
      <c r="Z43" s="389"/>
      <c r="AA43" s="389"/>
      <c r="AB43" s="389"/>
      <c r="AC43" s="389"/>
      <c r="AD43" s="390"/>
      <c r="AE43" s="97"/>
    </row>
    <row r="44" spans="1:41" ht="359.1" customHeight="1" x14ac:dyDescent="0.3">
      <c r="A44" s="383" t="s">
        <v>86</v>
      </c>
      <c r="B44" s="381">
        <v>0.03</v>
      </c>
      <c r="C44" s="324" t="s">
        <v>62</v>
      </c>
      <c r="D44" s="325">
        <v>0</v>
      </c>
      <c r="E44" s="325">
        <v>0.1</v>
      </c>
      <c r="F44" s="325">
        <v>0.09</v>
      </c>
      <c r="G44" s="325">
        <v>0.09</v>
      </c>
      <c r="H44" s="325">
        <v>0.09</v>
      </c>
      <c r="I44" s="325">
        <v>0.09</v>
      </c>
      <c r="J44" s="325">
        <v>0.09</v>
      </c>
      <c r="K44" s="325">
        <v>0.09</v>
      </c>
      <c r="L44" s="325">
        <v>0.09</v>
      </c>
      <c r="M44" s="325">
        <v>0.09</v>
      </c>
      <c r="N44" s="325">
        <v>0.09</v>
      </c>
      <c r="O44" s="325">
        <v>0.09</v>
      </c>
      <c r="P44" s="323">
        <f t="shared" si="2"/>
        <v>0.99999999999999978</v>
      </c>
      <c r="Q44" s="552" t="s">
        <v>534</v>
      </c>
      <c r="R44" s="553"/>
      <c r="S44" s="553"/>
      <c r="T44" s="553"/>
      <c r="U44" s="553"/>
      <c r="V44" s="553"/>
      <c r="W44" s="553"/>
      <c r="X44" s="553"/>
      <c r="Y44" s="553"/>
      <c r="Z44" s="553"/>
      <c r="AA44" s="553"/>
      <c r="AB44" s="553"/>
      <c r="AC44" s="553"/>
      <c r="AD44" s="554"/>
      <c r="AE44" s="97"/>
    </row>
    <row r="45" spans="1:41" ht="359.1" customHeight="1" x14ac:dyDescent="0.3">
      <c r="A45" s="383"/>
      <c r="B45" s="381"/>
      <c r="C45" s="321" t="s">
        <v>63</v>
      </c>
      <c r="D45" s="322">
        <v>0</v>
      </c>
      <c r="E45" s="322">
        <v>0.1</v>
      </c>
      <c r="F45" s="322">
        <v>0.09</v>
      </c>
      <c r="G45" s="322">
        <v>0.09</v>
      </c>
      <c r="H45" s="322">
        <v>0.09</v>
      </c>
      <c r="I45" s="322">
        <v>0.09</v>
      </c>
      <c r="J45" s="322">
        <v>0.09</v>
      </c>
      <c r="K45" s="322">
        <v>0.09</v>
      </c>
      <c r="L45" s="326">
        <v>0.09</v>
      </c>
      <c r="M45" s="326">
        <v>0.09</v>
      </c>
      <c r="N45" s="326"/>
      <c r="O45" s="326"/>
      <c r="P45" s="323">
        <f t="shared" si="2"/>
        <v>0.81999999999999984</v>
      </c>
      <c r="Q45" s="552"/>
      <c r="R45" s="553"/>
      <c r="S45" s="553"/>
      <c r="T45" s="553"/>
      <c r="U45" s="553"/>
      <c r="V45" s="553"/>
      <c r="W45" s="553"/>
      <c r="X45" s="553"/>
      <c r="Y45" s="553"/>
      <c r="Z45" s="553"/>
      <c r="AA45" s="553"/>
      <c r="AB45" s="553"/>
      <c r="AC45" s="553"/>
      <c r="AD45" s="554"/>
      <c r="AE45" s="97"/>
    </row>
    <row r="46" spans="1:41" ht="79.5" customHeight="1" x14ac:dyDescent="0.3">
      <c r="A46" s="383" t="s">
        <v>87</v>
      </c>
      <c r="B46" s="381">
        <v>0.03</v>
      </c>
      <c r="C46" s="324" t="s">
        <v>62</v>
      </c>
      <c r="D46" s="325">
        <v>0</v>
      </c>
      <c r="E46" s="325">
        <v>0.1</v>
      </c>
      <c r="F46" s="325">
        <v>0.09</v>
      </c>
      <c r="G46" s="325">
        <v>0.09</v>
      </c>
      <c r="H46" s="325">
        <v>0.09</v>
      </c>
      <c r="I46" s="325">
        <v>0.09</v>
      </c>
      <c r="J46" s="325">
        <v>0.09</v>
      </c>
      <c r="K46" s="325">
        <v>0.09</v>
      </c>
      <c r="L46" s="325">
        <v>0.09</v>
      </c>
      <c r="M46" s="325">
        <v>0.09</v>
      </c>
      <c r="N46" s="325">
        <v>0.09</v>
      </c>
      <c r="O46" s="325">
        <v>0.09</v>
      </c>
      <c r="P46" s="323">
        <f t="shared" si="2"/>
        <v>0.99999999999999978</v>
      </c>
      <c r="Q46" s="552" t="s">
        <v>593</v>
      </c>
      <c r="R46" s="553"/>
      <c r="S46" s="553"/>
      <c r="T46" s="553"/>
      <c r="U46" s="553"/>
      <c r="V46" s="553"/>
      <c r="W46" s="553"/>
      <c r="X46" s="553"/>
      <c r="Y46" s="553"/>
      <c r="Z46" s="553"/>
      <c r="AA46" s="553"/>
      <c r="AB46" s="553"/>
      <c r="AC46" s="553"/>
      <c r="AD46" s="554"/>
      <c r="AE46" s="97"/>
    </row>
    <row r="47" spans="1:41" ht="127.5" customHeight="1" x14ac:dyDescent="0.3">
      <c r="A47" s="383"/>
      <c r="B47" s="381"/>
      <c r="C47" s="321" t="s">
        <v>63</v>
      </c>
      <c r="D47" s="322">
        <v>0</v>
      </c>
      <c r="E47" s="322">
        <v>0.1</v>
      </c>
      <c r="F47" s="322">
        <v>0.09</v>
      </c>
      <c r="G47" s="322">
        <v>0.09</v>
      </c>
      <c r="H47" s="322">
        <v>0.09</v>
      </c>
      <c r="I47" s="322">
        <v>0.09</v>
      </c>
      <c r="J47" s="322">
        <v>0.09</v>
      </c>
      <c r="K47" s="322">
        <v>0.09</v>
      </c>
      <c r="L47" s="326">
        <v>0.09</v>
      </c>
      <c r="M47" s="326">
        <v>0.09</v>
      </c>
      <c r="N47" s="326"/>
      <c r="O47" s="326"/>
      <c r="P47" s="323">
        <f t="shared" si="2"/>
        <v>0.81999999999999984</v>
      </c>
      <c r="Q47" s="552"/>
      <c r="R47" s="553"/>
      <c r="S47" s="553"/>
      <c r="T47" s="553"/>
      <c r="U47" s="553"/>
      <c r="V47" s="553"/>
      <c r="W47" s="553"/>
      <c r="X47" s="553"/>
      <c r="Y47" s="553"/>
      <c r="Z47" s="553"/>
      <c r="AA47" s="553"/>
      <c r="AB47" s="553"/>
      <c r="AC47" s="553"/>
      <c r="AD47" s="554"/>
      <c r="AE47" s="97"/>
    </row>
    <row r="48" spans="1:41" ht="51" customHeight="1" x14ac:dyDescent="0.3">
      <c r="A48" s="567" t="s">
        <v>88</v>
      </c>
      <c r="B48" s="381">
        <v>0.02</v>
      </c>
      <c r="C48" s="324" t="s">
        <v>62</v>
      </c>
      <c r="D48" s="325">
        <v>0</v>
      </c>
      <c r="E48" s="325">
        <v>0</v>
      </c>
      <c r="F48" s="325">
        <v>0</v>
      </c>
      <c r="G48" s="325">
        <v>0</v>
      </c>
      <c r="H48" s="325">
        <v>0</v>
      </c>
      <c r="I48" s="325">
        <v>0</v>
      </c>
      <c r="J48" s="325">
        <v>0</v>
      </c>
      <c r="K48" s="325">
        <v>0</v>
      </c>
      <c r="L48" s="325">
        <v>0.4</v>
      </c>
      <c r="M48" s="325">
        <v>0.4</v>
      </c>
      <c r="N48" s="325">
        <v>0.2</v>
      </c>
      <c r="O48" s="325">
        <v>0</v>
      </c>
      <c r="P48" s="323">
        <f t="shared" si="2"/>
        <v>1</v>
      </c>
      <c r="Q48" s="552" t="s">
        <v>589</v>
      </c>
      <c r="R48" s="553"/>
      <c r="S48" s="553"/>
      <c r="T48" s="553"/>
      <c r="U48" s="553"/>
      <c r="V48" s="553"/>
      <c r="W48" s="553"/>
      <c r="X48" s="553"/>
      <c r="Y48" s="553"/>
      <c r="Z48" s="553"/>
      <c r="AA48" s="553"/>
      <c r="AB48" s="553"/>
      <c r="AC48" s="553"/>
      <c r="AD48" s="554"/>
      <c r="AE48" s="97"/>
    </row>
    <row r="49" spans="1:31" ht="51" customHeight="1" thickBot="1" x14ac:dyDescent="0.35">
      <c r="A49" s="568"/>
      <c r="B49" s="382"/>
      <c r="C49" s="314" t="s">
        <v>63</v>
      </c>
      <c r="D49" s="327">
        <v>0</v>
      </c>
      <c r="E49" s="327">
        <v>0</v>
      </c>
      <c r="F49" s="327">
        <v>0</v>
      </c>
      <c r="G49" s="327">
        <v>0</v>
      </c>
      <c r="H49" s="327">
        <v>0</v>
      </c>
      <c r="I49" s="327">
        <v>0</v>
      </c>
      <c r="J49" s="327">
        <v>0</v>
      </c>
      <c r="K49" s="327">
        <v>0</v>
      </c>
      <c r="L49" s="328">
        <v>0.4</v>
      </c>
      <c r="M49" s="328">
        <v>0.4</v>
      </c>
      <c r="N49" s="328"/>
      <c r="O49" s="328"/>
      <c r="P49" s="329">
        <f t="shared" si="2"/>
        <v>0.8</v>
      </c>
      <c r="Q49" s="555"/>
      <c r="R49" s="556"/>
      <c r="S49" s="556"/>
      <c r="T49" s="556"/>
      <c r="U49" s="556"/>
      <c r="V49" s="556"/>
      <c r="W49" s="556"/>
      <c r="X49" s="556"/>
      <c r="Y49" s="556"/>
      <c r="Z49" s="556"/>
      <c r="AA49" s="556"/>
      <c r="AB49" s="556"/>
      <c r="AC49" s="556"/>
      <c r="AD49" s="557"/>
      <c r="AE49" s="97"/>
    </row>
    <row r="50" spans="1:31" x14ac:dyDescent="0.3">
      <c r="A50" s="194" t="s">
        <v>89</v>
      </c>
      <c r="Q50" s="194"/>
      <c r="R50" s="194"/>
      <c r="S50" s="194"/>
      <c r="T50" s="194"/>
      <c r="U50" s="194"/>
      <c r="V50" s="194"/>
      <c r="W50" s="194"/>
      <c r="X50" s="194"/>
      <c r="Y50" s="194"/>
      <c r="Z50" s="194"/>
      <c r="AA50" s="194"/>
      <c r="AB50" s="194"/>
      <c r="AC50" s="194"/>
      <c r="AD50" s="194"/>
    </row>
    <row r="51" spans="1:31" x14ac:dyDescent="0.3">
      <c r="A51" s="194"/>
      <c r="Q51" s="194"/>
      <c r="R51" s="194"/>
      <c r="S51" s="194"/>
      <c r="T51" s="194"/>
      <c r="U51" s="194"/>
      <c r="V51" s="194"/>
      <c r="W51" s="194"/>
      <c r="X51" s="194"/>
      <c r="Y51" s="194"/>
      <c r="Z51" s="194"/>
      <c r="AA51" s="194"/>
      <c r="AB51" s="194"/>
      <c r="AC51" s="194"/>
      <c r="AD51" s="194"/>
    </row>
    <row r="52" spans="1:31" x14ac:dyDescent="0.3">
      <c r="A52" s="194"/>
      <c r="Q52" s="194"/>
      <c r="R52" s="194"/>
      <c r="S52" s="194"/>
      <c r="T52" s="194"/>
      <c r="U52" s="194"/>
      <c r="V52" s="194"/>
      <c r="W52" s="194"/>
      <c r="X52" s="194"/>
      <c r="Y52" s="194"/>
      <c r="Z52" s="194"/>
      <c r="AA52" s="194"/>
      <c r="AB52" s="194"/>
      <c r="AC52" s="194"/>
      <c r="AD52" s="194"/>
    </row>
    <row r="53" spans="1:31" x14ac:dyDescent="0.3">
      <c r="A53" s="194"/>
      <c r="Q53" s="194"/>
      <c r="R53" s="194"/>
      <c r="S53" s="194"/>
      <c r="T53" s="194"/>
      <c r="U53" s="194"/>
      <c r="V53" s="194"/>
      <c r="W53" s="194"/>
      <c r="X53" s="194"/>
      <c r="Y53" s="194"/>
      <c r="Z53" s="194"/>
      <c r="AA53" s="194"/>
      <c r="AB53" s="194"/>
      <c r="AC53" s="194"/>
      <c r="AD53" s="194"/>
    </row>
    <row r="54" spans="1:31" hidden="1" x14ac:dyDescent="0.3">
      <c r="A54" s="194"/>
      <c r="Q54" s="194"/>
      <c r="R54" s="194"/>
      <c r="S54" s="194"/>
      <c r="T54" s="194"/>
      <c r="U54" s="194"/>
      <c r="V54" s="194"/>
      <c r="W54" s="194"/>
      <c r="X54" s="194"/>
      <c r="Y54" s="194"/>
      <c r="Z54" s="194"/>
      <c r="AA54" s="194"/>
      <c r="AB54" s="194"/>
      <c r="AC54" s="194"/>
      <c r="AD54" s="194"/>
    </row>
    <row r="55" spans="1:31" ht="15" hidden="1" customHeight="1" x14ac:dyDescent="0.3">
      <c r="A55" s="558" t="s">
        <v>90</v>
      </c>
      <c r="B55" s="560" t="s">
        <v>65</v>
      </c>
      <c r="C55" s="562" t="s">
        <v>66</v>
      </c>
      <c r="D55" s="563"/>
      <c r="E55" s="563"/>
      <c r="F55" s="563"/>
      <c r="G55" s="563"/>
      <c r="H55" s="563"/>
      <c r="I55" s="563"/>
      <c r="J55" s="563"/>
      <c r="K55" s="563"/>
      <c r="L55" s="563"/>
      <c r="M55" s="563"/>
      <c r="N55" s="563"/>
      <c r="O55" s="563"/>
      <c r="P55" s="564"/>
      <c r="Q55" s="195"/>
      <c r="R55" s="195"/>
      <c r="S55" s="194"/>
      <c r="T55" s="194"/>
      <c r="U55" s="194"/>
      <c r="V55" s="194"/>
      <c r="W55" s="194"/>
      <c r="X55" s="194"/>
      <c r="Y55" s="194"/>
      <c r="Z55" s="194"/>
      <c r="AA55" s="194"/>
      <c r="AB55" s="194"/>
      <c r="AC55" s="194"/>
      <c r="AD55" s="194"/>
    </row>
    <row r="56" spans="1:31" hidden="1" x14ac:dyDescent="0.3">
      <c r="A56" s="559"/>
      <c r="B56" s="561"/>
      <c r="C56" s="177" t="s">
        <v>68</v>
      </c>
      <c r="D56" s="177" t="s">
        <v>69</v>
      </c>
      <c r="E56" s="177" t="s">
        <v>70</v>
      </c>
      <c r="F56" s="177" t="s">
        <v>71</v>
      </c>
      <c r="G56" s="177" t="s">
        <v>72</v>
      </c>
      <c r="H56" s="177" t="s">
        <v>73</v>
      </c>
      <c r="I56" s="177" t="s">
        <v>74</v>
      </c>
      <c r="J56" s="177" t="s">
        <v>75</v>
      </c>
      <c r="K56" s="177" t="s">
        <v>76</v>
      </c>
      <c r="L56" s="177" t="s">
        <v>77</v>
      </c>
      <c r="M56" s="177" t="s">
        <v>78</v>
      </c>
      <c r="N56" s="177" t="s">
        <v>79</v>
      </c>
      <c r="O56" s="177" t="s">
        <v>80</v>
      </c>
      <c r="P56" s="177" t="s">
        <v>81</v>
      </c>
      <c r="Q56" s="195"/>
      <c r="R56" s="195"/>
      <c r="S56" s="194"/>
      <c r="T56" s="194"/>
      <c r="U56" s="194"/>
      <c r="V56" s="194"/>
      <c r="W56" s="194"/>
      <c r="X56" s="194"/>
      <c r="Y56" s="194"/>
      <c r="Z56" s="194"/>
      <c r="AA56" s="194"/>
      <c r="AB56" s="194"/>
      <c r="AC56" s="194"/>
      <c r="AD56" s="194"/>
    </row>
    <row r="57" spans="1:31" ht="15" hidden="1" customHeight="1" x14ac:dyDescent="0.3">
      <c r="A57" s="546" t="str">
        <f>A38</f>
        <v xml:space="preserve">1. Realizar actividades de asistencia técnica dirigidas a los Sectores de la Administración Distrital, orientadas a la implementación de los lineamientos para la estrategia de transversalización del enfoque diferencial y del procedimiento de asistencia técnica que lidera la Dirección de Enfoque Diferencial. </v>
      </c>
      <c r="B57" s="565">
        <f>B38</f>
        <v>0.05</v>
      </c>
      <c r="C57" s="176" t="s">
        <v>62</v>
      </c>
      <c r="D57" s="175">
        <f t="shared" ref="D57:O58" si="3">D38*$B$38/$P$38</f>
        <v>2.5000000000000009E-3</v>
      </c>
      <c r="E57" s="175">
        <f t="shared" si="3"/>
        <v>2.5000000000000009E-3</v>
      </c>
      <c r="F57" s="175">
        <f t="shared" si="3"/>
        <v>4.5000000000000005E-3</v>
      </c>
      <c r="G57" s="175">
        <f t="shared" si="3"/>
        <v>4.5000000000000005E-3</v>
      </c>
      <c r="H57" s="175">
        <f t="shared" si="3"/>
        <v>4.5000000000000005E-3</v>
      </c>
      <c r="I57" s="175">
        <f t="shared" si="3"/>
        <v>4.5000000000000005E-3</v>
      </c>
      <c r="J57" s="175">
        <f t="shared" si="3"/>
        <v>4.5000000000000005E-3</v>
      </c>
      <c r="K57" s="175">
        <f t="shared" si="3"/>
        <v>4.5000000000000005E-3</v>
      </c>
      <c r="L57" s="175">
        <f t="shared" si="3"/>
        <v>4.5000000000000005E-3</v>
      </c>
      <c r="M57" s="175">
        <f t="shared" si="3"/>
        <v>4.5000000000000005E-3</v>
      </c>
      <c r="N57" s="175">
        <f t="shared" si="3"/>
        <v>4.5000000000000005E-3</v>
      </c>
      <c r="O57" s="175">
        <f t="shared" si="3"/>
        <v>4.5000000000000005E-3</v>
      </c>
      <c r="P57" s="174">
        <f t="shared" ref="P57:P68" si="4">SUM(D57:O57)</f>
        <v>5.0000000000000017E-2</v>
      </c>
      <c r="Q57" s="197">
        <v>0.05</v>
      </c>
      <c r="R57" s="198">
        <f t="shared" ref="R57:R71" si="5">+P57-Q57</f>
        <v>0</v>
      </c>
      <c r="S57" s="194"/>
      <c r="T57" s="194"/>
      <c r="U57" s="194"/>
      <c r="V57" s="194"/>
      <c r="W57" s="194"/>
      <c r="X57" s="194"/>
      <c r="Y57" s="194"/>
      <c r="Z57" s="194"/>
      <c r="AA57" s="194"/>
      <c r="AB57" s="194"/>
      <c r="AC57" s="194"/>
      <c r="AD57" s="194"/>
    </row>
    <row r="58" spans="1:31" hidden="1" x14ac:dyDescent="0.3">
      <c r="A58" s="547"/>
      <c r="B58" s="566"/>
      <c r="C58" s="173" t="s">
        <v>63</v>
      </c>
      <c r="D58" s="172">
        <f t="shared" si="3"/>
        <v>2.5000000000000009E-3</v>
      </c>
      <c r="E58" s="172">
        <f t="shared" si="3"/>
        <v>2.5000000000000009E-3</v>
      </c>
      <c r="F58" s="172">
        <f t="shared" si="3"/>
        <v>4.5000000000000005E-3</v>
      </c>
      <c r="G58" s="172">
        <f t="shared" si="3"/>
        <v>3.5000000000000014E-3</v>
      </c>
      <c r="H58" s="172">
        <f t="shared" si="3"/>
        <v>4.5000000000000005E-3</v>
      </c>
      <c r="I58" s="172">
        <f t="shared" si="3"/>
        <v>4.5000000000000005E-3</v>
      </c>
      <c r="J58" s="172">
        <f t="shared" si="3"/>
        <v>3.5000000000000014E-3</v>
      </c>
      <c r="K58" s="172">
        <f t="shared" si="3"/>
        <v>4.000000000000001E-3</v>
      </c>
      <c r="L58" s="172">
        <f t="shared" si="3"/>
        <v>5.0000000000000018E-3</v>
      </c>
      <c r="M58" s="172">
        <f t="shared" si="3"/>
        <v>4.5000000000000005E-3</v>
      </c>
      <c r="N58" s="172">
        <f t="shared" si="3"/>
        <v>0</v>
      </c>
      <c r="O58" s="172">
        <f t="shared" si="3"/>
        <v>0</v>
      </c>
      <c r="P58" s="171">
        <f t="shared" si="4"/>
        <v>3.9000000000000007E-2</v>
      </c>
      <c r="Q58" s="199">
        <f>+P58</f>
        <v>3.9000000000000007E-2</v>
      </c>
      <c r="R58" s="198">
        <f t="shared" si="5"/>
        <v>0</v>
      </c>
      <c r="S58" s="194"/>
      <c r="T58" s="194"/>
      <c r="U58" s="194"/>
      <c r="V58" s="194"/>
      <c r="W58" s="194"/>
      <c r="X58" s="194"/>
      <c r="Y58" s="194"/>
      <c r="Z58" s="194"/>
      <c r="AA58" s="194"/>
      <c r="AB58" s="194"/>
      <c r="AC58" s="194"/>
      <c r="AD58" s="194"/>
    </row>
    <row r="59" spans="1:31" ht="15" hidden="1" customHeight="1" x14ac:dyDescent="0.3">
      <c r="A59" s="546" t="str">
        <f>A40</f>
        <v xml:space="preserve">2. Consolidar la caja de herramientas que contribuya a la eliminación de barreras de acceso a los servicios y a la realización de acciones afirmativas dirigidas a mujeres en sus diferencias y diversidad para la garantía de sus derechos en el Distrito Capital. </v>
      </c>
      <c r="B59" s="548">
        <f>B40</f>
        <v>2.5000000000000001E-2</v>
      </c>
      <c r="C59" s="176" t="s">
        <v>62</v>
      </c>
      <c r="D59" s="175">
        <f t="shared" ref="D59:O60" si="6">D40*$B$40/$P$40</f>
        <v>1.2500000000000005E-3</v>
      </c>
      <c r="E59" s="175">
        <f t="shared" si="6"/>
        <v>1.2500000000000005E-3</v>
      </c>
      <c r="F59" s="175">
        <f t="shared" si="6"/>
        <v>1.2500000000000005E-3</v>
      </c>
      <c r="G59" s="175">
        <f t="shared" si="6"/>
        <v>1.2500000000000005E-3</v>
      </c>
      <c r="H59" s="175">
        <f t="shared" si="6"/>
        <v>2.5000000000000009E-3</v>
      </c>
      <c r="I59" s="175">
        <f t="shared" si="6"/>
        <v>2.5000000000000009E-3</v>
      </c>
      <c r="J59" s="175">
        <f t="shared" si="6"/>
        <v>2.5000000000000009E-3</v>
      </c>
      <c r="K59" s="175">
        <f t="shared" si="6"/>
        <v>2.5000000000000009E-3</v>
      </c>
      <c r="L59" s="175">
        <f t="shared" si="6"/>
        <v>2.5000000000000009E-3</v>
      </c>
      <c r="M59" s="175">
        <f t="shared" si="6"/>
        <v>2.5000000000000009E-3</v>
      </c>
      <c r="N59" s="175">
        <f t="shared" si="6"/>
        <v>2.5000000000000009E-3</v>
      </c>
      <c r="O59" s="175">
        <f t="shared" si="6"/>
        <v>2.5000000000000009E-3</v>
      </c>
      <c r="P59" s="174">
        <f t="shared" si="4"/>
        <v>2.5000000000000012E-2</v>
      </c>
      <c r="Q59" s="197">
        <v>2.5000000000000001E-2</v>
      </c>
      <c r="R59" s="198">
        <f t="shared" si="5"/>
        <v>0</v>
      </c>
      <c r="S59" s="194"/>
      <c r="T59" s="194"/>
      <c r="U59" s="194"/>
      <c r="V59" s="194"/>
      <c r="W59" s="194"/>
      <c r="X59" s="194"/>
      <c r="Y59" s="194"/>
      <c r="Z59" s="194"/>
      <c r="AA59" s="194"/>
      <c r="AB59" s="194"/>
      <c r="AC59" s="194"/>
      <c r="AD59" s="194"/>
    </row>
    <row r="60" spans="1:31" hidden="1" x14ac:dyDescent="0.3">
      <c r="A60" s="547"/>
      <c r="B60" s="549"/>
      <c r="C60" s="173" t="s">
        <v>63</v>
      </c>
      <c r="D60" s="172">
        <f t="shared" si="6"/>
        <v>1.2500000000000005E-3</v>
      </c>
      <c r="E60" s="172">
        <f t="shared" si="6"/>
        <v>1.2500000000000005E-3</v>
      </c>
      <c r="F60" s="172">
        <f t="shared" si="6"/>
        <v>1.2500000000000005E-3</v>
      </c>
      <c r="G60" s="172">
        <f t="shared" si="6"/>
        <v>1.2500000000000005E-3</v>
      </c>
      <c r="H60" s="172">
        <f t="shared" si="6"/>
        <v>2.5000000000000009E-3</v>
      </c>
      <c r="I60" s="172">
        <f t="shared" si="6"/>
        <v>2.5000000000000009E-3</v>
      </c>
      <c r="J60" s="172">
        <f t="shared" si="6"/>
        <v>2.5000000000000009E-3</v>
      </c>
      <c r="K60" s="172">
        <f t="shared" si="6"/>
        <v>2.5000000000000009E-3</v>
      </c>
      <c r="L60" s="172">
        <f t="shared" si="6"/>
        <v>2.5000000000000009E-3</v>
      </c>
      <c r="M60" s="172">
        <f t="shared" si="6"/>
        <v>2.5000000000000009E-3</v>
      </c>
      <c r="N60" s="172">
        <f t="shared" si="6"/>
        <v>0</v>
      </c>
      <c r="O60" s="172">
        <f t="shared" si="6"/>
        <v>0</v>
      </c>
      <c r="P60" s="171">
        <f t="shared" si="4"/>
        <v>2.0000000000000007E-2</v>
      </c>
      <c r="Q60" s="199">
        <f>+P60</f>
        <v>2.0000000000000007E-2</v>
      </c>
      <c r="R60" s="198">
        <f t="shared" si="5"/>
        <v>0</v>
      </c>
      <c r="S60" s="194"/>
      <c r="T60" s="194"/>
      <c r="U60" s="194"/>
      <c r="V60" s="194"/>
      <c r="W60" s="194"/>
      <c r="X60" s="194"/>
      <c r="Y60" s="194"/>
      <c r="Z60" s="194"/>
      <c r="AA60" s="194"/>
      <c r="AB60" s="194"/>
      <c r="AC60" s="194"/>
      <c r="AD60" s="194"/>
    </row>
    <row r="61" spans="1:31" ht="15" hidden="1" customHeight="1" x14ac:dyDescent="0.3">
      <c r="A61" s="546" t="str">
        <f>A42</f>
        <v>3. Formular, validar, implementar y hacer seguimiento al plan de fortalecimiento interno para la incorporación de acciones afirmativas con enfoque diferencial que permitan el acceso de las mujeres en toda su diversidad a los servicios que presta la Secretaría Distrital de la Mujer.</v>
      </c>
      <c r="B61" s="548">
        <f>B42</f>
        <v>2.5000000000000001E-2</v>
      </c>
      <c r="C61" s="176" t="s">
        <v>62</v>
      </c>
      <c r="D61" s="175">
        <f t="shared" ref="D61:O62" si="7">D42*$B$42/$P$42</f>
        <v>1.5000000000000005E-3</v>
      </c>
      <c r="E61" s="175">
        <f t="shared" si="7"/>
        <v>1.5000000000000005E-3</v>
      </c>
      <c r="F61" s="175">
        <f t="shared" si="7"/>
        <v>1.7500000000000007E-3</v>
      </c>
      <c r="G61" s="175">
        <f t="shared" si="7"/>
        <v>2.2500000000000003E-3</v>
      </c>
      <c r="H61" s="175">
        <f t="shared" si="7"/>
        <v>2.2500000000000003E-3</v>
      </c>
      <c r="I61" s="175">
        <f t="shared" si="7"/>
        <v>2.2500000000000003E-3</v>
      </c>
      <c r="J61" s="175">
        <f t="shared" si="7"/>
        <v>2.2500000000000003E-3</v>
      </c>
      <c r="K61" s="175">
        <f t="shared" si="7"/>
        <v>2.2500000000000003E-3</v>
      </c>
      <c r="L61" s="175">
        <f t="shared" si="7"/>
        <v>2.2500000000000003E-3</v>
      </c>
      <c r="M61" s="175">
        <f t="shared" si="7"/>
        <v>2.2500000000000003E-3</v>
      </c>
      <c r="N61" s="175">
        <f t="shared" si="7"/>
        <v>2.2500000000000003E-3</v>
      </c>
      <c r="O61" s="175">
        <f t="shared" si="7"/>
        <v>2.2500000000000003E-3</v>
      </c>
      <c r="P61" s="174">
        <f t="shared" si="4"/>
        <v>2.5000000000000008E-2</v>
      </c>
      <c r="Q61" s="197">
        <v>2.5000000000000001E-2</v>
      </c>
      <c r="R61" s="198">
        <f t="shared" si="5"/>
        <v>0</v>
      </c>
      <c r="S61" s="194"/>
      <c r="T61" s="194"/>
      <c r="U61" s="194"/>
      <c r="V61" s="194"/>
      <c r="W61" s="194"/>
      <c r="X61" s="194"/>
      <c r="Y61" s="194"/>
      <c r="Z61" s="194"/>
      <c r="AA61" s="194"/>
      <c r="AB61" s="194"/>
      <c r="AC61" s="194"/>
      <c r="AD61" s="194"/>
    </row>
    <row r="62" spans="1:31" hidden="1" x14ac:dyDescent="0.3">
      <c r="A62" s="547"/>
      <c r="B62" s="549"/>
      <c r="C62" s="173" t="s">
        <v>63</v>
      </c>
      <c r="D62" s="172">
        <f t="shared" si="7"/>
        <v>1.5000000000000005E-3</v>
      </c>
      <c r="E62" s="172">
        <f t="shared" si="7"/>
        <v>1.5000000000000005E-3</v>
      </c>
      <c r="F62" s="172">
        <f t="shared" si="7"/>
        <v>1.7500000000000007E-3</v>
      </c>
      <c r="G62" s="172">
        <f t="shared" si="7"/>
        <v>2.2500000000000003E-3</v>
      </c>
      <c r="H62" s="172">
        <f t="shared" si="7"/>
        <v>1.2500000000000005E-3</v>
      </c>
      <c r="I62" s="172">
        <f t="shared" si="7"/>
        <v>1.2500000000000005E-3</v>
      </c>
      <c r="J62" s="172">
        <f t="shared" si="7"/>
        <v>2.2500000000000003E-3</v>
      </c>
      <c r="K62" s="172">
        <f t="shared" si="7"/>
        <v>2.2500000000000003E-3</v>
      </c>
      <c r="L62" s="172">
        <f t="shared" si="7"/>
        <v>2.2500000000000003E-3</v>
      </c>
      <c r="M62" s="172">
        <f t="shared" si="7"/>
        <v>2.0000000000000005E-3</v>
      </c>
      <c r="N62" s="172">
        <f t="shared" si="7"/>
        <v>0</v>
      </c>
      <c r="O62" s="172">
        <f t="shared" si="7"/>
        <v>0</v>
      </c>
      <c r="P62" s="171">
        <f t="shared" si="4"/>
        <v>1.8250000000000006E-2</v>
      </c>
      <c r="Q62" s="199">
        <f>+P62</f>
        <v>1.8250000000000006E-2</v>
      </c>
      <c r="R62" s="198">
        <f t="shared" si="5"/>
        <v>0</v>
      </c>
      <c r="S62" s="194"/>
      <c r="T62" s="194"/>
      <c r="U62" s="194"/>
      <c r="V62" s="194"/>
      <c r="W62" s="194"/>
      <c r="X62" s="194"/>
      <c r="Y62" s="194"/>
      <c r="Z62" s="194"/>
      <c r="AA62" s="194"/>
      <c r="AB62" s="194"/>
      <c r="AC62" s="194"/>
      <c r="AD62" s="194"/>
    </row>
    <row r="63" spans="1:31" ht="15" hidden="1" customHeight="1" x14ac:dyDescent="0.3">
      <c r="A63" s="546" t="str">
        <f>A44</f>
        <v>4. Socializar e implementar la hoja de ruta para incorporar los enfoques de derechos de las mujeres, de género y diferencial, a través del acompañamiento y articulación con las consejeras  por el Sector Mujeres en el CTPD.</v>
      </c>
      <c r="B63" s="548">
        <f>B44</f>
        <v>0.03</v>
      </c>
      <c r="C63" s="176" t="s">
        <v>62</v>
      </c>
      <c r="D63" s="175">
        <f t="shared" ref="D63:O64" si="8">D44*$B$44/$P$44</f>
        <v>0</v>
      </c>
      <c r="E63" s="175">
        <f t="shared" si="8"/>
        <v>3.0000000000000009E-3</v>
      </c>
      <c r="F63" s="175">
        <f t="shared" si="8"/>
        <v>2.7000000000000001E-3</v>
      </c>
      <c r="G63" s="175">
        <f t="shared" si="8"/>
        <v>2.7000000000000001E-3</v>
      </c>
      <c r="H63" s="175">
        <f t="shared" si="8"/>
        <v>2.7000000000000001E-3</v>
      </c>
      <c r="I63" s="175">
        <f t="shared" si="8"/>
        <v>2.7000000000000001E-3</v>
      </c>
      <c r="J63" s="175">
        <f t="shared" si="8"/>
        <v>2.7000000000000001E-3</v>
      </c>
      <c r="K63" s="175">
        <f t="shared" si="8"/>
        <v>2.7000000000000001E-3</v>
      </c>
      <c r="L63" s="175">
        <f t="shared" si="8"/>
        <v>2.7000000000000001E-3</v>
      </c>
      <c r="M63" s="175">
        <f t="shared" si="8"/>
        <v>2.7000000000000001E-3</v>
      </c>
      <c r="N63" s="175">
        <f t="shared" si="8"/>
        <v>2.7000000000000001E-3</v>
      </c>
      <c r="O63" s="175">
        <f t="shared" si="8"/>
        <v>2.7000000000000001E-3</v>
      </c>
      <c r="P63" s="174">
        <f t="shared" si="4"/>
        <v>3.0000000000000009E-2</v>
      </c>
      <c r="Q63" s="197">
        <v>0.02</v>
      </c>
      <c r="R63" s="198">
        <f t="shared" si="5"/>
        <v>1.0000000000000009E-2</v>
      </c>
      <c r="S63" s="194"/>
      <c r="T63" s="194"/>
      <c r="U63" s="194"/>
      <c r="V63" s="194"/>
      <c r="W63" s="194"/>
      <c r="X63" s="194"/>
      <c r="Y63" s="194"/>
      <c r="Z63" s="194"/>
      <c r="AA63" s="194"/>
      <c r="AB63" s="194"/>
      <c r="AC63" s="194"/>
      <c r="AD63" s="194"/>
    </row>
    <row r="64" spans="1:31" hidden="1" x14ac:dyDescent="0.3">
      <c r="A64" s="547"/>
      <c r="B64" s="549"/>
      <c r="C64" s="173" t="s">
        <v>63</v>
      </c>
      <c r="D64" s="172">
        <f t="shared" si="8"/>
        <v>0</v>
      </c>
      <c r="E64" s="172">
        <f t="shared" si="8"/>
        <v>3.0000000000000009E-3</v>
      </c>
      <c r="F64" s="172">
        <f t="shared" si="8"/>
        <v>2.7000000000000001E-3</v>
      </c>
      <c r="G64" s="172">
        <f t="shared" si="8"/>
        <v>2.7000000000000001E-3</v>
      </c>
      <c r="H64" s="172">
        <f t="shared" si="8"/>
        <v>2.7000000000000001E-3</v>
      </c>
      <c r="I64" s="172">
        <f t="shared" si="8"/>
        <v>2.7000000000000001E-3</v>
      </c>
      <c r="J64" s="172">
        <f t="shared" si="8"/>
        <v>2.7000000000000001E-3</v>
      </c>
      <c r="K64" s="172">
        <f t="shared" si="8"/>
        <v>2.7000000000000001E-3</v>
      </c>
      <c r="L64" s="172">
        <f t="shared" si="8"/>
        <v>2.7000000000000001E-3</v>
      </c>
      <c r="M64" s="172">
        <f t="shared" si="8"/>
        <v>2.7000000000000001E-3</v>
      </c>
      <c r="N64" s="172">
        <f t="shared" si="8"/>
        <v>0</v>
      </c>
      <c r="O64" s="172">
        <f t="shared" si="8"/>
        <v>0</v>
      </c>
      <c r="P64" s="171">
        <f t="shared" si="4"/>
        <v>2.4600000000000007E-2</v>
      </c>
      <c r="Q64" s="199">
        <f>+P64</f>
        <v>2.4600000000000007E-2</v>
      </c>
      <c r="R64" s="198">
        <f t="shared" si="5"/>
        <v>0</v>
      </c>
      <c r="S64" s="194"/>
      <c r="T64" s="194"/>
      <c r="U64" s="194"/>
      <c r="V64" s="194"/>
      <c r="W64" s="194"/>
      <c r="X64" s="194"/>
      <c r="Y64" s="194"/>
      <c r="Z64" s="194"/>
      <c r="AA64" s="194"/>
      <c r="AB64" s="194"/>
      <c r="AC64" s="194"/>
      <c r="AD64" s="194"/>
    </row>
    <row r="65" spans="1:30" ht="15" hidden="1" customHeight="1" x14ac:dyDescent="0.3">
      <c r="A65" s="546" t="str">
        <f>A46</f>
        <v>5. Socializar e implementar la hoja de ruta para incorporar los enfoques de derechos de las mujeres, de género y diferencial, a través del acompañamiento y articulación con la Submesa para la garantía y seguimiento de los derechos de las mujeres, diversidades, disidencias sexuales y de Género.</v>
      </c>
      <c r="B65" s="548">
        <f>B46</f>
        <v>0.03</v>
      </c>
      <c r="C65" s="176" t="s">
        <v>62</v>
      </c>
      <c r="D65" s="175">
        <f t="shared" ref="D65:O66" si="9">D46*$B$46/$P$46</f>
        <v>0</v>
      </c>
      <c r="E65" s="175">
        <f t="shared" si="9"/>
        <v>3.0000000000000009E-3</v>
      </c>
      <c r="F65" s="175">
        <f t="shared" si="9"/>
        <v>2.7000000000000001E-3</v>
      </c>
      <c r="G65" s="175">
        <f t="shared" si="9"/>
        <v>2.7000000000000001E-3</v>
      </c>
      <c r="H65" s="175">
        <f t="shared" si="9"/>
        <v>2.7000000000000001E-3</v>
      </c>
      <c r="I65" s="175">
        <f t="shared" si="9"/>
        <v>2.7000000000000001E-3</v>
      </c>
      <c r="J65" s="175">
        <f t="shared" si="9"/>
        <v>2.7000000000000001E-3</v>
      </c>
      <c r="K65" s="175">
        <f t="shared" si="9"/>
        <v>2.7000000000000001E-3</v>
      </c>
      <c r="L65" s="175">
        <f t="shared" si="9"/>
        <v>2.7000000000000001E-3</v>
      </c>
      <c r="M65" s="175">
        <f t="shared" si="9"/>
        <v>2.7000000000000001E-3</v>
      </c>
      <c r="N65" s="175">
        <f t="shared" si="9"/>
        <v>2.7000000000000001E-3</v>
      </c>
      <c r="O65" s="175">
        <f t="shared" si="9"/>
        <v>2.7000000000000001E-3</v>
      </c>
      <c r="P65" s="174">
        <f t="shared" si="4"/>
        <v>3.0000000000000009E-2</v>
      </c>
      <c r="Q65" s="197">
        <v>0.02</v>
      </c>
      <c r="R65" s="198">
        <f t="shared" si="5"/>
        <v>1.0000000000000009E-2</v>
      </c>
      <c r="S65" s="194"/>
      <c r="T65" s="194"/>
      <c r="U65" s="194"/>
      <c r="V65" s="194"/>
      <c r="W65" s="194"/>
      <c r="X65" s="194"/>
      <c r="Y65" s="194"/>
      <c r="Z65" s="194"/>
      <c r="AA65" s="194"/>
      <c r="AB65" s="194"/>
      <c r="AC65" s="194"/>
      <c r="AD65" s="194"/>
    </row>
    <row r="66" spans="1:30" hidden="1" x14ac:dyDescent="0.3">
      <c r="A66" s="547"/>
      <c r="B66" s="549"/>
      <c r="C66" s="173" t="s">
        <v>63</v>
      </c>
      <c r="D66" s="172">
        <f t="shared" si="9"/>
        <v>0</v>
      </c>
      <c r="E66" s="172">
        <f t="shared" si="9"/>
        <v>3.0000000000000009E-3</v>
      </c>
      <c r="F66" s="172">
        <f t="shared" si="9"/>
        <v>2.7000000000000001E-3</v>
      </c>
      <c r="G66" s="172">
        <f t="shared" si="9"/>
        <v>2.7000000000000001E-3</v>
      </c>
      <c r="H66" s="172">
        <f t="shared" si="9"/>
        <v>2.7000000000000001E-3</v>
      </c>
      <c r="I66" s="172">
        <f t="shared" si="9"/>
        <v>2.7000000000000001E-3</v>
      </c>
      <c r="J66" s="172">
        <f t="shared" si="9"/>
        <v>2.7000000000000001E-3</v>
      </c>
      <c r="K66" s="172">
        <f t="shared" si="9"/>
        <v>2.7000000000000001E-3</v>
      </c>
      <c r="L66" s="172">
        <f t="shared" si="9"/>
        <v>2.7000000000000001E-3</v>
      </c>
      <c r="M66" s="172">
        <f t="shared" si="9"/>
        <v>2.7000000000000001E-3</v>
      </c>
      <c r="N66" s="172">
        <f t="shared" si="9"/>
        <v>0</v>
      </c>
      <c r="O66" s="172">
        <f t="shared" si="9"/>
        <v>0</v>
      </c>
      <c r="P66" s="171">
        <f t="shared" si="4"/>
        <v>2.4600000000000007E-2</v>
      </c>
      <c r="Q66" s="199">
        <f>+P66</f>
        <v>2.4600000000000007E-2</v>
      </c>
      <c r="R66" s="198">
        <f t="shared" si="5"/>
        <v>0</v>
      </c>
      <c r="S66" s="194"/>
      <c r="T66" s="194"/>
      <c r="U66" s="194"/>
      <c r="V66" s="194"/>
      <c r="W66" s="194"/>
      <c r="X66" s="194"/>
      <c r="Y66" s="194"/>
      <c r="Z66" s="194"/>
      <c r="AA66" s="194"/>
      <c r="AB66" s="194"/>
      <c r="AC66" s="194"/>
      <c r="AD66" s="194"/>
    </row>
    <row r="67" spans="1:30" ht="15" hidden="1" customHeight="1" x14ac:dyDescent="0.3">
      <c r="A67" s="546" t="str">
        <f>A48</f>
        <v>6. Realizar un documento que dé cuenta de los avances en la incorporación durante el cuatrienio de los enfoques de derechos de las mujeres, de género y diferencial para mujeres en las instancias que se acompañan desde la Subsecretaría del Cuidado y Políticas de Igualdad.</v>
      </c>
      <c r="B67" s="548">
        <f>B48</f>
        <v>0.02</v>
      </c>
      <c r="C67" s="176" t="s">
        <v>62</v>
      </c>
      <c r="D67" s="175">
        <f t="shared" ref="D67:O68" si="10">D48*$B$48/$P$48</f>
        <v>0</v>
      </c>
      <c r="E67" s="175">
        <f t="shared" si="10"/>
        <v>0</v>
      </c>
      <c r="F67" s="175">
        <f t="shared" si="10"/>
        <v>0</v>
      </c>
      <c r="G67" s="175">
        <f t="shared" si="10"/>
        <v>0</v>
      </c>
      <c r="H67" s="175">
        <f t="shared" si="10"/>
        <v>0</v>
      </c>
      <c r="I67" s="175">
        <f t="shared" si="10"/>
        <v>0</v>
      </c>
      <c r="J67" s="175">
        <f t="shared" si="10"/>
        <v>0</v>
      </c>
      <c r="K67" s="175">
        <f t="shared" si="10"/>
        <v>0</v>
      </c>
      <c r="L67" s="175">
        <f t="shared" si="10"/>
        <v>8.0000000000000002E-3</v>
      </c>
      <c r="M67" s="175">
        <f t="shared" si="10"/>
        <v>8.0000000000000002E-3</v>
      </c>
      <c r="N67" s="175">
        <f t="shared" si="10"/>
        <v>4.0000000000000001E-3</v>
      </c>
      <c r="O67" s="175">
        <f t="shared" si="10"/>
        <v>0</v>
      </c>
      <c r="P67" s="174">
        <f t="shared" si="4"/>
        <v>0.02</v>
      </c>
      <c r="Q67" s="197">
        <v>0.02</v>
      </c>
      <c r="R67" s="198">
        <f t="shared" si="5"/>
        <v>0</v>
      </c>
      <c r="S67" s="194"/>
      <c r="T67" s="194"/>
      <c r="U67" s="194"/>
      <c r="V67" s="194"/>
      <c r="W67" s="194"/>
      <c r="X67" s="194"/>
      <c r="Y67" s="194"/>
      <c r="Z67" s="194"/>
      <c r="AA67" s="194"/>
      <c r="AB67" s="194"/>
      <c r="AC67" s="194"/>
      <c r="AD67" s="194"/>
    </row>
    <row r="68" spans="1:30" hidden="1" x14ac:dyDescent="0.3">
      <c r="A68" s="547"/>
      <c r="B68" s="549"/>
      <c r="C68" s="181" t="s">
        <v>63</v>
      </c>
      <c r="D68" s="172">
        <f t="shared" si="10"/>
        <v>0</v>
      </c>
      <c r="E68" s="172">
        <f t="shared" si="10"/>
        <v>0</v>
      </c>
      <c r="F68" s="172">
        <f t="shared" si="10"/>
        <v>0</v>
      </c>
      <c r="G68" s="172">
        <f t="shared" si="10"/>
        <v>0</v>
      </c>
      <c r="H68" s="172">
        <f t="shared" si="10"/>
        <v>0</v>
      </c>
      <c r="I68" s="172">
        <f t="shared" si="10"/>
        <v>0</v>
      </c>
      <c r="J68" s="172">
        <f t="shared" si="10"/>
        <v>0</v>
      </c>
      <c r="K68" s="172">
        <f t="shared" si="10"/>
        <v>0</v>
      </c>
      <c r="L68" s="172">
        <f t="shared" si="10"/>
        <v>8.0000000000000002E-3</v>
      </c>
      <c r="M68" s="172">
        <f t="shared" si="10"/>
        <v>8.0000000000000002E-3</v>
      </c>
      <c r="N68" s="172">
        <f t="shared" si="10"/>
        <v>0</v>
      </c>
      <c r="O68" s="172">
        <f t="shared" si="10"/>
        <v>0</v>
      </c>
      <c r="P68" s="171">
        <f t="shared" si="4"/>
        <v>1.6E-2</v>
      </c>
      <c r="Q68" s="199">
        <f>+P68</f>
        <v>1.6E-2</v>
      </c>
      <c r="R68" s="198">
        <f t="shared" si="5"/>
        <v>0</v>
      </c>
      <c r="S68" s="194"/>
      <c r="T68" s="194"/>
      <c r="U68" s="194"/>
      <c r="V68" s="194"/>
      <c r="W68" s="194"/>
      <c r="X68" s="194"/>
      <c r="Y68" s="194"/>
      <c r="Z68" s="194"/>
      <c r="AA68" s="194"/>
      <c r="AB68" s="194"/>
      <c r="AC68" s="194"/>
      <c r="AD68" s="194"/>
    </row>
    <row r="69" spans="1:30" ht="15" hidden="1" customHeight="1" x14ac:dyDescent="0.3">
      <c r="A69" s="550"/>
      <c r="B69" s="551"/>
      <c r="C69" s="184"/>
      <c r="D69" s="175"/>
      <c r="E69" s="175"/>
      <c r="F69" s="175"/>
      <c r="G69" s="175"/>
      <c r="H69" s="175"/>
      <c r="I69" s="175"/>
      <c r="J69" s="175"/>
      <c r="K69" s="175"/>
      <c r="L69" s="175"/>
      <c r="M69" s="175"/>
      <c r="N69" s="175"/>
      <c r="O69" s="175"/>
      <c r="P69" s="185"/>
      <c r="Q69" s="197"/>
      <c r="R69" s="198"/>
      <c r="S69" s="194"/>
      <c r="T69" s="194"/>
      <c r="U69" s="194"/>
      <c r="V69" s="194"/>
      <c r="W69" s="194"/>
      <c r="X69" s="194"/>
      <c r="Y69" s="194"/>
      <c r="Z69" s="194"/>
      <c r="AA69" s="194"/>
      <c r="AB69" s="194"/>
      <c r="AC69" s="194"/>
      <c r="AD69" s="194"/>
    </row>
    <row r="70" spans="1:30" hidden="1" x14ac:dyDescent="0.3">
      <c r="A70" s="550"/>
      <c r="B70" s="551"/>
      <c r="C70" s="184"/>
      <c r="D70" s="168"/>
      <c r="E70" s="168"/>
      <c r="F70" s="168"/>
      <c r="G70" s="168"/>
      <c r="H70" s="168"/>
      <c r="I70" s="168"/>
      <c r="J70" s="168"/>
      <c r="K70" s="168"/>
      <c r="L70" s="168"/>
      <c r="M70" s="168"/>
      <c r="N70" s="168"/>
      <c r="O70" s="168"/>
      <c r="P70" s="185"/>
      <c r="Q70" s="199"/>
      <c r="R70" s="198"/>
      <c r="S70" s="194"/>
      <c r="T70" s="194"/>
      <c r="U70" s="194"/>
      <c r="V70" s="194"/>
      <c r="W70" s="194"/>
      <c r="X70" s="194"/>
      <c r="Y70" s="194"/>
      <c r="Z70" s="194"/>
      <c r="AA70" s="194"/>
      <c r="AB70" s="194"/>
      <c r="AC70" s="194"/>
      <c r="AD70" s="194"/>
    </row>
    <row r="71" spans="1:30" hidden="1" x14ac:dyDescent="0.3">
      <c r="A71" s="195"/>
      <c r="B71" s="169"/>
      <c r="C71" s="170"/>
      <c r="D71" s="165">
        <f>D58+D60+D62+D64+D66+D68</f>
        <v>5.2500000000000021E-3</v>
      </c>
      <c r="E71" s="165">
        <f t="shared" ref="E71:O71" si="11">E58+E60+E62+E64+E66+E68</f>
        <v>1.1250000000000005E-2</v>
      </c>
      <c r="F71" s="165">
        <f t="shared" si="11"/>
        <v>1.2900000000000002E-2</v>
      </c>
      <c r="G71" s="165">
        <f t="shared" si="11"/>
        <v>1.2400000000000001E-2</v>
      </c>
      <c r="H71" s="165">
        <f t="shared" si="11"/>
        <v>1.3650000000000002E-2</v>
      </c>
      <c r="I71" s="165">
        <f t="shared" si="11"/>
        <v>1.3650000000000002E-2</v>
      </c>
      <c r="J71" s="165">
        <f t="shared" si="11"/>
        <v>1.3650000000000002E-2</v>
      </c>
      <c r="K71" s="165">
        <f t="shared" si="11"/>
        <v>1.4150000000000003E-2</v>
      </c>
      <c r="L71" s="165">
        <f t="shared" si="11"/>
        <v>2.3150000000000004E-2</v>
      </c>
      <c r="M71" s="165">
        <f t="shared" si="11"/>
        <v>2.2400000000000003E-2</v>
      </c>
      <c r="N71" s="165">
        <f t="shared" si="11"/>
        <v>0</v>
      </c>
      <c r="O71" s="165">
        <f t="shared" si="11"/>
        <v>0</v>
      </c>
      <c r="P71" s="165">
        <f>P58+P60+P62+P64+P66+P68+P70</f>
        <v>0.14245000000000002</v>
      </c>
      <c r="Q71" s="195"/>
      <c r="R71" s="198">
        <f t="shared" si="5"/>
        <v>0.14245000000000002</v>
      </c>
      <c r="S71" s="194"/>
      <c r="T71" s="194"/>
      <c r="U71" s="194"/>
      <c r="V71" s="194"/>
      <c r="W71" s="194"/>
      <c r="X71" s="194"/>
      <c r="Y71" s="194"/>
      <c r="Z71" s="194"/>
      <c r="AA71" s="194"/>
      <c r="AB71" s="194"/>
      <c r="AC71" s="194"/>
      <c r="AD71" s="194"/>
    </row>
    <row r="72" spans="1:30" hidden="1" x14ac:dyDescent="0.3">
      <c r="A72" s="195"/>
      <c r="B72" s="167"/>
      <c r="C72" s="164" t="s">
        <v>63</v>
      </c>
      <c r="D72" s="163">
        <f t="shared" ref="D72:O72" si="12">D71*$W$17/$B$34</f>
        <v>1.6041666666666673E-2</v>
      </c>
      <c r="E72" s="163">
        <f t="shared" si="12"/>
        <v>3.4375000000000017E-2</v>
      </c>
      <c r="F72" s="163">
        <f t="shared" si="12"/>
        <v>3.9416666666666676E-2</v>
      </c>
      <c r="G72" s="163">
        <f t="shared" si="12"/>
        <v>3.7888888888888896E-2</v>
      </c>
      <c r="H72" s="163">
        <f t="shared" si="12"/>
        <v>4.1708333333333347E-2</v>
      </c>
      <c r="I72" s="163">
        <f t="shared" si="12"/>
        <v>4.1708333333333347E-2</v>
      </c>
      <c r="J72" s="163">
        <f t="shared" si="12"/>
        <v>4.1708333333333347E-2</v>
      </c>
      <c r="K72" s="163">
        <f t="shared" si="12"/>
        <v>4.3236111111111121E-2</v>
      </c>
      <c r="L72" s="163">
        <f t="shared" si="12"/>
        <v>7.0736111111111125E-2</v>
      </c>
      <c r="M72" s="163">
        <f t="shared" si="12"/>
        <v>6.8444444444444461E-2</v>
      </c>
      <c r="N72" s="163">
        <f t="shared" si="12"/>
        <v>0</v>
      </c>
      <c r="O72" s="163">
        <f t="shared" si="12"/>
        <v>0</v>
      </c>
      <c r="P72" s="162">
        <f>SUM(D72:O72)</f>
        <v>0.43526388888888906</v>
      </c>
      <c r="Q72" s="196"/>
      <c r="R72" s="195"/>
      <c r="S72" s="194"/>
      <c r="T72" s="194"/>
      <c r="U72" s="194"/>
      <c r="V72" s="194"/>
      <c r="W72" s="194"/>
      <c r="X72" s="194"/>
      <c r="Y72" s="194"/>
      <c r="Z72" s="194"/>
      <c r="AA72" s="194"/>
      <c r="AB72" s="194"/>
      <c r="AC72" s="194"/>
      <c r="AD72" s="194"/>
    </row>
    <row r="73" spans="1:30" hidden="1" x14ac:dyDescent="0.3">
      <c r="A73" s="196"/>
      <c r="B73" s="166"/>
      <c r="C73" s="166"/>
      <c r="D73" s="166"/>
      <c r="E73" s="166"/>
      <c r="F73" s="166"/>
      <c r="G73" s="166"/>
      <c r="H73" s="166"/>
      <c r="I73" s="166"/>
      <c r="J73" s="166"/>
      <c r="K73" s="166"/>
      <c r="L73" s="166"/>
      <c r="M73" s="166"/>
      <c r="N73" s="166"/>
      <c r="O73" s="166"/>
      <c r="P73" s="166"/>
      <c r="Q73" s="196"/>
      <c r="R73" s="196"/>
      <c r="S73" s="194"/>
      <c r="T73" s="194"/>
      <c r="U73" s="194"/>
      <c r="V73" s="194"/>
      <c r="W73" s="194"/>
      <c r="X73" s="194"/>
      <c r="Y73" s="194"/>
      <c r="Z73" s="194"/>
      <c r="AA73" s="194"/>
      <c r="AB73" s="194"/>
      <c r="AC73" s="194"/>
      <c r="AD73" s="194"/>
    </row>
    <row r="74" spans="1:30" hidden="1" x14ac:dyDescent="0.3">
      <c r="A74" s="197"/>
      <c r="B74" s="108"/>
      <c r="C74" s="108"/>
      <c r="D74" s="165">
        <f>+D57+D59+D61+D63+D65+D67</f>
        <v>5.2500000000000021E-3</v>
      </c>
      <c r="E74" s="165">
        <f t="shared" ref="E74:O74" si="13">+E57+E59+E61+E63+E65+E67</f>
        <v>1.1250000000000005E-2</v>
      </c>
      <c r="F74" s="165">
        <f t="shared" si="13"/>
        <v>1.2900000000000002E-2</v>
      </c>
      <c r="G74" s="165">
        <f t="shared" si="13"/>
        <v>1.3400000000000002E-2</v>
      </c>
      <c r="H74" s="165">
        <f t="shared" si="13"/>
        <v>1.4650000000000003E-2</v>
      </c>
      <c r="I74" s="165">
        <f t="shared" si="13"/>
        <v>1.4650000000000003E-2</v>
      </c>
      <c r="J74" s="165">
        <f t="shared" si="13"/>
        <v>1.4650000000000003E-2</v>
      </c>
      <c r="K74" s="165">
        <f t="shared" si="13"/>
        <v>1.4650000000000003E-2</v>
      </c>
      <c r="L74" s="165">
        <f t="shared" si="13"/>
        <v>2.2650000000000003E-2</v>
      </c>
      <c r="M74" s="165">
        <f t="shared" si="13"/>
        <v>2.2650000000000003E-2</v>
      </c>
      <c r="N74" s="165">
        <f t="shared" si="13"/>
        <v>1.8650000000000003E-2</v>
      </c>
      <c r="O74" s="165">
        <f t="shared" si="13"/>
        <v>1.4650000000000003E-2</v>
      </c>
      <c r="P74" s="165">
        <f>SUM(D74:O74)</f>
        <v>0.18000000000000002</v>
      </c>
      <c r="Q74" s="197"/>
      <c r="R74" s="197"/>
      <c r="S74" s="194"/>
      <c r="T74" s="194"/>
      <c r="U74" s="194"/>
      <c r="V74" s="194"/>
      <c r="W74" s="194"/>
      <c r="X74" s="194"/>
      <c r="Y74" s="194"/>
      <c r="Z74" s="194"/>
      <c r="AA74" s="194"/>
      <c r="AB74" s="194"/>
      <c r="AC74" s="194"/>
      <c r="AD74" s="194"/>
    </row>
    <row r="75" spans="1:30" hidden="1" x14ac:dyDescent="0.3">
      <c r="A75" s="197"/>
      <c r="B75" s="108"/>
      <c r="C75" s="164" t="s">
        <v>62</v>
      </c>
      <c r="D75" s="163">
        <f>D74*$W$17/$B$34</f>
        <v>1.6041666666666673E-2</v>
      </c>
      <c r="E75" s="163">
        <f t="shared" ref="E75:O75" si="14">E74*$W$17/$B$34</f>
        <v>3.4375000000000017E-2</v>
      </c>
      <c r="F75" s="163">
        <f t="shared" si="14"/>
        <v>3.9416666666666676E-2</v>
      </c>
      <c r="G75" s="163">
        <f t="shared" si="14"/>
        <v>4.0944444444444457E-2</v>
      </c>
      <c r="H75" s="163">
        <f t="shared" si="14"/>
        <v>4.4763888888888902E-2</v>
      </c>
      <c r="I75" s="163">
        <f t="shared" si="14"/>
        <v>4.4763888888888902E-2</v>
      </c>
      <c r="J75" s="163">
        <f t="shared" si="14"/>
        <v>4.4763888888888902E-2</v>
      </c>
      <c r="K75" s="163">
        <f t="shared" si="14"/>
        <v>4.4763888888888902E-2</v>
      </c>
      <c r="L75" s="163">
        <f t="shared" si="14"/>
        <v>6.9208333333333358E-2</v>
      </c>
      <c r="M75" s="163">
        <f t="shared" si="14"/>
        <v>6.9208333333333358E-2</v>
      </c>
      <c r="N75" s="163">
        <f t="shared" si="14"/>
        <v>5.6986111111111126E-2</v>
      </c>
      <c r="O75" s="163">
        <f t="shared" si="14"/>
        <v>4.4763888888888902E-2</v>
      </c>
      <c r="P75" s="162">
        <f>SUM(D75:O75)</f>
        <v>0.55000000000000016</v>
      </c>
      <c r="Q75" s="197"/>
      <c r="R75" s="197"/>
      <c r="S75" s="194"/>
      <c r="T75" s="194"/>
      <c r="U75" s="194"/>
      <c r="V75" s="194"/>
      <c r="W75" s="194"/>
      <c r="X75" s="194"/>
      <c r="Y75" s="194"/>
      <c r="Z75" s="194"/>
      <c r="AA75" s="194"/>
      <c r="AB75" s="194"/>
      <c r="AC75" s="194"/>
      <c r="AD75" s="194"/>
    </row>
    <row r="76" spans="1:30" hidden="1" x14ac:dyDescent="0.3">
      <c r="A76" s="194"/>
      <c r="Q76" s="194"/>
      <c r="R76" s="194"/>
      <c r="S76" s="194"/>
      <c r="T76" s="194"/>
      <c r="U76" s="194"/>
      <c r="V76" s="194"/>
      <c r="W76" s="194"/>
      <c r="X76" s="194"/>
      <c r="Y76" s="194"/>
      <c r="Z76" s="194"/>
      <c r="AA76" s="194"/>
      <c r="AB76" s="194"/>
      <c r="AC76" s="194"/>
      <c r="AD76" s="194"/>
    </row>
    <row r="77" spans="1:30" x14ac:dyDescent="0.3">
      <c r="A77" s="194"/>
      <c r="Q77" s="194"/>
      <c r="R77" s="194"/>
      <c r="S77" s="194"/>
      <c r="T77" s="194"/>
      <c r="U77" s="194"/>
      <c r="V77" s="194"/>
      <c r="W77" s="194"/>
      <c r="X77" s="194"/>
      <c r="Y77" s="194"/>
      <c r="Z77" s="194"/>
      <c r="AA77" s="194"/>
      <c r="AB77" s="194"/>
      <c r="AC77" s="194"/>
      <c r="AD77" s="194"/>
    </row>
    <row r="78" spans="1:30" x14ac:dyDescent="0.3">
      <c r="A78" s="194"/>
      <c r="Q78" s="194"/>
      <c r="R78" s="194"/>
      <c r="S78" s="194"/>
      <c r="T78" s="194"/>
      <c r="U78" s="194"/>
      <c r="V78" s="194"/>
      <c r="W78" s="194"/>
      <c r="X78" s="194"/>
      <c r="Y78" s="194"/>
      <c r="Z78" s="194"/>
      <c r="AA78" s="194"/>
      <c r="AB78" s="194"/>
      <c r="AC78" s="194"/>
      <c r="AD78" s="194"/>
    </row>
    <row r="79" spans="1:30" x14ac:dyDescent="0.3">
      <c r="A79" s="194"/>
      <c r="Q79" s="194"/>
      <c r="R79" s="194"/>
      <c r="S79" s="194"/>
      <c r="T79" s="194"/>
      <c r="U79" s="194"/>
      <c r="V79" s="194"/>
      <c r="W79" s="194"/>
      <c r="X79" s="194"/>
      <c r="Y79" s="194"/>
      <c r="Z79" s="194"/>
      <c r="AA79" s="194"/>
      <c r="AB79" s="194"/>
      <c r="AC79" s="194"/>
      <c r="AD79" s="194"/>
    </row>
    <row r="80" spans="1:30" x14ac:dyDescent="0.3">
      <c r="A80" s="194"/>
      <c r="Q80" s="194"/>
      <c r="R80" s="194"/>
      <c r="S80" s="194"/>
      <c r="T80" s="194"/>
      <c r="U80" s="194"/>
      <c r="V80" s="194"/>
      <c r="W80" s="194"/>
      <c r="X80" s="194"/>
      <c r="Y80" s="194"/>
      <c r="Z80" s="194"/>
      <c r="AA80" s="194"/>
      <c r="AB80" s="194"/>
      <c r="AC80" s="194"/>
      <c r="AD80" s="194"/>
    </row>
    <row r="81" spans="1:30" x14ac:dyDescent="0.3">
      <c r="A81" s="194"/>
      <c r="Q81" s="194"/>
      <c r="R81" s="194"/>
      <c r="S81" s="194"/>
      <c r="T81" s="194"/>
      <c r="U81" s="194"/>
      <c r="V81" s="194"/>
      <c r="W81" s="194"/>
      <c r="X81" s="194"/>
      <c r="Y81" s="194"/>
      <c r="Z81" s="194"/>
      <c r="AA81" s="194"/>
      <c r="AB81" s="194"/>
      <c r="AC81" s="194"/>
      <c r="AD81" s="194"/>
    </row>
    <row r="82" spans="1:30" x14ac:dyDescent="0.3">
      <c r="A82" s="194"/>
      <c r="Q82" s="194"/>
      <c r="R82" s="194"/>
      <c r="S82" s="194"/>
      <c r="T82" s="194"/>
      <c r="U82" s="194"/>
      <c r="V82" s="194"/>
      <c r="W82" s="194"/>
      <c r="X82" s="194"/>
      <c r="Y82" s="194"/>
      <c r="Z82" s="194"/>
      <c r="AA82" s="194"/>
      <c r="AB82" s="194"/>
      <c r="AC82" s="194"/>
      <c r="AD82" s="194"/>
    </row>
    <row r="83" spans="1:30" x14ac:dyDescent="0.3">
      <c r="A83" s="194"/>
      <c r="Q83" s="194"/>
      <c r="R83" s="194"/>
      <c r="S83" s="194"/>
      <c r="T83" s="194"/>
      <c r="U83" s="194"/>
      <c r="V83" s="194"/>
      <c r="W83" s="194"/>
      <c r="X83" s="194"/>
      <c r="Y83" s="194"/>
      <c r="Z83" s="194"/>
      <c r="AA83" s="194"/>
      <c r="AB83" s="194"/>
      <c r="AC83" s="194"/>
      <c r="AD83" s="194"/>
    </row>
    <row r="84" spans="1:30" x14ac:dyDescent="0.3">
      <c r="A84" s="194"/>
      <c r="Q84" s="194"/>
      <c r="R84" s="194"/>
      <c r="S84" s="194"/>
      <c r="T84" s="194"/>
      <c r="U84" s="194"/>
      <c r="V84" s="194"/>
      <c r="W84" s="194"/>
      <c r="X84" s="194"/>
      <c r="Y84" s="194"/>
      <c r="Z84" s="194"/>
      <c r="AA84" s="194"/>
      <c r="AB84" s="194"/>
      <c r="AC84" s="194"/>
      <c r="AD84" s="194"/>
    </row>
    <row r="85" spans="1:30" x14ac:dyDescent="0.3">
      <c r="A85" s="194"/>
      <c r="Q85" s="194"/>
      <c r="R85" s="194"/>
      <c r="S85" s="194"/>
      <c r="T85" s="194"/>
      <c r="U85" s="194"/>
      <c r="V85" s="194"/>
      <c r="W85" s="194"/>
      <c r="X85" s="194"/>
      <c r="Y85" s="194"/>
      <c r="Z85" s="194"/>
      <c r="AA85" s="194"/>
      <c r="AB85" s="194"/>
      <c r="AC85" s="194"/>
      <c r="AD85" s="194"/>
    </row>
    <row r="86" spans="1:30" x14ac:dyDescent="0.3">
      <c r="A86" s="194"/>
      <c r="Q86" s="194"/>
      <c r="R86" s="194"/>
      <c r="S86" s="194"/>
      <c r="T86" s="194"/>
      <c r="U86" s="194"/>
      <c r="V86" s="194"/>
      <c r="W86" s="194"/>
      <c r="X86" s="194"/>
      <c r="Y86" s="194"/>
      <c r="Z86" s="194"/>
      <c r="AA86" s="194"/>
      <c r="AB86" s="194"/>
      <c r="AC86" s="194"/>
      <c r="AD86" s="194"/>
    </row>
    <row r="87" spans="1:30" x14ac:dyDescent="0.3">
      <c r="A87" s="194"/>
      <c r="Q87" s="194"/>
      <c r="R87" s="194"/>
      <c r="S87" s="194"/>
      <c r="T87" s="194"/>
      <c r="U87" s="194"/>
      <c r="V87" s="194"/>
      <c r="W87" s="194"/>
      <c r="X87" s="194"/>
      <c r="Y87" s="194"/>
      <c r="Z87" s="194"/>
      <c r="AA87" s="194"/>
      <c r="AB87" s="194"/>
      <c r="AC87" s="194"/>
      <c r="AD87" s="194"/>
    </row>
    <row r="88" spans="1:30" x14ac:dyDescent="0.3">
      <c r="A88" s="194"/>
      <c r="Q88" s="194"/>
      <c r="R88" s="194"/>
      <c r="S88" s="194"/>
      <c r="T88" s="194"/>
      <c r="U88" s="194"/>
      <c r="V88" s="194"/>
      <c r="W88" s="194"/>
      <c r="X88" s="194"/>
      <c r="Y88" s="194"/>
      <c r="Z88" s="194"/>
      <c r="AA88" s="194"/>
      <c r="AB88" s="194"/>
      <c r="AC88" s="194"/>
      <c r="AD88" s="194"/>
    </row>
    <row r="89" spans="1:30" x14ac:dyDescent="0.3">
      <c r="A89" s="194"/>
      <c r="Q89" s="194"/>
      <c r="R89" s="194"/>
      <c r="S89" s="194"/>
      <c r="T89" s="194"/>
      <c r="U89" s="194"/>
      <c r="V89" s="194"/>
      <c r="W89" s="194"/>
      <c r="X89" s="194"/>
      <c r="Y89" s="194"/>
      <c r="Z89" s="194"/>
      <c r="AA89" s="194"/>
      <c r="AB89" s="194"/>
      <c r="AC89" s="194"/>
      <c r="AD89" s="194"/>
    </row>
    <row r="90" spans="1:30" x14ac:dyDescent="0.3">
      <c r="A90" s="194"/>
      <c r="Q90" s="194"/>
      <c r="R90" s="194"/>
      <c r="S90" s="194"/>
      <c r="T90" s="194"/>
      <c r="U90" s="194"/>
      <c r="V90" s="194"/>
      <c r="W90" s="194"/>
      <c r="X90" s="194"/>
      <c r="Y90" s="194"/>
      <c r="Z90" s="194"/>
      <c r="AA90" s="194"/>
      <c r="AB90" s="194"/>
      <c r="AC90" s="194"/>
      <c r="AD90" s="194"/>
    </row>
    <row r="91" spans="1:30" x14ac:dyDescent="0.3">
      <c r="A91" s="194"/>
      <c r="Q91" s="194"/>
      <c r="R91" s="194"/>
      <c r="S91" s="194"/>
      <c r="T91" s="194"/>
      <c r="U91" s="194"/>
      <c r="V91" s="194"/>
      <c r="W91" s="194"/>
      <c r="X91" s="194"/>
      <c r="Y91" s="194"/>
      <c r="Z91" s="194"/>
      <c r="AA91" s="194"/>
      <c r="AB91" s="194"/>
      <c r="AC91" s="194"/>
      <c r="AD91" s="194"/>
    </row>
    <row r="92" spans="1:30" x14ac:dyDescent="0.3">
      <c r="A92" s="194"/>
      <c r="Q92" s="194"/>
      <c r="R92" s="194"/>
      <c r="S92" s="194"/>
      <c r="T92" s="194"/>
      <c r="U92" s="194"/>
      <c r="V92" s="194"/>
      <c r="W92" s="194"/>
      <c r="X92" s="194"/>
      <c r="Y92" s="194"/>
      <c r="Z92" s="194"/>
      <c r="AA92" s="194"/>
      <c r="AB92" s="194"/>
      <c r="AC92" s="194"/>
      <c r="AD92" s="194"/>
    </row>
    <row r="93" spans="1:30" x14ac:dyDescent="0.3">
      <c r="A93" s="194"/>
      <c r="Q93" s="194"/>
      <c r="R93" s="194"/>
      <c r="S93" s="194"/>
      <c r="T93" s="194"/>
      <c r="U93" s="194"/>
      <c r="V93" s="194"/>
      <c r="W93" s="194"/>
      <c r="X93" s="194"/>
      <c r="Y93" s="194"/>
      <c r="Z93" s="194"/>
      <c r="AA93" s="194"/>
      <c r="AB93" s="194"/>
      <c r="AC93" s="194"/>
      <c r="AD93" s="194"/>
    </row>
    <row r="94" spans="1:30" x14ac:dyDescent="0.3">
      <c r="A94" s="194"/>
      <c r="Q94" s="194"/>
      <c r="R94" s="194"/>
      <c r="S94" s="194"/>
      <c r="T94" s="194"/>
      <c r="U94" s="194"/>
      <c r="V94" s="194"/>
      <c r="W94" s="194"/>
      <c r="X94" s="194"/>
      <c r="Y94" s="194"/>
      <c r="Z94" s="194"/>
      <c r="AA94" s="194"/>
      <c r="AB94" s="194"/>
      <c r="AC94" s="194"/>
      <c r="AD94" s="194"/>
    </row>
    <row r="95" spans="1:30" x14ac:dyDescent="0.3">
      <c r="A95" s="194"/>
      <c r="Q95" s="194"/>
      <c r="R95" s="194"/>
      <c r="S95" s="194"/>
      <c r="T95" s="194"/>
      <c r="U95" s="194"/>
      <c r="V95" s="194"/>
      <c r="W95" s="194"/>
      <c r="X95" s="194"/>
      <c r="Y95" s="194"/>
      <c r="Z95" s="194"/>
      <c r="AA95" s="194"/>
      <c r="AB95" s="194"/>
      <c r="AC95" s="194"/>
      <c r="AD95" s="194"/>
    </row>
    <row r="96" spans="1:30" x14ac:dyDescent="0.3">
      <c r="A96" s="194"/>
      <c r="Q96" s="194"/>
      <c r="R96" s="194"/>
      <c r="S96" s="194"/>
      <c r="T96" s="194"/>
      <c r="U96" s="194"/>
      <c r="V96" s="194"/>
      <c r="W96" s="194"/>
      <c r="X96" s="194"/>
      <c r="Y96" s="194"/>
      <c r="Z96" s="194"/>
      <c r="AA96" s="194"/>
      <c r="AB96" s="194"/>
      <c r="AC96" s="194"/>
      <c r="AD96" s="194"/>
    </row>
    <row r="97" spans="1:30" x14ac:dyDescent="0.3">
      <c r="A97" s="194"/>
      <c r="Q97" s="194"/>
      <c r="R97" s="194"/>
      <c r="S97" s="194"/>
      <c r="T97" s="194"/>
      <c r="U97" s="194"/>
      <c r="V97" s="194"/>
      <c r="W97" s="194"/>
      <c r="X97" s="194"/>
      <c r="Y97" s="194"/>
      <c r="Z97" s="194"/>
      <c r="AA97" s="194"/>
      <c r="AB97" s="194"/>
      <c r="AC97" s="194"/>
      <c r="AD97" s="194"/>
    </row>
    <row r="98" spans="1:30" x14ac:dyDescent="0.3">
      <c r="A98" s="194"/>
      <c r="Q98" s="194"/>
      <c r="R98" s="194"/>
      <c r="S98" s="194"/>
      <c r="T98" s="194"/>
      <c r="U98" s="194"/>
      <c r="V98" s="194"/>
      <c r="W98" s="194"/>
      <c r="X98" s="194"/>
      <c r="Y98" s="194"/>
      <c r="Z98" s="194"/>
      <c r="AA98" s="194"/>
      <c r="AB98" s="194"/>
      <c r="AC98" s="194"/>
      <c r="AD98" s="194"/>
    </row>
    <row r="99" spans="1:30" x14ac:dyDescent="0.3">
      <c r="A99" s="194"/>
      <c r="Q99" s="194"/>
      <c r="R99" s="194"/>
      <c r="S99" s="194"/>
      <c r="T99" s="194"/>
      <c r="U99" s="194"/>
      <c r="V99" s="194"/>
      <c r="W99" s="194"/>
      <c r="X99" s="194"/>
      <c r="Y99" s="194"/>
      <c r="Z99" s="194"/>
      <c r="AA99" s="194"/>
      <c r="AB99" s="194"/>
      <c r="AC99" s="194"/>
      <c r="AD99" s="194"/>
    </row>
    <row r="100" spans="1:30" x14ac:dyDescent="0.3">
      <c r="A100" s="194"/>
      <c r="Q100" s="194"/>
      <c r="R100" s="194"/>
      <c r="S100" s="194"/>
      <c r="T100" s="194"/>
      <c r="U100" s="194"/>
      <c r="V100" s="194"/>
      <c r="W100" s="194"/>
      <c r="X100" s="194"/>
      <c r="Y100" s="194"/>
      <c r="Z100" s="194"/>
      <c r="AA100" s="194"/>
      <c r="AB100" s="194"/>
      <c r="AC100" s="194"/>
      <c r="AD100" s="194"/>
    </row>
    <row r="101" spans="1:30" x14ac:dyDescent="0.3">
      <c r="A101" s="194"/>
      <c r="Q101" s="194"/>
      <c r="R101" s="194"/>
      <c r="S101" s="194"/>
      <c r="T101" s="194"/>
      <c r="U101" s="194"/>
      <c r="V101" s="194"/>
      <c r="W101" s="194"/>
      <c r="X101" s="194"/>
      <c r="Y101" s="194"/>
      <c r="Z101" s="194"/>
      <c r="AA101" s="194"/>
      <c r="AB101" s="194"/>
      <c r="AC101" s="194"/>
      <c r="AD101" s="194"/>
    </row>
    <row r="102" spans="1:30" x14ac:dyDescent="0.3">
      <c r="Q102" s="194"/>
      <c r="R102" s="194"/>
      <c r="S102" s="194"/>
      <c r="T102" s="194"/>
      <c r="U102" s="194"/>
      <c r="V102" s="194"/>
      <c r="W102" s="194"/>
      <c r="X102" s="194"/>
      <c r="Y102" s="194"/>
      <c r="Z102" s="194"/>
      <c r="AA102" s="194"/>
      <c r="AB102" s="194"/>
      <c r="AC102" s="194"/>
      <c r="AD102" s="194"/>
    </row>
    <row r="103" spans="1:30" x14ac:dyDescent="0.3">
      <c r="Q103" s="194"/>
      <c r="R103" s="194"/>
      <c r="S103" s="194"/>
      <c r="T103" s="194"/>
      <c r="U103" s="194"/>
      <c r="V103" s="194"/>
      <c r="W103" s="194"/>
      <c r="X103" s="194"/>
      <c r="Y103" s="194"/>
      <c r="Z103" s="194"/>
      <c r="AA103" s="194"/>
      <c r="AB103" s="194"/>
      <c r="AC103" s="194"/>
      <c r="AD103" s="194"/>
    </row>
    <row r="104" spans="1:30" x14ac:dyDescent="0.3">
      <c r="Q104" s="194"/>
      <c r="R104" s="194"/>
      <c r="S104" s="194"/>
      <c r="T104" s="194"/>
      <c r="U104" s="194"/>
      <c r="V104" s="194"/>
      <c r="W104" s="194"/>
      <c r="X104" s="194"/>
      <c r="Y104" s="194"/>
      <c r="Z104" s="194"/>
      <c r="AA104" s="194"/>
      <c r="AB104" s="194"/>
      <c r="AC104" s="194"/>
      <c r="AD104" s="194"/>
    </row>
    <row r="105" spans="1:30" x14ac:dyDescent="0.3">
      <c r="Q105" s="194"/>
      <c r="R105" s="194"/>
      <c r="S105" s="194"/>
      <c r="T105" s="194"/>
      <c r="U105" s="194"/>
      <c r="V105" s="194"/>
      <c r="W105" s="194"/>
      <c r="X105" s="194"/>
      <c r="Y105" s="194"/>
      <c r="Z105" s="194"/>
      <c r="AA105" s="194"/>
      <c r="AB105" s="194"/>
      <c r="AC105" s="194"/>
      <c r="AD105" s="194"/>
    </row>
    <row r="106" spans="1:30" x14ac:dyDescent="0.3">
      <c r="Q106" s="194"/>
      <c r="R106" s="194"/>
      <c r="S106" s="194"/>
      <c r="T106" s="194"/>
      <c r="U106" s="194"/>
      <c r="V106" s="194"/>
      <c r="W106" s="194"/>
      <c r="X106" s="194"/>
      <c r="Y106" s="194"/>
      <c r="Z106" s="194"/>
      <c r="AA106" s="194"/>
      <c r="AB106" s="194"/>
      <c r="AC106" s="194"/>
      <c r="AD106" s="194"/>
    </row>
    <row r="107" spans="1:30" x14ac:dyDescent="0.3">
      <c r="Q107" s="194"/>
      <c r="R107" s="194"/>
      <c r="S107" s="194"/>
      <c r="T107" s="194"/>
      <c r="U107" s="194"/>
      <c r="V107" s="194"/>
      <c r="W107" s="194"/>
      <c r="X107" s="194"/>
      <c r="Y107" s="194"/>
      <c r="Z107" s="194"/>
      <c r="AA107" s="194"/>
      <c r="AB107" s="194"/>
      <c r="AC107" s="194"/>
      <c r="AD107" s="194"/>
    </row>
    <row r="108" spans="1:30" x14ac:dyDescent="0.3">
      <c r="Q108" s="194"/>
      <c r="R108" s="194"/>
      <c r="S108" s="194"/>
      <c r="T108" s="194"/>
      <c r="U108" s="194"/>
      <c r="V108" s="194"/>
      <c r="W108" s="194"/>
      <c r="X108" s="194"/>
      <c r="Y108" s="194"/>
      <c r="Z108" s="194"/>
      <c r="AA108" s="194"/>
      <c r="AB108" s="194"/>
      <c r="AC108" s="194"/>
      <c r="AD108" s="194"/>
    </row>
    <row r="109" spans="1:30" x14ac:dyDescent="0.3">
      <c r="Q109" s="194"/>
      <c r="R109" s="194"/>
      <c r="S109" s="194"/>
      <c r="T109" s="194"/>
      <c r="U109" s="194"/>
      <c r="V109" s="194"/>
      <c r="W109" s="194"/>
      <c r="X109" s="194"/>
      <c r="Y109" s="194"/>
      <c r="Z109" s="194"/>
      <c r="AA109" s="194"/>
      <c r="AB109" s="194"/>
      <c r="AC109" s="194"/>
      <c r="AD109" s="194"/>
    </row>
    <row r="110" spans="1:30" x14ac:dyDescent="0.3">
      <c r="Q110" s="194"/>
      <c r="R110" s="194"/>
      <c r="S110" s="194"/>
      <c r="T110" s="194"/>
      <c r="U110" s="194"/>
      <c r="V110" s="194"/>
      <c r="W110" s="194"/>
      <c r="X110" s="194"/>
      <c r="Y110" s="194"/>
      <c r="Z110" s="194"/>
      <c r="AA110" s="194"/>
      <c r="AB110" s="194"/>
      <c r="AC110" s="194"/>
      <c r="AD110" s="194"/>
    </row>
    <row r="111" spans="1:30" x14ac:dyDescent="0.3">
      <c r="Q111" s="194"/>
      <c r="R111" s="194"/>
      <c r="S111" s="194"/>
      <c r="T111" s="194"/>
      <c r="U111" s="194"/>
      <c r="V111" s="194"/>
      <c r="W111" s="194"/>
      <c r="X111" s="194"/>
      <c r="Y111" s="194"/>
      <c r="Z111" s="194"/>
      <c r="AA111" s="194"/>
      <c r="AB111" s="194"/>
      <c r="AC111" s="194"/>
      <c r="AD111" s="194"/>
    </row>
    <row r="112" spans="1:30" x14ac:dyDescent="0.3">
      <c r="Q112" s="194"/>
      <c r="R112" s="194"/>
      <c r="S112" s="194"/>
      <c r="T112" s="194"/>
      <c r="U112" s="194"/>
      <c r="V112" s="194"/>
      <c r="W112" s="194"/>
      <c r="X112" s="194"/>
      <c r="Y112" s="194"/>
      <c r="Z112" s="194"/>
      <c r="AA112" s="194"/>
      <c r="AB112" s="194"/>
      <c r="AC112" s="194"/>
      <c r="AD112" s="194"/>
    </row>
    <row r="113" spans="17:30" x14ac:dyDescent="0.3">
      <c r="Q113" s="194"/>
      <c r="R113" s="194"/>
      <c r="S113" s="194"/>
      <c r="T113" s="194"/>
      <c r="U113" s="194"/>
      <c r="V113" s="194"/>
      <c r="W113" s="194"/>
      <c r="X113" s="194"/>
      <c r="Y113" s="194"/>
      <c r="Z113" s="194"/>
      <c r="AA113" s="194"/>
      <c r="AB113" s="194"/>
      <c r="AC113" s="194"/>
      <c r="AD113" s="194"/>
    </row>
    <row r="114" spans="17:30" x14ac:dyDescent="0.3">
      <c r="Q114" s="194"/>
      <c r="R114" s="194"/>
      <c r="S114" s="194"/>
      <c r="T114" s="194"/>
      <c r="U114" s="194"/>
      <c r="V114" s="194"/>
      <c r="W114" s="194"/>
      <c r="X114" s="194"/>
      <c r="Y114" s="194"/>
      <c r="Z114" s="194"/>
      <c r="AA114" s="194"/>
      <c r="AB114" s="194"/>
      <c r="AC114" s="194"/>
      <c r="AD114" s="194"/>
    </row>
    <row r="115" spans="17:30" x14ac:dyDescent="0.3">
      <c r="Q115" s="194"/>
      <c r="R115" s="194"/>
      <c r="S115" s="194"/>
      <c r="T115" s="194"/>
      <c r="U115" s="194"/>
      <c r="V115" s="194"/>
      <c r="W115" s="194"/>
      <c r="X115" s="194"/>
      <c r="Y115" s="194"/>
      <c r="Z115" s="194"/>
      <c r="AA115" s="194"/>
      <c r="AB115" s="194"/>
      <c r="AC115" s="194"/>
      <c r="AD115" s="194"/>
    </row>
    <row r="116" spans="17:30" x14ac:dyDescent="0.3">
      <c r="Q116" s="194"/>
      <c r="R116" s="194"/>
      <c r="S116" s="194"/>
      <c r="T116" s="194"/>
      <c r="U116" s="194"/>
      <c r="V116" s="194"/>
      <c r="W116" s="194"/>
      <c r="X116" s="194"/>
      <c r="Y116" s="194"/>
      <c r="Z116" s="194"/>
      <c r="AA116" s="194"/>
      <c r="AB116" s="194"/>
      <c r="AC116" s="194"/>
      <c r="AD116" s="194"/>
    </row>
    <row r="117" spans="17:30" x14ac:dyDescent="0.3">
      <c r="Q117" s="194"/>
      <c r="R117" s="194"/>
      <c r="S117" s="194"/>
      <c r="T117" s="194"/>
      <c r="U117" s="194"/>
      <c r="V117" s="194"/>
      <c r="W117" s="194"/>
      <c r="X117" s="194"/>
      <c r="Y117" s="194"/>
      <c r="Z117" s="194"/>
      <c r="AA117" s="194"/>
      <c r="AB117" s="194"/>
      <c r="AC117" s="194"/>
      <c r="AD117" s="194"/>
    </row>
    <row r="118" spans="17:30" x14ac:dyDescent="0.3">
      <c r="Q118" s="194"/>
      <c r="R118" s="194"/>
      <c r="S118" s="194"/>
      <c r="T118" s="194"/>
      <c r="U118" s="194"/>
      <c r="V118" s="194"/>
      <c r="W118" s="194"/>
      <c r="X118" s="194"/>
      <c r="Y118" s="194"/>
      <c r="Z118" s="194"/>
      <c r="AA118" s="194"/>
      <c r="AB118" s="194"/>
      <c r="AC118" s="194"/>
      <c r="AD118" s="194"/>
    </row>
    <row r="119" spans="17:30" x14ac:dyDescent="0.3">
      <c r="Q119" s="194"/>
      <c r="R119" s="194"/>
      <c r="S119" s="194"/>
      <c r="T119" s="194"/>
      <c r="U119" s="194"/>
      <c r="V119" s="194"/>
      <c r="W119" s="194"/>
      <c r="X119" s="194"/>
      <c r="Y119" s="194"/>
      <c r="Z119" s="194"/>
      <c r="AA119" s="194"/>
      <c r="AB119" s="194"/>
      <c r="AC119" s="194"/>
      <c r="AD119" s="194"/>
    </row>
    <row r="120" spans="17:30" x14ac:dyDescent="0.3">
      <c r="Q120" s="194"/>
      <c r="R120" s="194"/>
      <c r="S120" s="194"/>
      <c r="T120" s="194"/>
      <c r="U120" s="194"/>
      <c r="V120" s="194"/>
      <c r="W120" s="194"/>
      <c r="X120" s="194"/>
      <c r="Y120" s="194"/>
      <c r="Z120" s="194"/>
      <c r="AA120" s="194"/>
      <c r="AB120" s="194"/>
      <c r="AC120" s="194"/>
      <c r="AD120" s="194"/>
    </row>
    <row r="121" spans="17:30" x14ac:dyDescent="0.3">
      <c r="Q121" s="194"/>
      <c r="R121" s="194"/>
      <c r="S121" s="194"/>
      <c r="T121" s="194"/>
      <c r="U121" s="194"/>
      <c r="V121" s="194"/>
      <c r="W121" s="194"/>
      <c r="X121" s="194"/>
      <c r="Y121" s="194"/>
      <c r="Z121" s="194"/>
      <c r="AA121" s="194"/>
      <c r="AB121" s="194"/>
      <c r="AC121" s="194"/>
      <c r="AD121" s="194"/>
    </row>
    <row r="122" spans="17:30" x14ac:dyDescent="0.3">
      <c r="Q122" s="194"/>
      <c r="R122" s="194"/>
      <c r="S122" s="194"/>
      <c r="T122" s="194"/>
      <c r="U122" s="194"/>
      <c r="V122" s="194"/>
      <c r="W122" s="194"/>
      <c r="X122" s="194"/>
      <c r="Y122" s="194"/>
      <c r="Z122" s="194"/>
      <c r="AA122" s="194"/>
      <c r="AB122" s="194"/>
      <c r="AC122" s="194"/>
      <c r="AD122" s="194"/>
    </row>
    <row r="123" spans="17:30" x14ac:dyDescent="0.3">
      <c r="Q123" s="194"/>
      <c r="R123" s="194"/>
      <c r="S123" s="194"/>
      <c r="T123" s="194"/>
      <c r="U123" s="194"/>
      <c r="V123" s="194"/>
      <c r="W123" s="194"/>
      <c r="X123" s="194"/>
      <c r="Y123" s="194"/>
      <c r="Z123" s="194"/>
      <c r="AA123" s="194"/>
      <c r="AB123" s="194"/>
      <c r="AC123" s="194"/>
      <c r="AD123" s="194"/>
    </row>
    <row r="124" spans="17:30" x14ac:dyDescent="0.3">
      <c r="Q124" s="194"/>
      <c r="R124" s="194"/>
      <c r="S124" s="194"/>
      <c r="T124" s="194"/>
      <c r="U124" s="194"/>
      <c r="V124" s="194"/>
      <c r="W124" s="194"/>
      <c r="X124" s="194"/>
      <c r="Y124" s="194"/>
      <c r="Z124" s="194"/>
      <c r="AA124" s="194"/>
      <c r="AB124" s="194"/>
      <c r="AC124" s="194"/>
      <c r="AD124" s="194"/>
    </row>
    <row r="125" spans="17:30" x14ac:dyDescent="0.3">
      <c r="Q125" s="194"/>
      <c r="R125" s="194"/>
      <c r="S125" s="194"/>
      <c r="T125" s="194"/>
      <c r="U125" s="194"/>
      <c r="V125" s="194"/>
      <c r="W125" s="194"/>
      <c r="X125" s="194"/>
      <c r="Y125" s="194"/>
      <c r="Z125" s="194"/>
      <c r="AA125" s="194"/>
      <c r="AB125" s="194"/>
      <c r="AC125" s="194"/>
      <c r="AD125" s="194"/>
    </row>
    <row r="126" spans="17:30" x14ac:dyDescent="0.3">
      <c r="Q126" s="194"/>
      <c r="R126" s="194"/>
      <c r="S126" s="194"/>
      <c r="T126" s="194"/>
      <c r="U126" s="194"/>
      <c r="V126" s="194"/>
      <c r="W126" s="194"/>
      <c r="X126" s="194"/>
      <c r="Y126" s="194"/>
      <c r="Z126" s="194"/>
      <c r="AA126" s="194"/>
      <c r="AB126" s="194"/>
      <c r="AC126" s="194"/>
      <c r="AD126" s="194"/>
    </row>
    <row r="127" spans="17:30" x14ac:dyDescent="0.3">
      <c r="Q127" s="194"/>
      <c r="R127" s="194"/>
      <c r="S127" s="194"/>
      <c r="T127" s="194"/>
      <c r="U127" s="194"/>
      <c r="V127" s="194"/>
      <c r="W127" s="194"/>
      <c r="X127" s="194"/>
      <c r="Y127" s="194"/>
      <c r="Z127" s="194"/>
      <c r="AA127" s="194"/>
      <c r="AB127" s="194"/>
      <c r="AC127" s="194"/>
      <c r="AD127" s="194"/>
    </row>
    <row r="128" spans="17:30" x14ac:dyDescent="0.3">
      <c r="Q128" s="194"/>
      <c r="R128" s="194"/>
      <c r="S128" s="194"/>
      <c r="T128" s="194"/>
      <c r="U128" s="194"/>
      <c r="V128" s="194"/>
      <c r="W128" s="194"/>
      <c r="X128" s="194"/>
      <c r="Y128" s="194"/>
      <c r="Z128" s="194"/>
      <c r="AA128" s="194"/>
      <c r="AB128" s="194"/>
      <c r="AC128" s="194"/>
      <c r="AD128" s="194"/>
    </row>
    <row r="129" spans="17:30" x14ac:dyDescent="0.3">
      <c r="Q129" s="194"/>
      <c r="R129" s="194"/>
      <c r="S129" s="194"/>
      <c r="T129" s="194"/>
      <c r="U129" s="194"/>
      <c r="V129" s="194"/>
      <c r="W129" s="194"/>
      <c r="X129" s="194"/>
      <c r="Y129" s="194"/>
      <c r="Z129" s="194"/>
      <c r="AA129" s="194"/>
      <c r="AB129" s="194"/>
      <c r="AC129" s="194"/>
      <c r="AD129" s="194"/>
    </row>
    <row r="130" spans="17:30" x14ac:dyDescent="0.3">
      <c r="Q130" s="194"/>
      <c r="R130" s="194"/>
      <c r="S130" s="194"/>
      <c r="T130" s="194"/>
      <c r="U130" s="194"/>
      <c r="V130" s="194"/>
      <c r="W130" s="194"/>
      <c r="X130" s="194"/>
      <c r="Y130" s="194"/>
      <c r="Z130" s="194"/>
      <c r="AA130" s="194"/>
      <c r="AB130" s="194"/>
      <c r="AC130" s="194"/>
      <c r="AD130" s="194"/>
    </row>
    <row r="131" spans="17:30" x14ac:dyDescent="0.3">
      <c r="Q131" s="194"/>
      <c r="R131" s="194"/>
      <c r="S131" s="194"/>
      <c r="T131" s="194"/>
      <c r="U131" s="194"/>
      <c r="V131" s="194"/>
      <c r="W131" s="194"/>
      <c r="X131" s="194"/>
      <c r="Y131" s="194"/>
      <c r="Z131" s="194"/>
      <c r="AA131" s="194"/>
      <c r="AB131" s="194"/>
      <c r="AC131" s="194"/>
      <c r="AD131" s="194"/>
    </row>
    <row r="132" spans="17:30" x14ac:dyDescent="0.3">
      <c r="Q132" s="194"/>
      <c r="R132" s="194"/>
      <c r="S132" s="194"/>
      <c r="T132" s="194"/>
      <c r="U132" s="194"/>
      <c r="V132" s="194"/>
      <c r="W132" s="194"/>
      <c r="X132" s="194"/>
      <c r="Y132" s="194"/>
      <c r="Z132" s="194"/>
      <c r="AA132" s="194"/>
      <c r="AB132" s="194"/>
      <c r="AC132" s="194"/>
      <c r="AD132" s="194"/>
    </row>
    <row r="133" spans="17:30" x14ac:dyDescent="0.3">
      <c r="Q133" s="194"/>
      <c r="R133" s="194"/>
      <c r="S133" s="194"/>
      <c r="T133" s="194"/>
      <c r="U133" s="194"/>
      <c r="V133" s="194"/>
      <c r="W133" s="194"/>
      <c r="X133" s="194"/>
      <c r="Y133" s="194"/>
      <c r="Z133" s="194"/>
      <c r="AA133" s="194"/>
      <c r="AB133" s="194"/>
      <c r="AC133" s="194"/>
      <c r="AD133" s="194"/>
    </row>
    <row r="134" spans="17:30" x14ac:dyDescent="0.3">
      <c r="Q134" s="194"/>
      <c r="R134" s="194"/>
      <c r="S134" s="194"/>
      <c r="T134" s="194"/>
      <c r="U134" s="194"/>
      <c r="V134" s="194"/>
      <c r="W134" s="194"/>
      <c r="X134" s="194"/>
      <c r="Y134" s="194"/>
      <c r="Z134" s="194"/>
      <c r="AA134" s="194"/>
      <c r="AB134" s="194"/>
      <c r="AC134" s="194"/>
      <c r="AD134" s="194"/>
    </row>
    <row r="135" spans="17:30" x14ac:dyDescent="0.3">
      <c r="Q135" s="194"/>
      <c r="R135" s="194"/>
      <c r="S135" s="194"/>
      <c r="T135" s="194"/>
      <c r="U135" s="194"/>
      <c r="V135" s="194"/>
      <c r="W135" s="194"/>
      <c r="X135" s="194"/>
      <c r="Y135" s="194"/>
      <c r="Z135" s="194"/>
      <c r="AA135" s="194"/>
      <c r="AB135" s="194"/>
      <c r="AC135" s="194"/>
      <c r="AD135" s="194"/>
    </row>
    <row r="136" spans="17:30" x14ac:dyDescent="0.3">
      <c r="Q136" s="194"/>
      <c r="R136" s="194"/>
      <c r="S136" s="194"/>
      <c r="T136" s="194"/>
      <c r="U136" s="194"/>
      <c r="V136" s="194"/>
      <c r="W136" s="194"/>
      <c r="X136" s="194"/>
      <c r="Y136" s="194"/>
      <c r="Z136" s="194"/>
      <c r="AA136" s="194"/>
      <c r="AB136" s="194"/>
      <c r="AC136" s="194"/>
      <c r="AD136" s="194"/>
    </row>
    <row r="137" spans="17:30" x14ac:dyDescent="0.3">
      <c r="Q137" s="194"/>
      <c r="R137" s="194"/>
      <c r="S137" s="194"/>
      <c r="T137" s="194"/>
      <c r="U137" s="194"/>
      <c r="V137" s="194"/>
      <c r="W137" s="194"/>
      <c r="X137" s="194"/>
      <c r="Y137" s="194"/>
      <c r="Z137" s="194"/>
      <c r="AA137" s="194"/>
      <c r="AB137" s="194"/>
      <c r="AC137" s="194"/>
      <c r="AD137" s="194"/>
    </row>
    <row r="138" spans="17:30" x14ac:dyDescent="0.3">
      <c r="Q138" s="194"/>
      <c r="R138" s="194"/>
      <c r="S138" s="194"/>
      <c r="T138" s="194"/>
      <c r="U138" s="194"/>
      <c r="V138" s="194"/>
      <c r="W138" s="194"/>
      <c r="X138" s="194"/>
      <c r="Y138" s="194"/>
      <c r="Z138" s="194"/>
      <c r="AA138" s="194"/>
      <c r="AB138" s="194"/>
      <c r="AC138" s="194"/>
      <c r="AD138" s="194"/>
    </row>
    <row r="139" spans="17:30" x14ac:dyDescent="0.3">
      <c r="Q139" s="194"/>
      <c r="R139" s="194"/>
      <c r="S139" s="194"/>
      <c r="T139" s="194"/>
      <c r="U139" s="194"/>
      <c r="V139" s="194"/>
      <c r="W139" s="194"/>
      <c r="X139" s="194"/>
      <c r="Y139" s="194"/>
      <c r="Z139" s="194"/>
      <c r="AA139" s="194"/>
      <c r="AB139" s="194"/>
      <c r="AC139" s="194"/>
      <c r="AD139" s="194"/>
    </row>
    <row r="140" spans="17:30" x14ac:dyDescent="0.3">
      <c r="Q140" s="194"/>
      <c r="R140" s="194"/>
      <c r="S140" s="194"/>
      <c r="T140" s="194"/>
      <c r="U140" s="194"/>
      <c r="V140" s="194"/>
      <c r="W140" s="194"/>
      <c r="X140" s="194"/>
      <c r="Y140" s="194"/>
      <c r="Z140" s="194"/>
      <c r="AA140" s="194"/>
      <c r="AB140" s="194"/>
      <c r="AC140" s="194"/>
      <c r="AD140" s="194"/>
    </row>
    <row r="141" spans="17:30" x14ac:dyDescent="0.3">
      <c r="Q141" s="194"/>
      <c r="R141" s="194"/>
      <c r="S141" s="194"/>
      <c r="T141" s="194"/>
      <c r="U141" s="194"/>
      <c r="V141" s="194"/>
      <c r="W141" s="194"/>
      <c r="X141" s="194"/>
      <c r="Y141" s="194"/>
      <c r="Z141" s="194"/>
      <c r="AA141" s="194"/>
      <c r="AB141" s="194"/>
      <c r="AC141" s="194"/>
      <c r="AD141" s="194"/>
    </row>
    <row r="142" spans="17:30" x14ac:dyDescent="0.3">
      <c r="Q142" s="194"/>
      <c r="R142" s="194"/>
      <c r="S142" s="194"/>
      <c r="T142" s="194"/>
      <c r="U142" s="194"/>
      <c r="V142" s="194"/>
      <c r="W142" s="194"/>
      <c r="X142" s="194"/>
      <c r="Y142" s="194"/>
      <c r="Z142" s="194"/>
      <c r="AA142" s="194"/>
      <c r="AB142" s="194"/>
      <c r="AC142" s="194"/>
      <c r="AD142" s="194"/>
    </row>
    <row r="143" spans="17:30" x14ac:dyDescent="0.3">
      <c r="Q143" s="194"/>
      <c r="R143" s="194"/>
      <c r="S143" s="194"/>
      <c r="T143" s="194"/>
      <c r="U143" s="194"/>
      <c r="V143" s="194"/>
      <c r="W143" s="194"/>
      <c r="X143" s="194"/>
      <c r="Y143" s="194"/>
      <c r="Z143" s="194"/>
      <c r="AA143" s="194"/>
      <c r="AB143" s="194"/>
      <c r="AC143" s="194"/>
      <c r="AD143" s="194"/>
    </row>
    <row r="144" spans="17:30" x14ac:dyDescent="0.3">
      <c r="Q144" s="194"/>
      <c r="R144" s="194"/>
      <c r="S144" s="194"/>
      <c r="T144" s="194"/>
      <c r="U144" s="194"/>
      <c r="V144" s="194"/>
      <c r="W144" s="194"/>
      <c r="X144" s="194"/>
      <c r="Y144" s="194"/>
      <c r="Z144" s="194"/>
      <c r="AA144" s="194"/>
      <c r="AB144" s="194"/>
      <c r="AC144" s="194"/>
      <c r="AD144" s="194"/>
    </row>
    <row r="145" spans="17:30" x14ac:dyDescent="0.3">
      <c r="Q145" s="194"/>
      <c r="R145" s="194"/>
      <c r="S145" s="194"/>
      <c r="T145" s="194"/>
      <c r="U145" s="194"/>
      <c r="V145" s="194"/>
      <c r="W145" s="194"/>
      <c r="X145" s="194"/>
      <c r="Y145" s="194"/>
      <c r="Z145" s="194"/>
      <c r="AA145" s="194"/>
      <c r="AB145" s="194"/>
      <c r="AC145" s="194"/>
      <c r="AD145" s="194"/>
    </row>
    <row r="146" spans="17:30" x14ac:dyDescent="0.3">
      <c r="Q146" s="194"/>
      <c r="R146" s="194"/>
      <c r="S146" s="194"/>
      <c r="T146" s="194"/>
      <c r="U146" s="194"/>
      <c r="V146" s="194"/>
      <c r="W146" s="194"/>
      <c r="X146" s="194"/>
      <c r="Y146" s="194"/>
      <c r="Z146" s="194"/>
      <c r="AA146" s="194"/>
      <c r="AB146" s="194"/>
      <c r="AC146" s="194"/>
      <c r="AD146" s="194"/>
    </row>
    <row r="147" spans="17:30" x14ac:dyDescent="0.3">
      <c r="Q147" s="194"/>
      <c r="R147" s="194"/>
      <c r="S147" s="194"/>
      <c r="T147" s="194"/>
      <c r="U147" s="194"/>
      <c r="V147" s="194"/>
      <c r="W147" s="194"/>
      <c r="X147" s="194"/>
      <c r="Y147" s="194"/>
      <c r="Z147" s="194"/>
      <c r="AA147" s="194"/>
      <c r="AB147" s="194"/>
      <c r="AC147" s="194"/>
      <c r="AD147" s="194"/>
    </row>
    <row r="148" spans="17:30" x14ac:dyDescent="0.3">
      <c r="Q148" s="194"/>
      <c r="R148" s="194"/>
      <c r="S148" s="194"/>
      <c r="T148" s="194"/>
      <c r="U148" s="194"/>
      <c r="V148" s="194"/>
      <c r="W148" s="194"/>
      <c r="X148" s="194"/>
      <c r="Y148" s="194"/>
      <c r="Z148" s="194"/>
      <c r="AA148" s="194"/>
      <c r="AB148" s="194"/>
      <c r="AC148" s="194"/>
      <c r="AD148" s="194"/>
    </row>
    <row r="149" spans="17:30" x14ac:dyDescent="0.3">
      <c r="Q149" s="194"/>
      <c r="R149" s="194"/>
      <c r="S149" s="194"/>
      <c r="T149" s="194"/>
      <c r="U149" s="194"/>
      <c r="V149" s="194"/>
      <c r="W149" s="194"/>
      <c r="X149" s="194"/>
      <c r="Y149" s="194"/>
      <c r="Z149" s="194"/>
      <c r="AA149" s="194"/>
      <c r="AB149" s="194"/>
      <c r="AC149" s="194"/>
      <c r="AD149" s="194"/>
    </row>
    <row r="150" spans="17:30" x14ac:dyDescent="0.3">
      <c r="Q150" s="194"/>
      <c r="R150" s="194"/>
      <c r="S150" s="194"/>
      <c r="T150" s="194"/>
      <c r="U150" s="194"/>
      <c r="V150" s="194"/>
      <c r="W150" s="194"/>
      <c r="X150" s="194"/>
      <c r="Y150" s="194"/>
      <c r="Z150" s="194"/>
      <c r="AA150" s="194"/>
      <c r="AB150" s="194"/>
      <c r="AC150" s="194"/>
      <c r="AD150" s="194"/>
    </row>
    <row r="151" spans="17:30" x14ac:dyDescent="0.3">
      <c r="Q151" s="194"/>
      <c r="R151" s="194"/>
      <c r="S151" s="194"/>
      <c r="T151" s="194"/>
      <c r="U151" s="194"/>
      <c r="V151" s="194"/>
      <c r="W151" s="194"/>
      <c r="X151" s="194"/>
      <c r="Y151" s="194"/>
      <c r="Z151" s="194"/>
      <c r="AA151" s="194"/>
      <c r="AB151" s="194"/>
      <c r="AC151" s="194"/>
      <c r="AD151" s="194"/>
    </row>
    <row r="152" spans="17:30" x14ac:dyDescent="0.3">
      <c r="Q152" s="194"/>
      <c r="R152" s="194"/>
      <c r="S152" s="194"/>
      <c r="T152" s="194"/>
      <c r="U152" s="194"/>
      <c r="V152" s="194"/>
      <c r="W152" s="194"/>
      <c r="X152" s="194"/>
      <c r="Y152" s="194"/>
      <c r="Z152" s="194"/>
      <c r="AA152" s="194"/>
      <c r="AB152" s="194"/>
      <c r="AC152" s="194"/>
      <c r="AD152" s="194"/>
    </row>
    <row r="153" spans="17:30" x14ac:dyDescent="0.3">
      <c r="Q153" s="194"/>
      <c r="R153" s="194"/>
      <c r="S153" s="194"/>
      <c r="T153" s="194"/>
      <c r="U153" s="194"/>
      <c r="V153" s="194"/>
      <c r="W153" s="194"/>
      <c r="X153" s="194"/>
      <c r="Y153" s="194"/>
      <c r="Z153" s="194"/>
      <c r="AA153" s="194"/>
      <c r="AB153" s="194"/>
      <c r="AC153" s="194"/>
      <c r="AD153" s="194"/>
    </row>
    <row r="154" spans="17:30" x14ac:dyDescent="0.3">
      <c r="Q154" s="194"/>
      <c r="R154" s="194"/>
      <c r="S154" s="194"/>
      <c r="T154" s="194"/>
      <c r="U154" s="194"/>
      <c r="V154" s="194"/>
      <c r="W154" s="194"/>
      <c r="X154" s="194"/>
      <c r="Y154" s="194"/>
      <c r="Z154" s="194"/>
      <c r="AA154" s="194"/>
      <c r="AB154" s="194"/>
      <c r="AC154" s="194"/>
      <c r="AD154" s="194"/>
    </row>
    <row r="155" spans="17:30" x14ac:dyDescent="0.3">
      <c r="Q155" s="194"/>
      <c r="R155" s="194"/>
      <c r="S155" s="194"/>
      <c r="T155" s="194"/>
      <c r="U155" s="194"/>
      <c r="V155" s="194"/>
      <c r="W155" s="194"/>
      <c r="X155" s="194"/>
      <c r="Y155" s="194"/>
      <c r="Z155" s="194"/>
      <c r="AA155" s="194"/>
      <c r="AB155" s="194"/>
      <c r="AC155" s="194"/>
      <c r="AD155" s="194"/>
    </row>
    <row r="156" spans="17:30" x14ac:dyDescent="0.3">
      <c r="Q156" s="194"/>
      <c r="R156" s="194"/>
      <c r="S156" s="194"/>
      <c r="T156" s="194"/>
      <c r="U156" s="194"/>
      <c r="V156" s="194"/>
      <c r="W156" s="194"/>
      <c r="X156" s="194"/>
      <c r="Y156" s="194"/>
      <c r="Z156" s="194"/>
      <c r="AA156" s="194"/>
      <c r="AB156" s="194"/>
      <c r="AC156" s="194"/>
      <c r="AD156" s="194"/>
    </row>
    <row r="157" spans="17:30" x14ac:dyDescent="0.3">
      <c r="Q157" s="194"/>
      <c r="R157" s="194"/>
      <c r="S157" s="194"/>
      <c r="T157" s="194"/>
      <c r="U157" s="194"/>
      <c r="V157" s="194"/>
      <c r="W157" s="194"/>
      <c r="X157" s="194"/>
      <c r="Y157" s="194"/>
      <c r="Z157" s="194"/>
      <c r="AA157" s="194"/>
      <c r="AB157" s="194"/>
      <c r="AC157" s="194"/>
      <c r="AD157" s="194"/>
    </row>
    <row r="158" spans="17:30" x14ac:dyDescent="0.3">
      <c r="Q158" s="194"/>
      <c r="R158" s="194"/>
      <c r="S158" s="194"/>
      <c r="T158" s="194"/>
      <c r="U158" s="194"/>
      <c r="V158" s="194"/>
      <c r="W158" s="194"/>
      <c r="X158" s="194"/>
      <c r="Y158" s="194"/>
      <c r="Z158" s="194"/>
      <c r="AA158" s="194"/>
      <c r="AB158" s="194"/>
      <c r="AC158" s="194"/>
      <c r="AD158" s="194"/>
    </row>
    <row r="159" spans="17:30" x14ac:dyDescent="0.3">
      <c r="Q159" s="194"/>
      <c r="R159" s="194"/>
      <c r="S159" s="194"/>
      <c r="T159" s="194"/>
      <c r="U159" s="194"/>
      <c r="V159" s="194"/>
      <c r="W159" s="194"/>
      <c r="X159" s="194"/>
      <c r="Y159" s="194"/>
      <c r="Z159" s="194"/>
      <c r="AA159" s="194"/>
      <c r="AB159" s="194"/>
      <c r="AC159" s="194"/>
      <c r="AD159" s="194"/>
    </row>
    <row r="160" spans="17:30" x14ac:dyDescent="0.3">
      <c r="Q160" s="194"/>
      <c r="R160" s="194"/>
      <c r="S160" s="194"/>
      <c r="T160" s="194"/>
      <c r="U160" s="194"/>
      <c r="V160" s="194"/>
      <c r="W160" s="194"/>
      <c r="X160" s="194"/>
      <c r="Y160" s="194"/>
      <c r="Z160" s="194"/>
      <c r="AA160" s="194"/>
      <c r="AB160" s="194"/>
      <c r="AC160" s="194"/>
      <c r="AD160" s="194"/>
    </row>
    <row r="161" spans="17:30" x14ac:dyDescent="0.3">
      <c r="Q161" s="194"/>
      <c r="R161" s="194"/>
      <c r="S161" s="194"/>
      <c r="T161" s="194"/>
      <c r="U161" s="194"/>
      <c r="V161" s="194"/>
      <c r="W161" s="194"/>
      <c r="X161" s="194"/>
      <c r="Y161" s="194"/>
      <c r="Z161" s="194"/>
      <c r="AA161" s="194"/>
      <c r="AB161" s="194"/>
      <c r="AC161" s="194"/>
      <c r="AD161" s="194"/>
    </row>
    <row r="162" spans="17:30" x14ac:dyDescent="0.3">
      <c r="Q162" s="194"/>
      <c r="R162" s="194"/>
      <c r="S162" s="194"/>
      <c r="T162" s="194"/>
      <c r="U162" s="194"/>
      <c r="V162" s="194"/>
      <c r="W162" s="194"/>
      <c r="X162" s="194"/>
      <c r="Y162" s="194"/>
      <c r="Z162" s="194"/>
      <c r="AA162" s="194"/>
      <c r="AB162" s="194"/>
      <c r="AC162" s="194"/>
      <c r="AD162" s="194"/>
    </row>
    <row r="163" spans="17:30" x14ac:dyDescent="0.3">
      <c r="Q163" s="194"/>
      <c r="R163" s="194"/>
      <c r="S163" s="194"/>
      <c r="T163" s="194"/>
      <c r="U163" s="194"/>
      <c r="V163" s="194"/>
      <c r="W163" s="194"/>
      <c r="X163" s="194"/>
      <c r="Y163" s="194"/>
      <c r="Z163" s="194"/>
      <c r="AA163" s="194"/>
      <c r="AB163" s="194"/>
      <c r="AC163" s="194"/>
      <c r="AD163" s="194"/>
    </row>
    <row r="164" spans="17:30" x14ac:dyDescent="0.3">
      <c r="Q164" s="194"/>
      <c r="R164" s="194"/>
      <c r="S164" s="194"/>
      <c r="T164" s="194"/>
      <c r="U164" s="194"/>
      <c r="V164" s="194"/>
      <c r="W164" s="194"/>
      <c r="X164" s="194"/>
      <c r="Y164" s="194"/>
      <c r="Z164" s="194"/>
      <c r="AA164" s="194"/>
      <c r="AB164" s="194"/>
      <c r="AC164" s="194"/>
      <c r="AD164" s="194"/>
    </row>
    <row r="165" spans="17:30" x14ac:dyDescent="0.3">
      <c r="Q165" s="194"/>
      <c r="R165" s="194"/>
      <c r="S165" s="194"/>
      <c r="T165" s="194"/>
      <c r="U165" s="194"/>
      <c r="V165" s="194"/>
      <c r="W165" s="194"/>
      <c r="X165" s="194"/>
      <c r="Y165" s="194"/>
      <c r="Z165" s="194"/>
      <c r="AA165" s="194"/>
      <c r="AB165" s="194"/>
      <c r="AC165" s="194"/>
      <c r="AD165" s="194"/>
    </row>
    <row r="166" spans="17:30" x14ac:dyDescent="0.3">
      <c r="Q166" s="194"/>
      <c r="R166" s="194"/>
      <c r="S166" s="194"/>
      <c r="T166" s="194"/>
      <c r="U166" s="194"/>
      <c r="V166" s="194"/>
      <c r="W166" s="194"/>
      <c r="X166" s="194"/>
      <c r="Y166" s="194"/>
      <c r="Z166" s="194"/>
      <c r="AA166" s="194"/>
      <c r="AB166" s="194"/>
      <c r="AC166" s="194"/>
      <c r="AD166" s="194"/>
    </row>
    <row r="167" spans="17:30" x14ac:dyDescent="0.3">
      <c r="Q167" s="194"/>
      <c r="R167" s="194"/>
      <c r="S167" s="194"/>
      <c r="T167" s="194"/>
      <c r="U167" s="194"/>
      <c r="V167" s="194"/>
      <c r="W167" s="194"/>
      <c r="X167" s="194"/>
      <c r="Y167" s="194"/>
      <c r="Z167" s="194"/>
      <c r="AA167" s="194"/>
      <c r="AB167" s="194"/>
      <c r="AC167" s="194"/>
      <c r="AD167" s="194"/>
    </row>
    <row r="168" spans="17:30" x14ac:dyDescent="0.3">
      <c r="Q168" s="194"/>
      <c r="R168" s="194"/>
      <c r="S168" s="194"/>
      <c r="T168" s="194"/>
      <c r="U168" s="194"/>
      <c r="V168" s="194"/>
      <c r="W168" s="194"/>
      <c r="X168" s="194"/>
      <c r="Y168" s="194"/>
      <c r="Z168" s="194"/>
      <c r="AA168" s="194"/>
      <c r="AB168" s="194"/>
      <c r="AC168" s="194"/>
      <c r="AD168" s="194"/>
    </row>
    <row r="169" spans="17:30" x14ac:dyDescent="0.3">
      <c r="Q169" s="194"/>
      <c r="R169" s="194"/>
      <c r="S169" s="194"/>
      <c r="T169" s="194"/>
      <c r="U169" s="194"/>
      <c r="V169" s="194"/>
      <c r="W169" s="194"/>
      <c r="X169" s="194"/>
      <c r="Y169" s="194"/>
      <c r="Z169" s="194"/>
      <c r="AA169" s="194"/>
      <c r="AB169" s="194"/>
      <c r="AC169" s="194"/>
      <c r="AD169" s="194"/>
    </row>
    <row r="170" spans="17:30" x14ac:dyDescent="0.3">
      <c r="Q170" s="194"/>
      <c r="R170" s="194"/>
      <c r="S170" s="194"/>
      <c r="T170" s="194"/>
      <c r="U170" s="194"/>
      <c r="V170" s="194"/>
      <c r="W170" s="194"/>
      <c r="X170" s="194"/>
      <c r="Y170" s="194"/>
      <c r="Z170" s="194"/>
      <c r="AA170" s="194"/>
      <c r="AB170" s="194"/>
      <c r="AC170" s="194"/>
      <c r="AD170" s="194"/>
    </row>
    <row r="171" spans="17:30" x14ac:dyDescent="0.3">
      <c r="Q171" s="194"/>
      <c r="R171" s="194"/>
      <c r="S171" s="194"/>
      <c r="T171" s="194"/>
      <c r="U171" s="194"/>
      <c r="V171" s="194"/>
      <c r="W171" s="194"/>
      <c r="X171" s="194"/>
      <c r="Y171" s="194"/>
      <c r="Z171" s="194"/>
      <c r="AA171" s="194"/>
      <c r="AB171" s="194"/>
      <c r="AC171" s="194"/>
      <c r="AD171" s="194"/>
    </row>
    <row r="172" spans="17:30" x14ac:dyDescent="0.3">
      <c r="Q172" s="194"/>
      <c r="R172" s="194"/>
      <c r="S172" s="194"/>
      <c r="T172" s="194"/>
      <c r="U172" s="194"/>
      <c r="V172" s="194"/>
      <c r="W172" s="194"/>
      <c r="X172" s="194"/>
      <c r="Y172" s="194"/>
      <c r="Z172" s="194"/>
      <c r="AA172" s="194"/>
      <c r="AB172" s="194"/>
      <c r="AC172" s="194"/>
      <c r="AD172" s="194"/>
    </row>
    <row r="173" spans="17:30" x14ac:dyDescent="0.3">
      <c r="Q173" s="194"/>
      <c r="R173" s="194"/>
      <c r="S173" s="194"/>
      <c r="T173" s="194"/>
      <c r="U173" s="194"/>
      <c r="V173" s="194"/>
      <c r="W173" s="194"/>
      <c r="X173" s="194"/>
      <c r="Y173" s="194"/>
      <c r="Z173" s="194"/>
      <c r="AA173" s="194"/>
      <c r="AB173" s="194"/>
      <c r="AC173" s="194"/>
      <c r="AD173" s="194"/>
    </row>
    <row r="174" spans="17:30" x14ac:dyDescent="0.3">
      <c r="Q174" s="194"/>
      <c r="R174" s="194"/>
      <c r="S174" s="194"/>
      <c r="T174" s="194"/>
      <c r="U174" s="194"/>
      <c r="V174" s="194"/>
      <c r="W174" s="194"/>
      <c r="X174" s="194"/>
      <c r="Y174" s="194"/>
      <c r="Z174" s="194"/>
      <c r="AA174" s="194"/>
      <c r="AB174" s="194"/>
      <c r="AC174" s="194"/>
      <c r="AD174" s="194"/>
    </row>
    <row r="175" spans="17:30" x14ac:dyDescent="0.3">
      <c r="Q175" s="194"/>
      <c r="R175" s="194"/>
      <c r="S175" s="194"/>
      <c r="T175" s="194"/>
      <c r="U175" s="194"/>
      <c r="V175" s="194"/>
      <c r="W175" s="194"/>
      <c r="X175" s="194"/>
      <c r="Y175" s="194"/>
      <c r="Z175" s="194"/>
      <c r="AA175" s="194"/>
      <c r="AB175" s="194"/>
      <c r="AC175" s="194"/>
      <c r="AD175" s="194"/>
    </row>
    <row r="176" spans="17:30" x14ac:dyDescent="0.3">
      <c r="Q176" s="194"/>
      <c r="R176" s="194"/>
      <c r="S176" s="194"/>
      <c r="T176" s="194"/>
      <c r="U176" s="194"/>
      <c r="V176" s="194"/>
      <c r="W176" s="194"/>
      <c r="X176" s="194"/>
      <c r="Y176" s="194"/>
      <c r="Z176" s="194"/>
      <c r="AA176" s="194"/>
      <c r="AB176" s="194"/>
      <c r="AC176" s="194"/>
      <c r="AD176" s="194"/>
    </row>
    <row r="177" spans="17:30" x14ac:dyDescent="0.3">
      <c r="Q177" s="194"/>
      <c r="R177" s="194"/>
      <c r="S177" s="194"/>
      <c r="T177" s="194"/>
      <c r="U177" s="194"/>
      <c r="V177" s="194"/>
      <c r="W177" s="194"/>
      <c r="X177" s="194"/>
      <c r="Y177" s="194"/>
      <c r="Z177" s="194"/>
      <c r="AA177" s="194"/>
      <c r="AB177" s="194"/>
      <c r="AC177" s="194"/>
      <c r="AD177" s="194"/>
    </row>
    <row r="178" spans="17:30" x14ac:dyDescent="0.3">
      <c r="Q178" s="194"/>
      <c r="R178" s="194"/>
      <c r="S178" s="194"/>
      <c r="T178" s="194"/>
      <c r="U178" s="194"/>
      <c r="V178" s="194"/>
      <c r="W178" s="194"/>
      <c r="X178" s="194"/>
      <c r="Y178" s="194"/>
      <c r="Z178" s="194"/>
      <c r="AA178" s="194"/>
      <c r="AB178" s="194"/>
      <c r="AC178" s="194"/>
      <c r="AD178" s="194"/>
    </row>
    <row r="179" spans="17:30" x14ac:dyDescent="0.3">
      <c r="Q179" s="194"/>
      <c r="R179" s="194"/>
      <c r="S179" s="194"/>
      <c r="T179" s="194"/>
      <c r="U179" s="194"/>
      <c r="V179" s="194"/>
      <c r="W179" s="194"/>
      <c r="X179" s="194"/>
      <c r="Y179" s="194"/>
      <c r="Z179" s="194"/>
      <c r="AA179" s="194"/>
      <c r="AB179" s="194"/>
      <c r="AC179" s="194"/>
      <c r="AD179" s="194"/>
    </row>
    <row r="180" spans="17:30" x14ac:dyDescent="0.3">
      <c r="Q180" s="194"/>
      <c r="R180" s="194"/>
      <c r="S180" s="194"/>
      <c r="T180" s="194"/>
      <c r="U180" s="194"/>
      <c r="V180" s="194"/>
      <c r="W180" s="194"/>
      <c r="X180" s="194"/>
      <c r="Y180" s="194"/>
      <c r="Z180" s="194"/>
      <c r="AA180" s="194"/>
      <c r="AB180" s="194"/>
      <c r="AC180" s="194"/>
      <c r="AD180" s="194"/>
    </row>
    <row r="181" spans="17:30" x14ac:dyDescent="0.3">
      <c r="Q181" s="194"/>
      <c r="R181" s="194"/>
      <c r="S181" s="194"/>
      <c r="T181" s="194"/>
      <c r="U181" s="194"/>
      <c r="V181" s="194"/>
      <c r="W181" s="194"/>
      <c r="X181" s="194"/>
      <c r="Y181" s="194"/>
      <c r="Z181" s="194"/>
      <c r="AA181" s="194"/>
      <c r="AB181" s="194"/>
      <c r="AC181" s="194"/>
      <c r="AD181" s="194"/>
    </row>
    <row r="182" spans="17:30" x14ac:dyDescent="0.3">
      <c r="Q182" s="194"/>
      <c r="R182" s="194"/>
      <c r="S182" s="194"/>
      <c r="T182" s="194"/>
      <c r="U182" s="194"/>
      <c r="V182" s="194"/>
      <c r="W182" s="194"/>
      <c r="X182" s="194"/>
      <c r="Y182" s="194"/>
      <c r="Z182" s="194"/>
      <c r="AA182" s="194"/>
      <c r="AB182" s="194"/>
      <c r="AC182" s="194"/>
      <c r="AD182" s="194"/>
    </row>
    <row r="183" spans="17:30" x14ac:dyDescent="0.3">
      <c r="Q183" s="194"/>
      <c r="R183" s="194"/>
      <c r="S183" s="194"/>
      <c r="T183" s="194"/>
      <c r="U183" s="194"/>
      <c r="V183" s="194"/>
      <c r="W183" s="194"/>
      <c r="X183" s="194"/>
      <c r="Y183" s="194"/>
      <c r="Z183" s="194"/>
      <c r="AA183" s="194"/>
      <c r="AB183" s="194"/>
      <c r="AC183" s="194"/>
      <c r="AD183" s="194"/>
    </row>
    <row r="184" spans="17:30" x14ac:dyDescent="0.3">
      <c r="Q184" s="194"/>
      <c r="R184" s="194"/>
      <c r="S184" s="194"/>
      <c r="T184" s="194"/>
      <c r="U184" s="194"/>
      <c r="V184" s="194"/>
      <c r="W184" s="194"/>
      <c r="X184" s="194"/>
      <c r="Y184" s="194"/>
      <c r="Z184" s="194"/>
      <c r="AA184" s="194"/>
      <c r="AB184" s="194"/>
      <c r="AC184" s="194"/>
      <c r="AD184" s="194"/>
    </row>
    <row r="185" spans="17:30" x14ac:dyDescent="0.3">
      <c r="Q185" s="194"/>
      <c r="R185" s="194"/>
      <c r="S185" s="194"/>
      <c r="T185" s="194"/>
      <c r="U185" s="194"/>
      <c r="V185" s="194"/>
      <c r="W185" s="194"/>
      <c r="X185" s="194"/>
      <c r="Y185" s="194"/>
      <c r="Z185" s="194"/>
      <c r="AA185" s="194"/>
      <c r="AB185" s="194"/>
      <c r="AC185" s="194"/>
      <c r="AD185" s="194"/>
    </row>
    <row r="186" spans="17:30" x14ac:dyDescent="0.3">
      <c r="Q186" s="194"/>
      <c r="R186" s="194"/>
      <c r="S186" s="194"/>
      <c r="T186" s="194"/>
      <c r="U186" s="194"/>
      <c r="V186" s="194"/>
      <c r="W186" s="194"/>
      <c r="X186" s="194"/>
      <c r="Y186" s="194"/>
      <c r="Z186" s="194"/>
      <c r="AA186" s="194"/>
      <c r="AB186" s="194"/>
      <c r="AC186" s="194"/>
      <c r="AD186" s="194"/>
    </row>
    <row r="187" spans="17:30" x14ac:dyDescent="0.3">
      <c r="Q187" s="194"/>
      <c r="R187" s="194"/>
      <c r="S187" s="194"/>
      <c r="T187" s="194"/>
      <c r="U187" s="194"/>
      <c r="V187" s="194"/>
      <c r="W187" s="194"/>
      <c r="X187" s="194"/>
      <c r="Y187" s="194"/>
      <c r="Z187" s="194"/>
      <c r="AA187" s="194"/>
      <c r="AB187" s="194"/>
      <c r="AC187" s="194"/>
      <c r="AD187" s="194"/>
    </row>
    <row r="188" spans="17:30" x14ac:dyDescent="0.3">
      <c r="Q188" s="194"/>
      <c r="R188" s="194"/>
      <c r="S188" s="194"/>
      <c r="T188" s="194"/>
      <c r="U188" s="194"/>
      <c r="V188" s="194"/>
      <c r="W188" s="194"/>
      <c r="X188" s="194"/>
      <c r="Y188" s="194"/>
      <c r="Z188" s="194"/>
      <c r="AA188" s="194"/>
      <c r="AB188" s="194"/>
      <c r="AC188" s="194"/>
      <c r="AD188" s="194"/>
    </row>
    <row r="189" spans="17:30" x14ac:dyDescent="0.3">
      <c r="Q189" s="194"/>
      <c r="R189" s="194"/>
      <c r="S189" s="194"/>
      <c r="T189" s="194"/>
      <c r="U189" s="194"/>
      <c r="V189" s="194"/>
      <c r="W189" s="194"/>
      <c r="X189" s="194"/>
      <c r="Y189" s="194"/>
      <c r="Z189" s="194"/>
      <c r="AA189" s="194"/>
      <c r="AB189" s="194"/>
      <c r="AC189" s="194"/>
      <c r="AD189" s="194"/>
    </row>
    <row r="190" spans="17:30" x14ac:dyDescent="0.3">
      <c r="Q190" s="194"/>
      <c r="R190" s="194"/>
      <c r="S190" s="194"/>
      <c r="T190" s="194"/>
      <c r="U190" s="194"/>
      <c r="V190" s="194"/>
      <c r="W190" s="194"/>
      <c r="X190" s="194"/>
      <c r="Y190" s="194"/>
      <c r="Z190" s="194"/>
      <c r="AA190" s="194"/>
      <c r="AB190" s="194"/>
      <c r="AC190" s="194"/>
      <c r="AD190" s="194"/>
    </row>
    <row r="191" spans="17:30" x14ac:dyDescent="0.3">
      <c r="Q191" s="194"/>
      <c r="R191" s="194"/>
      <c r="S191" s="194"/>
      <c r="T191" s="194"/>
      <c r="U191" s="194"/>
      <c r="V191" s="194"/>
      <c r="W191" s="194"/>
      <c r="X191" s="194"/>
      <c r="Y191" s="194"/>
      <c r="Z191" s="194"/>
      <c r="AA191" s="194"/>
      <c r="AB191" s="194"/>
      <c r="AC191" s="194"/>
      <c r="AD191" s="194"/>
    </row>
    <row r="192" spans="17:30" x14ac:dyDescent="0.3">
      <c r="Q192" s="194"/>
      <c r="R192" s="194"/>
      <c r="S192" s="194"/>
      <c r="T192" s="194"/>
      <c r="U192" s="194"/>
      <c r="V192" s="194"/>
      <c r="W192" s="194"/>
      <c r="X192" s="194"/>
      <c r="Y192" s="194"/>
      <c r="Z192" s="194"/>
      <c r="AA192" s="194"/>
      <c r="AB192" s="194"/>
      <c r="AC192" s="194"/>
      <c r="AD192" s="194"/>
    </row>
    <row r="193" spans="17:30" x14ac:dyDescent="0.3">
      <c r="Q193" s="194"/>
      <c r="R193" s="194"/>
      <c r="S193" s="194"/>
      <c r="T193" s="194"/>
      <c r="U193" s="194"/>
      <c r="V193" s="194"/>
      <c r="W193" s="194"/>
      <c r="X193" s="194"/>
      <c r="Y193" s="194"/>
      <c r="Z193" s="194"/>
      <c r="AA193" s="194"/>
      <c r="AB193" s="194"/>
      <c r="AC193" s="194"/>
      <c r="AD193" s="194"/>
    </row>
    <row r="194" spans="17:30" x14ac:dyDescent="0.3">
      <c r="Q194" s="194"/>
      <c r="R194" s="194"/>
      <c r="S194" s="194"/>
      <c r="T194" s="194"/>
      <c r="U194" s="194"/>
      <c r="V194" s="194"/>
      <c r="W194" s="194"/>
      <c r="X194" s="194"/>
      <c r="Y194" s="194"/>
      <c r="Z194" s="194"/>
      <c r="AA194" s="194"/>
      <c r="AB194" s="194"/>
      <c r="AC194" s="194"/>
      <c r="AD194" s="194"/>
    </row>
    <row r="195" spans="17:30" x14ac:dyDescent="0.3">
      <c r="Q195" s="194"/>
      <c r="R195" s="194"/>
      <c r="S195" s="194"/>
      <c r="T195" s="194"/>
      <c r="U195" s="194"/>
      <c r="V195" s="194"/>
      <c r="W195" s="194"/>
      <c r="X195" s="194"/>
      <c r="Y195" s="194"/>
      <c r="Z195" s="194"/>
      <c r="AA195" s="194"/>
      <c r="AB195" s="194"/>
      <c r="AC195" s="194"/>
      <c r="AD195" s="194"/>
    </row>
    <row r="196" spans="17:30" x14ac:dyDescent="0.3">
      <c r="Q196" s="194"/>
      <c r="R196" s="194"/>
      <c r="S196" s="194"/>
      <c r="T196" s="194"/>
      <c r="U196" s="194"/>
      <c r="V196" s="194"/>
      <c r="W196" s="194"/>
      <c r="X196" s="194"/>
      <c r="Y196" s="194"/>
      <c r="Z196" s="194"/>
      <c r="AA196" s="194"/>
      <c r="AB196" s="194"/>
      <c r="AC196" s="194"/>
      <c r="AD196" s="194"/>
    </row>
    <row r="197" spans="17:30" x14ac:dyDescent="0.3">
      <c r="Q197" s="194"/>
      <c r="R197" s="194"/>
      <c r="S197" s="194"/>
      <c r="T197" s="194"/>
      <c r="U197" s="194"/>
      <c r="V197" s="194"/>
      <c r="W197" s="194"/>
      <c r="X197" s="194"/>
      <c r="Y197" s="194"/>
      <c r="Z197" s="194"/>
      <c r="AA197" s="194"/>
      <c r="AB197" s="194"/>
      <c r="AC197" s="194"/>
      <c r="AD197" s="194"/>
    </row>
    <row r="198" spans="17:30" x14ac:dyDescent="0.3">
      <c r="Q198" s="194"/>
      <c r="R198" s="194"/>
      <c r="S198" s="194"/>
      <c r="T198" s="194"/>
      <c r="U198" s="194"/>
      <c r="V198" s="194"/>
      <c r="W198" s="194"/>
      <c r="X198" s="194"/>
      <c r="Y198" s="194"/>
      <c r="Z198" s="194"/>
      <c r="AA198" s="194"/>
      <c r="AB198" s="194"/>
      <c r="AC198" s="194"/>
      <c r="AD198" s="194"/>
    </row>
    <row r="199" spans="17:30" x14ac:dyDescent="0.3">
      <c r="Q199" s="194"/>
      <c r="R199" s="194"/>
      <c r="S199" s="194"/>
      <c r="T199" s="194"/>
      <c r="U199" s="194"/>
      <c r="V199" s="194"/>
      <c r="W199" s="194"/>
      <c r="X199" s="194"/>
      <c r="Y199" s="194"/>
      <c r="Z199" s="194"/>
      <c r="AA199" s="194"/>
      <c r="AB199" s="194"/>
      <c r="AC199" s="194"/>
      <c r="AD199" s="194"/>
    </row>
    <row r="200" spans="17:30" x14ac:dyDescent="0.3">
      <c r="Q200" s="194"/>
      <c r="R200" s="194"/>
      <c r="S200" s="194"/>
      <c r="T200" s="194"/>
      <c r="U200" s="194"/>
      <c r="V200" s="194"/>
      <c r="W200" s="194"/>
      <c r="X200" s="194"/>
      <c r="Y200" s="194"/>
      <c r="Z200" s="194"/>
      <c r="AA200" s="194"/>
      <c r="AB200" s="194"/>
      <c r="AC200" s="194"/>
      <c r="AD200" s="194"/>
    </row>
    <row r="201" spans="17:30" x14ac:dyDescent="0.3">
      <c r="Q201" s="194"/>
      <c r="R201" s="194"/>
      <c r="S201" s="194"/>
      <c r="T201" s="194"/>
      <c r="U201" s="194"/>
      <c r="V201" s="194"/>
      <c r="W201" s="194"/>
      <c r="X201" s="194"/>
      <c r="Y201" s="194"/>
      <c r="Z201" s="194"/>
      <c r="AA201" s="194"/>
      <c r="AB201" s="194"/>
      <c r="AC201" s="194"/>
      <c r="AD201" s="194"/>
    </row>
    <row r="202" spans="17:30" x14ac:dyDescent="0.3">
      <c r="Q202" s="194"/>
      <c r="R202" s="194"/>
      <c r="S202" s="194"/>
      <c r="T202" s="194"/>
      <c r="U202" s="194"/>
      <c r="V202" s="194"/>
      <c r="W202" s="194"/>
      <c r="X202" s="194"/>
      <c r="Y202" s="194"/>
      <c r="Z202" s="194"/>
      <c r="AA202" s="194"/>
      <c r="AB202" s="194"/>
      <c r="AC202" s="194"/>
      <c r="AD202" s="194"/>
    </row>
    <row r="203" spans="17:30" x14ac:dyDescent="0.3">
      <c r="Q203" s="194"/>
      <c r="R203" s="194"/>
      <c r="S203" s="194"/>
      <c r="T203" s="194"/>
      <c r="U203" s="194"/>
      <c r="V203" s="194"/>
      <c r="W203" s="194"/>
      <c r="X203" s="194"/>
      <c r="Y203" s="194"/>
      <c r="Z203" s="194"/>
      <c r="AA203" s="194"/>
      <c r="AB203" s="194"/>
      <c r="AC203" s="194"/>
      <c r="AD203" s="194"/>
    </row>
    <row r="204" spans="17:30" x14ac:dyDescent="0.3">
      <c r="Q204" s="194"/>
      <c r="R204" s="194"/>
      <c r="S204" s="194"/>
      <c r="T204" s="194"/>
      <c r="U204" s="194"/>
      <c r="V204" s="194"/>
      <c r="W204" s="194"/>
      <c r="X204" s="194"/>
      <c r="Y204" s="194"/>
      <c r="Z204" s="194"/>
      <c r="AA204" s="194"/>
      <c r="AB204" s="194"/>
      <c r="AC204" s="194"/>
      <c r="AD204" s="194"/>
    </row>
    <row r="205" spans="17:30" x14ac:dyDescent="0.3">
      <c r="Q205" s="194"/>
      <c r="R205" s="194"/>
      <c r="S205" s="194"/>
      <c r="T205" s="194"/>
      <c r="U205" s="194"/>
      <c r="V205" s="194"/>
      <c r="W205" s="194"/>
      <c r="X205" s="194"/>
      <c r="Y205" s="194"/>
      <c r="Z205" s="194"/>
      <c r="AA205" s="194"/>
      <c r="AB205" s="194"/>
      <c r="AC205" s="194"/>
      <c r="AD205" s="194"/>
    </row>
    <row r="206" spans="17:30" x14ac:dyDescent="0.3">
      <c r="Q206" s="194"/>
      <c r="R206" s="194"/>
      <c r="S206" s="194"/>
      <c r="T206" s="194"/>
      <c r="U206" s="194"/>
      <c r="V206" s="194"/>
      <c r="W206" s="194"/>
      <c r="X206" s="194"/>
      <c r="Y206" s="194"/>
      <c r="Z206" s="194"/>
      <c r="AA206" s="194"/>
      <c r="AB206" s="194"/>
      <c r="AC206" s="194"/>
      <c r="AD206" s="194"/>
    </row>
    <row r="207" spans="17:30" x14ac:dyDescent="0.3">
      <c r="Q207" s="194"/>
      <c r="R207" s="194"/>
      <c r="S207" s="194"/>
      <c r="T207" s="194"/>
      <c r="U207" s="194"/>
      <c r="V207" s="194"/>
      <c r="W207" s="194"/>
      <c r="X207" s="194"/>
      <c r="Y207" s="194"/>
      <c r="Z207" s="194"/>
      <c r="AA207" s="194"/>
      <c r="AB207" s="194"/>
      <c r="AC207" s="194"/>
      <c r="AD207" s="194"/>
    </row>
    <row r="208" spans="17:30" x14ac:dyDescent="0.3">
      <c r="Q208" s="194"/>
      <c r="R208" s="194"/>
      <c r="S208" s="194"/>
      <c r="T208" s="194"/>
      <c r="U208" s="194"/>
      <c r="V208" s="194"/>
      <c r="W208" s="194"/>
      <c r="X208" s="194"/>
      <c r="Y208" s="194"/>
      <c r="Z208" s="194"/>
      <c r="AA208" s="194"/>
      <c r="AB208" s="194"/>
      <c r="AC208" s="194"/>
      <c r="AD208" s="194"/>
    </row>
    <row r="209" spans="17:30" x14ac:dyDescent="0.3">
      <c r="Q209" s="194"/>
      <c r="R209" s="194"/>
      <c r="S209" s="194"/>
      <c r="T209" s="194"/>
      <c r="U209" s="194"/>
      <c r="V209" s="194"/>
      <c r="W209" s="194"/>
      <c r="X209" s="194"/>
      <c r="Y209" s="194"/>
      <c r="Z209" s="194"/>
      <c r="AA209" s="194"/>
      <c r="AB209" s="194"/>
      <c r="AC209" s="194"/>
      <c r="AD209" s="194"/>
    </row>
    <row r="210" spans="17:30" x14ac:dyDescent="0.3">
      <c r="Q210" s="194"/>
      <c r="R210" s="194"/>
      <c r="S210" s="194"/>
      <c r="T210" s="194"/>
      <c r="U210" s="194"/>
      <c r="V210" s="194"/>
      <c r="W210" s="194"/>
      <c r="X210" s="194"/>
      <c r="Y210" s="194"/>
      <c r="Z210" s="194"/>
      <c r="AA210" s="194"/>
      <c r="AB210" s="194"/>
      <c r="AC210" s="194"/>
      <c r="AD210" s="194"/>
    </row>
    <row r="211" spans="17:30" x14ac:dyDescent="0.3">
      <c r="Q211" s="194"/>
      <c r="R211" s="194"/>
      <c r="S211" s="194"/>
      <c r="T211" s="194"/>
      <c r="U211" s="194"/>
      <c r="V211" s="194"/>
      <c r="W211" s="194"/>
      <c r="X211" s="194"/>
      <c r="Y211" s="194"/>
      <c r="Z211" s="194"/>
      <c r="AA211" s="194"/>
      <c r="AB211" s="194"/>
      <c r="AC211" s="194"/>
      <c r="AD211" s="194"/>
    </row>
    <row r="212" spans="17:30" x14ac:dyDescent="0.3">
      <c r="Q212" s="194"/>
      <c r="R212" s="194"/>
      <c r="S212" s="194"/>
      <c r="T212" s="194"/>
      <c r="U212" s="194"/>
      <c r="V212" s="194"/>
      <c r="W212" s="194"/>
      <c r="X212" s="194"/>
      <c r="Y212" s="194"/>
      <c r="Z212" s="194"/>
      <c r="AA212" s="194"/>
      <c r="AB212" s="194"/>
      <c r="AC212" s="194"/>
      <c r="AD212" s="194"/>
    </row>
    <row r="213" spans="17:30" x14ac:dyDescent="0.3">
      <c r="Q213" s="194"/>
      <c r="R213" s="194"/>
      <c r="S213" s="194"/>
      <c r="T213" s="194"/>
      <c r="U213" s="194"/>
      <c r="V213" s="194"/>
      <c r="W213" s="194"/>
      <c r="X213" s="194"/>
      <c r="Y213" s="194"/>
      <c r="Z213" s="194"/>
      <c r="AA213" s="194"/>
      <c r="AB213" s="194"/>
      <c r="AC213" s="194"/>
      <c r="AD213" s="194"/>
    </row>
    <row r="214" spans="17:30" x14ac:dyDescent="0.3">
      <c r="Q214" s="194"/>
      <c r="R214" s="194"/>
      <c r="S214" s="194"/>
      <c r="T214" s="194"/>
      <c r="U214" s="194"/>
      <c r="V214" s="194"/>
      <c r="W214" s="194"/>
      <c r="X214" s="194"/>
      <c r="Y214" s="194"/>
      <c r="Z214" s="194"/>
      <c r="AA214" s="194"/>
      <c r="AB214" s="194"/>
      <c r="AC214" s="194"/>
      <c r="AD214" s="194"/>
    </row>
    <row r="215" spans="17:30" x14ac:dyDescent="0.3">
      <c r="Q215" s="194"/>
      <c r="R215" s="194"/>
      <c r="S215" s="194"/>
      <c r="T215" s="194"/>
      <c r="U215" s="194"/>
      <c r="V215" s="194"/>
      <c r="W215" s="194"/>
      <c r="X215" s="194"/>
      <c r="Y215" s="194"/>
      <c r="Z215" s="194"/>
      <c r="AA215" s="194"/>
      <c r="AB215" s="194"/>
      <c r="AC215" s="194"/>
      <c r="AD215" s="194"/>
    </row>
    <row r="216" spans="17:30" x14ac:dyDescent="0.3">
      <c r="Q216" s="194"/>
      <c r="R216" s="194"/>
      <c r="S216" s="194"/>
      <c r="T216" s="194"/>
      <c r="U216" s="194"/>
      <c r="V216" s="194"/>
      <c r="W216" s="194"/>
      <c r="X216" s="194"/>
      <c r="Y216" s="194"/>
      <c r="Z216" s="194"/>
      <c r="AA216" s="194"/>
      <c r="AB216" s="194"/>
      <c r="AC216" s="194"/>
      <c r="AD216" s="194"/>
    </row>
    <row r="217" spans="17:30" x14ac:dyDescent="0.3">
      <c r="Q217" s="194"/>
      <c r="R217" s="194"/>
      <c r="S217" s="194"/>
      <c r="T217" s="194"/>
      <c r="U217" s="194"/>
      <c r="V217" s="194"/>
      <c r="W217" s="194"/>
      <c r="X217" s="194"/>
      <c r="Y217" s="194"/>
      <c r="Z217" s="194"/>
      <c r="AA217" s="194"/>
      <c r="AB217" s="194"/>
      <c r="AC217" s="194"/>
      <c r="AD217" s="194"/>
    </row>
    <row r="218" spans="17:30" x14ac:dyDescent="0.3">
      <c r="Q218" s="194"/>
      <c r="R218" s="194"/>
      <c r="S218" s="194"/>
      <c r="T218" s="194"/>
      <c r="U218" s="194"/>
      <c r="V218" s="194"/>
      <c r="W218" s="194"/>
      <c r="X218" s="194"/>
      <c r="Y218" s="194"/>
      <c r="Z218" s="194"/>
      <c r="AA218" s="194"/>
      <c r="AB218" s="194"/>
      <c r="AC218" s="194"/>
      <c r="AD218" s="194"/>
    </row>
    <row r="219" spans="17:30" x14ac:dyDescent="0.3">
      <c r="Q219" s="194"/>
      <c r="R219" s="194"/>
      <c r="S219" s="194"/>
      <c r="T219" s="194"/>
      <c r="U219" s="194"/>
      <c r="V219" s="194"/>
      <c r="W219" s="194"/>
      <c r="X219" s="194"/>
      <c r="Y219" s="194"/>
      <c r="Z219" s="194"/>
      <c r="AA219" s="194"/>
      <c r="AB219" s="194"/>
      <c r="AC219" s="194"/>
      <c r="AD219" s="194"/>
    </row>
    <row r="220" spans="17:30" x14ac:dyDescent="0.3">
      <c r="Q220" s="194"/>
      <c r="R220" s="194"/>
      <c r="S220" s="194"/>
      <c r="T220" s="194"/>
      <c r="U220" s="194"/>
      <c r="V220" s="194"/>
      <c r="W220" s="194"/>
      <c r="X220" s="194"/>
      <c r="Y220" s="194"/>
      <c r="Z220" s="194"/>
      <c r="AA220" s="194"/>
      <c r="AB220" s="194"/>
      <c r="AC220" s="194"/>
      <c r="AD220" s="194"/>
    </row>
    <row r="221" spans="17:30" x14ac:dyDescent="0.3">
      <c r="Q221" s="194"/>
      <c r="R221" s="194"/>
      <c r="S221" s="194"/>
      <c r="T221" s="194"/>
      <c r="U221" s="194"/>
      <c r="V221" s="194"/>
      <c r="W221" s="194"/>
      <c r="X221" s="194"/>
      <c r="Y221" s="194"/>
      <c r="Z221" s="194"/>
      <c r="AA221" s="194"/>
      <c r="AB221" s="194"/>
      <c r="AC221" s="194"/>
      <c r="AD221" s="194"/>
    </row>
    <row r="222" spans="17:30" x14ac:dyDescent="0.3">
      <c r="Q222" s="194"/>
      <c r="R222" s="194"/>
      <c r="S222" s="194"/>
      <c r="T222" s="194"/>
      <c r="U222" s="194"/>
      <c r="V222" s="194"/>
      <c r="W222" s="194"/>
      <c r="X222" s="194"/>
      <c r="Y222" s="194"/>
      <c r="Z222" s="194"/>
      <c r="AA222" s="194"/>
      <c r="AB222" s="194"/>
      <c r="AC222" s="194"/>
      <c r="AD222" s="194"/>
    </row>
    <row r="223" spans="17:30" x14ac:dyDescent="0.3">
      <c r="Q223" s="194"/>
      <c r="R223" s="194"/>
      <c r="S223" s="194"/>
      <c r="T223" s="194"/>
      <c r="U223" s="194"/>
      <c r="V223" s="194"/>
      <c r="W223" s="194"/>
      <c r="X223" s="194"/>
      <c r="Y223" s="194"/>
      <c r="Z223" s="194"/>
      <c r="AA223" s="194"/>
      <c r="AB223" s="194"/>
      <c r="AC223" s="194"/>
      <c r="AD223" s="194"/>
    </row>
    <row r="224" spans="17:30" x14ac:dyDescent="0.3">
      <c r="Q224" s="194"/>
      <c r="R224" s="194"/>
      <c r="S224" s="194"/>
      <c r="T224" s="194"/>
      <c r="U224" s="194"/>
      <c r="V224" s="194"/>
      <c r="W224" s="194"/>
      <c r="X224" s="194"/>
      <c r="Y224" s="194"/>
      <c r="Z224" s="194"/>
      <c r="AA224" s="194"/>
      <c r="AB224" s="194"/>
      <c r="AC224" s="194"/>
      <c r="AD224" s="194"/>
    </row>
    <row r="225" spans="17:30" x14ac:dyDescent="0.3">
      <c r="Q225" s="194"/>
      <c r="R225" s="194"/>
      <c r="S225" s="194"/>
      <c r="T225" s="194"/>
      <c r="U225" s="194"/>
      <c r="V225" s="194"/>
      <c r="W225" s="194"/>
      <c r="X225" s="194"/>
      <c r="Y225" s="194"/>
      <c r="Z225" s="194"/>
      <c r="AA225" s="194"/>
      <c r="AB225" s="194"/>
      <c r="AC225" s="194"/>
      <c r="AD225" s="194"/>
    </row>
    <row r="226" spans="17:30" x14ac:dyDescent="0.3">
      <c r="Q226" s="194"/>
      <c r="R226" s="194"/>
      <c r="S226" s="194"/>
      <c r="T226" s="194"/>
      <c r="U226" s="194"/>
      <c r="V226" s="194"/>
      <c r="W226" s="194"/>
      <c r="X226" s="194"/>
      <c r="Y226" s="194"/>
      <c r="Z226" s="194"/>
      <c r="AA226" s="194"/>
      <c r="AB226" s="194"/>
      <c r="AC226" s="194"/>
      <c r="AD226" s="194"/>
    </row>
    <row r="227" spans="17:30" x14ac:dyDescent="0.3">
      <c r="Q227" s="194"/>
      <c r="R227" s="194"/>
      <c r="S227" s="194"/>
      <c r="T227" s="194"/>
      <c r="U227" s="194"/>
      <c r="V227" s="194"/>
      <c r="W227" s="194"/>
      <c r="X227" s="194"/>
      <c r="Y227" s="194"/>
      <c r="Z227" s="194"/>
      <c r="AA227" s="194"/>
      <c r="AB227" s="194"/>
      <c r="AC227" s="194"/>
      <c r="AD227" s="194"/>
    </row>
    <row r="228" spans="17:30" x14ac:dyDescent="0.3">
      <c r="Q228" s="194"/>
      <c r="R228" s="194"/>
      <c r="S228" s="194"/>
      <c r="T228" s="194"/>
      <c r="U228" s="194"/>
      <c r="V228" s="194"/>
      <c r="W228" s="194"/>
      <c r="X228" s="194"/>
      <c r="Y228" s="194"/>
      <c r="Z228" s="194"/>
      <c r="AA228" s="194"/>
      <c r="AB228" s="194"/>
      <c r="AC228" s="194"/>
      <c r="AD228" s="194"/>
    </row>
    <row r="229" spans="17:30" x14ac:dyDescent="0.3">
      <c r="Q229" s="194"/>
      <c r="R229" s="194"/>
      <c r="S229" s="194"/>
      <c r="T229" s="194"/>
      <c r="U229" s="194"/>
      <c r="V229" s="194"/>
      <c r="W229" s="194"/>
      <c r="X229" s="194"/>
      <c r="Y229" s="194"/>
      <c r="Z229" s="194"/>
      <c r="AA229" s="194"/>
      <c r="AB229" s="194"/>
      <c r="AC229" s="194"/>
      <c r="AD229" s="194"/>
    </row>
    <row r="230" spans="17:30" x14ac:dyDescent="0.3">
      <c r="Q230" s="194"/>
      <c r="R230" s="194"/>
      <c r="S230" s="194"/>
      <c r="T230" s="194"/>
      <c r="U230" s="194"/>
      <c r="V230" s="194"/>
      <c r="W230" s="194"/>
      <c r="X230" s="194"/>
      <c r="Y230" s="194"/>
      <c r="Z230" s="194"/>
      <c r="AA230" s="194"/>
      <c r="AB230" s="194"/>
      <c r="AC230" s="194"/>
      <c r="AD230" s="194"/>
    </row>
    <row r="231" spans="17:30" x14ac:dyDescent="0.3">
      <c r="Q231" s="194"/>
      <c r="R231" s="194"/>
      <c r="S231" s="194"/>
      <c r="T231" s="194"/>
      <c r="U231" s="194"/>
      <c r="V231" s="194"/>
      <c r="W231" s="194"/>
      <c r="X231" s="194"/>
      <c r="Y231" s="194"/>
      <c r="Z231" s="194"/>
      <c r="AA231" s="194"/>
      <c r="AB231" s="194"/>
      <c r="AC231" s="194"/>
      <c r="AD231" s="194"/>
    </row>
    <row r="232" spans="17:30" x14ac:dyDescent="0.3">
      <c r="Q232" s="194"/>
      <c r="R232" s="194"/>
      <c r="S232" s="194"/>
      <c r="T232" s="194"/>
      <c r="U232" s="194"/>
      <c r="V232" s="194"/>
      <c r="W232" s="194"/>
      <c r="X232" s="194"/>
      <c r="Y232" s="194"/>
      <c r="Z232" s="194"/>
      <c r="AA232" s="194"/>
      <c r="AB232" s="194"/>
      <c r="AC232" s="194"/>
      <c r="AD232" s="194"/>
    </row>
    <row r="233" spans="17:30" x14ac:dyDescent="0.3">
      <c r="Q233" s="194"/>
      <c r="R233" s="194"/>
      <c r="S233" s="194"/>
      <c r="T233" s="194"/>
      <c r="U233" s="194"/>
      <c r="V233" s="194"/>
      <c r="W233" s="194"/>
      <c r="X233" s="194"/>
      <c r="Y233" s="194"/>
      <c r="Z233" s="194"/>
      <c r="AA233" s="194"/>
      <c r="AB233" s="194"/>
      <c r="AC233" s="194"/>
      <c r="AD233" s="194"/>
    </row>
    <row r="234" spans="17:30" x14ac:dyDescent="0.3">
      <c r="Q234" s="194"/>
      <c r="R234" s="194"/>
      <c r="S234" s="194"/>
      <c r="T234" s="194"/>
      <c r="U234" s="194"/>
      <c r="V234" s="194"/>
      <c r="W234" s="194"/>
      <c r="X234" s="194"/>
      <c r="Y234" s="194"/>
      <c r="Z234" s="194"/>
      <c r="AA234" s="194"/>
      <c r="AB234" s="194"/>
      <c r="AC234" s="194"/>
      <c r="AD234" s="194"/>
    </row>
    <row r="235" spans="17:30" x14ac:dyDescent="0.3">
      <c r="Q235" s="194"/>
      <c r="R235" s="194"/>
      <c r="S235" s="194"/>
      <c r="T235" s="194"/>
      <c r="U235" s="194"/>
      <c r="V235" s="194"/>
      <c r="W235" s="194"/>
      <c r="X235" s="194"/>
      <c r="Y235" s="194"/>
      <c r="Z235" s="194"/>
      <c r="AA235" s="194"/>
      <c r="AB235" s="194"/>
      <c r="AC235" s="194"/>
      <c r="AD235" s="194"/>
    </row>
    <row r="236" spans="17:30" x14ac:dyDescent="0.3">
      <c r="Q236" s="194"/>
      <c r="R236" s="194"/>
      <c r="S236" s="194"/>
      <c r="T236" s="194"/>
      <c r="U236" s="194"/>
      <c r="V236" s="194"/>
      <c r="W236" s="194"/>
      <c r="X236" s="194"/>
      <c r="Y236" s="194"/>
      <c r="Z236" s="194"/>
      <c r="AA236" s="194"/>
      <c r="AB236" s="194"/>
      <c r="AC236" s="194"/>
      <c r="AD236" s="194"/>
    </row>
    <row r="237" spans="17:30" x14ac:dyDescent="0.3">
      <c r="Q237" s="194"/>
      <c r="R237" s="194"/>
      <c r="S237" s="194"/>
      <c r="T237" s="194"/>
      <c r="U237" s="194"/>
      <c r="V237" s="194"/>
      <c r="W237" s="194"/>
      <c r="X237" s="194"/>
      <c r="Y237" s="194"/>
      <c r="Z237" s="194"/>
      <c r="AA237" s="194"/>
      <c r="AB237" s="194"/>
      <c r="AC237" s="194"/>
      <c r="AD237" s="194"/>
    </row>
    <row r="238" spans="17:30" x14ac:dyDescent="0.3">
      <c r="Q238" s="194"/>
      <c r="R238" s="194"/>
      <c r="S238" s="194"/>
      <c r="T238" s="194"/>
      <c r="U238" s="194"/>
      <c r="V238" s="194"/>
      <c r="W238" s="194"/>
      <c r="X238" s="194"/>
      <c r="Y238" s="194"/>
      <c r="Z238" s="194"/>
      <c r="AA238" s="194"/>
      <c r="AB238" s="194"/>
      <c r="AC238" s="194"/>
      <c r="AD238" s="194"/>
    </row>
    <row r="239" spans="17:30" x14ac:dyDescent="0.3">
      <c r="Q239" s="194"/>
      <c r="R239" s="194"/>
      <c r="S239" s="194"/>
      <c r="T239" s="194"/>
      <c r="U239" s="194"/>
      <c r="V239" s="194"/>
      <c r="W239" s="194"/>
      <c r="X239" s="194"/>
      <c r="Y239" s="194"/>
      <c r="Z239" s="194"/>
      <c r="AA239" s="194"/>
      <c r="AB239" s="194"/>
      <c r="AC239" s="194"/>
      <c r="AD239" s="194"/>
    </row>
    <row r="240" spans="17:30" x14ac:dyDescent="0.3">
      <c r="Q240" s="194"/>
      <c r="R240" s="194"/>
      <c r="S240" s="194"/>
      <c r="T240" s="194"/>
      <c r="U240" s="194"/>
      <c r="V240" s="194"/>
      <c r="W240" s="194"/>
      <c r="X240" s="194"/>
      <c r="Y240" s="194"/>
      <c r="Z240" s="194"/>
      <c r="AA240" s="194"/>
      <c r="AB240" s="194"/>
      <c r="AC240" s="194"/>
      <c r="AD240" s="194"/>
    </row>
    <row r="241" spans="17:30" x14ac:dyDescent="0.3">
      <c r="Q241" s="194"/>
      <c r="R241" s="194"/>
      <c r="S241" s="194"/>
      <c r="T241" s="194"/>
      <c r="U241" s="194"/>
      <c r="V241" s="194"/>
      <c r="W241" s="194"/>
      <c r="X241" s="194"/>
      <c r="Y241" s="194"/>
      <c r="Z241" s="194"/>
      <c r="AA241" s="194"/>
      <c r="AB241" s="194"/>
      <c r="AC241" s="194"/>
      <c r="AD241" s="194"/>
    </row>
    <row r="242" spans="17:30" x14ac:dyDescent="0.3">
      <c r="Q242" s="194"/>
      <c r="R242" s="194"/>
      <c r="S242" s="194"/>
      <c r="T242" s="194"/>
      <c r="U242" s="194"/>
      <c r="V242" s="194"/>
      <c r="W242" s="194"/>
      <c r="X242" s="194"/>
      <c r="Y242" s="194"/>
      <c r="Z242" s="194"/>
      <c r="AA242" s="194"/>
      <c r="AB242" s="194"/>
      <c r="AC242" s="194"/>
      <c r="AD242" s="194"/>
    </row>
    <row r="243" spans="17:30" x14ac:dyDescent="0.3">
      <c r="Q243" s="194"/>
      <c r="R243" s="194"/>
      <c r="S243" s="194"/>
      <c r="T243" s="194"/>
      <c r="U243" s="194"/>
      <c r="V243" s="194"/>
      <c r="W243" s="194"/>
      <c r="X243" s="194"/>
      <c r="Y243" s="194"/>
      <c r="Z243" s="194"/>
      <c r="AA243" s="194"/>
      <c r="AB243" s="194"/>
      <c r="AC243" s="194"/>
      <c r="AD243" s="194"/>
    </row>
    <row r="244" spans="17:30" x14ac:dyDescent="0.3">
      <c r="Q244" s="194"/>
      <c r="R244" s="194"/>
      <c r="S244" s="194"/>
      <c r="T244" s="194"/>
      <c r="U244" s="194"/>
      <c r="V244" s="194"/>
      <c r="W244" s="194"/>
      <c r="X244" s="194"/>
      <c r="Y244" s="194"/>
      <c r="Z244" s="194"/>
      <c r="AA244" s="194"/>
      <c r="AB244" s="194"/>
      <c r="AC244" s="194"/>
      <c r="AD244" s="194"/>
    </row>
    <row r="245" spans="17:30" x14ac:dyDescent="0.3">
      <c r="Q245" s="194"/>
      <c r="R245" s="194"/>
      <c r="S245" s="194"/>
      <c r="T245" s="194"/>
      <c r="U245" s="194"/>
      <c r="V245" s="194"/>
      <c r="W245" s="194"/>
      <c r="X245" s="194"/>
      <c r="Y245" s="194"/>
      <c r="Z245" s="194"/>
      <c r="AA245" s="194"/>
      <c r="AB245" s="194"/>
      <c r="AC245" s="194"/>
      <c r="AD245" s="194"/>
    </row>
    <row r="246" spans="17:30" x14ac:dyDescent="0.3">
      <c r="Q246" s="194"/>
      <c r="R246" s="194"/>
      <c r="S246" s="194"/>
      <c r="T246" s="194"/>
      <c r="U246" s="194"/>
      <c r="V246" s="194"/>
      <c r="W246" s="194"/>
      <c r="X246" s="194"/>
      <c r="Y246" s="194"/>
      <c r="Z246" s="194"/>
      <c r="AA246" s="194"/>
      <c r="AB246" s="194"/>
      <c r="AC246" s="194"/>
      <c r="AD246" s="194"/>
    </row>
    <row r="247" spans="17:30" x14ac:dyDescent="0.3">
      <c r="Q247" s="194"/>
      <c r="R247" s="194"/>
      <c r="S247" s="194"/>
      <c r="T247" s="194"/>
      <c r="U247" s="194"/>
      <c r="V247" s="194"/>
      <c r="W247" s="194"/>
      <c r="X247" s="194"/>
      <c r="Y247" s="194"/>
      <c r="Z247" s="194"/>
      <c r="AA247" s="194"/>
      <c r="AB247" s="194"/>
      <c r="AC247" s="194"/>
      <c r="AD247" s="194"/>
    </row>
    <row r="248" spans="17:30" x14ac:dyDescent="0.3">
      <c r="Q248" s="194"/>
      <c r="R248" s="194"/>
      <c r="S248" s="194"/>
      <c r="T248" s="194"/>
      <c r="U248" s="194"/>
      <c r="V248" s="194"/>
      <c r="W248" s="194"/>
      <c r="X248" s="194"/>
      <c r="Y248" s="194"/>
      <c r="Z248" s="194"/>
      <c r="AA248" s="194"/>
      <c r="AB248" s="194"/>
      <c r="AC248" s="194"/>
      <c r="AD248" s="194"/>
    </row>
    <row r="249" spans="17:30" x14ac:dyDescent="0.3">
      <c r="Q249" s="194"/>
      <c r="R249" s="194"/>
      <c r="S249" s="194"/>
      <c r="T249" s="194"/>
      <c r="U249" s="194"/>
      <c r="V249" s="194"/>
      <c r="W249" s="194"/>
      <c r="X249" s="194"/>
      <c r="Y249" s="194"/>
      <c r="Z249" s="194"/>
      <c r="AA249" s="194"/>
      <c r="AB249" s="194"/>
      <c r="AC249" s="194"/>
      <c r="AD249" s="194"/>
    </row>
    <row r="250" spans="17:30" x14ac:dyDescent="0.3">
      <c r="Q250" s="194"/>
      <c r="R250" s="194"/>
      <c r="S250" s="194"/>
      <c r="T250" s="194"/>
      <c r="U250" s="194"/>
      <c r="V250" s="194"/>
      <c r="W250" s="194"/>
      <c r="X250" s="194"/>
      <c r="Y250" s="194"/>
      <c r="Z250" s="194"/>
      <c r="AA250" s="194"/>
      <c r="AB250" s="194"/>
      <c r="AC250" s="194"/>
      <c r="AD250" s="194"/>
    </row>
    <row r="251" spans="17:30" x14ac:dyDescent="0.3">
      <c r="Q251" s="194"/>
      <c r="R251" s="194"/>
      <c r="S251" s="194"/>
      <c r="T251" s="194"/>
      <c r="U251" s="194"/>
      <c r="V251" s="194"/>
      <c r="W251" s="194"/>
      <c r="X251" s="194"/>
      <c r="Y251" s="194"/>
      <c r="Z251" s="194"/>
      <c r="AA251" s="194"/>
      <c r="AB251" s="194"/>
      <c r="AC251" s="194"/>
      <c r="AD251" s="194"/>
    </row>
    <row r="252" spans="17:30" x14ac:dyDescent="0.3">
      <c r="Q252" s="194"/>
      <c r="R252" s="194"/>
      <c r="S252" s="194"/>
      <c r="T252" s="194"/>
      <c r="U252" s="194"/>
      <c r="V252" s="194"/>
      <c r="W252" s="194"/>
      <c r="X252" s="194"/>
      <c r="Y252" s="194"/>
      <c r="Z252" s="194"/>
      <c r="AA252" s="194"/>
      <c r="AB252" s="194"/>
      <c r="AC252" s="194"/>
      <c r="AD252" s="194"/>
    </row>
    <row r="253" spans="17:30" x14ac:dyDescent="0.3">
      <c r="Q253" s="194"/>
      <c r="R253" s="194"/>
      <c r="S253" s="194"/>
      <c r="T253" s="194"/>
      <c r="U253" s="194"/>
      <c r="V253" s="194"/>
      <c r="W253" s="194"/>
      <c r="X253" s="194"/>
      <c r="Y253" s="194"/>
      <c r="Z253" s="194"/>
      <c r="AA253" s="194"/>
      <c r="AB253" s="194"/>
      <c r="AC253" s="194"/>
      <c r="AD253" s="194"/>
    </row>
    <row r="254" spans="17:30" x14ac:dyDescent="0.3">
      <c r="Q254" s="194"/>
      <c r="R254" s="194"/>
      <c r="S254" s="194"/>
      <c r="T254" s="194"/>
      <c r="U254" s="194"/>
      <c r="V254" s="194"/>
      <c r="W254" s="194"/>
      <c r="X254" s="194"/>
      <c r="Y254" s="194"/>
      <c r="Z254" s="194"/>
      <c r="AA254" s="194"/>
      <c r="AB254" s="194"/>
      <c r="AC254" s="194"/>
      <c r="AD254" s="194"/>
    </row>
    <row r="255" spans="17:30" x14ac:dyDescent="0.3">
      <c r="Q255" s="194"/>
      <c r="R255" s="194"/>
      <c r="S255" s="194"/>
      <c r="T255" s="194"/>
      <c r="U255" s="194"/>
      <c r="V255" s="194"/>
      <c r="W255" s="194"/>
      <c r="X255" s="194"/>
      <c r="Y255" s="194"/>
      <c r="Z255" s="194"/>
      <c r="AA255" s="194"/>
      <c r="AB255" s="194"/>
      <c r="AC255" s="194"/>
      <c r="AD255" s="194"/>
    </row>
    <row r="256" spans="17:30" x14ac:dyDescent="0.3">
      <c r="Q256" s="194"/>
      <c r="R256" s="194"/>
      <c r="S256" s="194"/>
      <c r="T256" s="194"/>
      <c r="U256" s="194"/>
      <c r="V256" s="194"/>
      <c r="W256" s="194"/>
      <c r="X256" s="194"/>
      <c r="Y256" s="194"/>
      <c r="Z256" s="194"/>
      <c r="AA256" s="194"/>
      <c r="AB256" s="194"/>
      <c r="AC256" s="194"/>
      <c r="AD256" s="194"/>
    </row>
    <row r="257" spans="17:30" x14ac:dyDescent="0.3">
      <c r="Q257" s="194"/>
      <c r="R257" s="194"/>
      <c r="S257" s="194"/>
      <c r="T257" s="194"/>
      <c r="U257" s="194"/>
      <c r="V257" s="194"/>
      <c r="W257" s="194"/>
      <c r="X257" s="194"/>
      <c r="Y257" s="194"/>
      <c r="Z257" s="194"/>
      <c r="AA257" s="194"/>
      <c r="AB257" s="194"/>
      <c r="AC257" s="194"/>
      <c r="AD257" s="194"/>
    </row>
    <row r="258" spans="17:30" x14ac:dyDescent="0.3">
      <c r="Q258" s="194"/>
      <c r="R258" s="194"/>
      <c r="S258" s="194"/>
      <c r="T258" s="194"/>
      <c r="U258" s="194"/>
      <c r="V258" s="194"/>
      <c r="W258" s="194"/>
      <c r="X258" s="194"/>
      <c r="Y258" s="194"/>
      <c r="Z258" s="194"/>
      <c r="AA258" s="194"/>
      <c r="AB258" s="194"/>
      <c r="AC258" s="194"/>
      <c r="AD258" s="194"/>
    </row>
    <row r="259" spans="17:30" x14ac:dyDescent="0.3">
      <c r="Q259" s="194"/>
      <c r="R259" s="194"/>
      <c r="S259" s="194"/>
      <c r="T259" s="194"/>
      <c r="U259" s="194"/>
      <c r="V259" s="194"/>
      <c r="W259" s="194"/>
      <c r="X259" s="194"/>
      <c r="Y259" s="194"/>
      <c r="Z259" s="194"/>
      <c r="AA259" s="194"/>
      <c r="AB259" s="194"/>
      <c r="AC259" s="194"/>
      <c r="AD259" s="194"/>
    </row>
    <row r="260" spans="17:30" x14ac:dyDescent="0.3">
      <c r="Q260" s="194"/>
      <c r="R260" s="194"/>
      <c r="S260" s="194"/>
      <c r="T260" s="194"/>
      <c r="U260" s="194"/>
      <c r="V260" s="194"/>
      <c r="W260" s="194"/>
      <c r="X260" s="194"/>
      <c r="Y260" s="194"/>
      <c r="Z260" s="194"/>
      <c r="AA260" s="194"/>
      <c r="AB260" s="194"/>
      <c r="AC260" s="194"/>
      <c r="AD260" s="194"/>
    </row>
    <row r="261" spans="17:30" x14ac:dyDescent="0.3">
      <c r="Q261" s="194"/>
      <c r="R261" s="194"/>
      <c r="S261" s="194"/>
      <c r="T261" s="194"/>
      <c r="U261" s="194"/>
      <c r="V261" s="194"/>
      <c r="W261" s="194"/>
      <c r="X261" s="194"/>
      <c r="Y261" s="194"/>
      <c r="Z261" s="194"/>
      <c r="AA261" s="194"/>
      <c r="AB261" s="194"/>
      <c r="AC261" s="194"/>
      <c r="AD261" s="194"/>
    </row>
    <row r="262" spans="17:30" x14ac:dyDescent="0.3">
      <c r="Q262" s="194"/>
      <c r="R262" s="194"/>
      <c r="S262" s="194"/>
      <c r="T262" s="194"/>
      <c r="U262" s="194"/>
      <c r="V262" s="194"/>
      <c r="W262" s="194"/>
      <c r="X262" s="194"/>
      <c r="Y262" s="194"/>
      <c r="Z262" s="194"/>
      <c r="AA262" s="194"/>
      <c r="AB262" s="194"/>
      <c r="AC262" s="194"/>
      <c r="AD262" s="194"/>
    </row>
    <row r="263" spans="17:30" x14ac:dyDescent="0.3">
      <c r="Q263" s="194"/>
      <c r="R263" s="194"/>
      <c r="S263" s="194"/>
      <c r="T263" s="194"/>
      <c r="U263" s="194"/>
      <c r="V263" s="194"/>
      <c r="W263" s="194"/>
      <c r="X263" s="194"/>
      <c r="Y263" s="194"/>
      <c r="Z263" s="194"/>
      <c r="AA263" s="194"/>
      <c r="AB263" s="194"/>
      <c r="AC263" s="194"/>
      <c r="AD263" s="194"/>
    </row>
    <row r="264" spans="17:30" x14ac:dyDescent="0.3">
      <c r="Q264" s="194"/>
      <c r="R264" s="194"/>
      <c r="S264" s="194"/>
      <c r="T264" s="194"/>
      <c r="U264" s="194"/>
      <c r="V264" s="194"/>
      <c r="W264" s="194"/>
      <c r="X264" s="194"/>
      <c r="Y264" s="194"/>
      <c r="Z264" s="194"/>
      <c r="AA264" s="194"/>
      <c r="AB264" s="194"/>
      <c r="AC264" s="194"/>
      <c r="AD264" s="194"/>
    </row>
    <row r="265" spans="17:30" x14ac:dyDescent="0.3">
      <c r="Q265" s="194"/>
      <c r="R265" s="194"/>
      <c r="S265" s="194"/>
      <c r="T265" s="194"/>
      <c r="U265" s="194"/>
      <c r="V265" s="194"/>
      <c r="W265" s="194"/>
      <c r="X265" s="194"/>
      <c r="Y265" s="194"/>
      <c r="Z265" s="194"/>
      <c r="AA265" s="194"/>
      <c r="AB265" s="194"/>
      <c r="AC265" s="194"/>
      <c r="AD265" s="194"/>
    </row>
    <row r="266" spans="17:30" x14ac:dyDescent="0.3">
      <c r="Q266" s="194"/>
      <c r="R266" s="194"/>
      <c r="S266" s="194"/>
      <c r="T266" s="194"/>
      <c r="U266" s="194"/>
      <c r="V266" s="194"/>
      <c r="W266" s="194"/>
      <c r="X266" s="194"/>
      <c r="Y266" s="194"/>
      <c r="Z266" s="194"/>
      <c r="AA266" s="194"/>
      <c r="AB266" s="194"/>
      <c r="AC266" s="194"/>
      <c r="AD266" s="194"/>
    </row>
    <row r="267" spans="17:30" x14ac:dyDescent="0.3">
      <c r="Q267" s="194"/>
      <c r="R267" s="194"/>
      <c r="S267" s="194"/>
      <c r="T267" s="194"/>
      <c r="U267" s="194"/>
      <c r="V267" s="194"/>
      <c r="W267" s="194"/>
      <c r="X267" s="194"/>
      <c r="Y267" s="194"/>
      <c r="Z267" s="194"/>
      <c r="AA267" s="194"/>
      <c r="AB267" s="194"/>
      <c r="AC267" s="194"/>
      <c r="AD267" s="194"/>
    </row>
    <row r="268" spans="17:30" x14ac:dyDescent="0.3">
      <c r="Q268" s="194"/>
      <c r="R268" s="194"/>
      <c r="S268" s="194"/>
      <c r="T268" s="194"/>
      <c r="U268" s="194"/>
      <c r="V268" s="194"/>
      <c r="W268" s="194"/>
      <c r="X268" s="194"/>
      <c r="Y268" s="194"/>
      <c r="Z268" s="194"/>
      <c r="AA268" s="194"/>
      <c r="AB268" s="194"/>
      <c r="AC268" s="194"/>
      <c r="AD268" s="194"/>
    </row>
    <row r="269" spans="17:30" x14ac:dyDescent="0.3">
      <c r="Q269" s="194"/>
      <c r="R269" s="194"/>
      <c r="S269" s="194"/>
      <c r="T269" s="194"/>
      <c r="U269" s="194"/>
      <c r="V269" s="194"/>
      <c r="W269" s="194"/>
      <c r="X269" s="194"/>
      <c r="Y269" s="194"/>
      <c r="Z269" s="194"/>
      <c r="AA269" s="194"/>
      <c r="AB269" s="194"/>
      <c r="AC269" s="194"/>
      <c r="AD269" s="194"/>
    </row>
    <row r="270" spans="17:30" x14ac:dyDescent="0.3">
      <c r="Q270" s="194"/>
      <c r="R270" s="194"/>
      <c r="S270" s="194"/>
      <c r="T270" s="194"/>
      <c r="U270" s="194"/>
      <c r="V270" s="194"/>
      <c r="W270" s="194"/>
      <c r="X270" s="194"/>
      <c r="Y270" s="194"/>
      <c r="Z270" s="194"/>
      <c r="AA270" s="194"/>
      <c r="AB270" s="194"/>
      <c r="AC270" s="194"/>
      <c r="AD270" s="194"/>
    </row>
    <row r="271" spans="17:30" x14ac:dyDescent="0.3">
      <c r="Q271" s="194"/>
      <c r="R271" s="194"/>
      <c r="S271" s="194"/>
      <c r="T271" s="194"/>
      <c r="U271" s="194"/>
      <c r="V271" s="194"/>
      <c r="W271" s="194"/>
      <c r="X271" s="194"/>
      <c r="Y271" s="194"/>
      <c r="Z271" s="194"/>
      <c r="AA271" s="194"/>
      <c r="AB271" s="194"/>
      <c r="AC271" s="194"/>
      <c r="AD271" s="194"/>
    </row>
    <row r="272" spans="17:30" x14ac:dyDescent="0.3">
      <c r="Q272" s="194"/>
      <c r="R272" s="194"/>
      <c r="S272" s="194"/>
      <c r="T272" s="194"/>
      <c r="U272" s="194"/>
      <c r="V272" s="194"/>
      <c r="W272" s="194"/>
      <c r="X272" s="194"/>
      <c r="Y272" s="194"/>
      <c r="Z272" s="194"/>
      <c r="AA272" s="194"/>
      <c r="AB272" s="194"/>
      <c r="AC272" s="194"/>
      <c r="AD272" s="194"/>
    </row>
    <row r="273" spans="17:30" x14ac:dyDescent="0.3">
      <c r="Q273" s="194"/>
      <c r="R273" s="194"/>
      <c r="S273" s="194"/>
      <c r="T273" s="194"/>
      <c r="U273" s="194"/>
      <c r="V273" s="194"/>
      <c r="W273" s="194"/>
      <c r="X273" s="194"/>
      <c r="Y273" s="194"/>
      <c r="Z273" s="194"/>
      <c r="AA273" s="194"/>
      <c r="AB273" s="194"/>
      <c r="AC273" s="194"/>
      <c r="AD273" s="194"/>
    </row>
    <row r="274" spans="17:30" x14ac:dyDescent="0.3">
      <c r="Q274" s="194"/>
      <c r="R274" s="194"/>
      <c r="S274" s="194"/>
      <c r="T274" s="194"/>
      <c r="U274" s="194"/>
      <c r="V274" s="194"/>
      <c r="W274" s="194"/>
      <c r="X274" s="194"/>
      <c r="Y274" s="194"/>
      <c r="Z274" s="194"/>
      <c r="AA274" s="194"/>
      <c r="AB274" s="194"/>
      <c r="AC274" s="194"/>
      <c r="AD274" s="194"/>
    </row>
    <row r="275" spans="17:30" x14ac:dyDescent="0.3">
      <c r="Q275" s="194"/>
      <c r="R275" s="194"/>
      <c r="S275" s="194"/>
      <c r="T275" s="194"/>
      <c r="U275" s="194"/>
      <c r="V275" s="194"/>
      <c r="W275" s="194"/>
      <c r="X275" s="194"/>
      <c r="Y275" s="194"/>
      <c r="Z275" s="194"/>
      <c r="AA275" s="194"/>
      <c r="AB275" s="194"/>
      <c r="AC275" s="194"/>
      <c r="AD275" s="194"/>
    </row>
    <row r="276" spans="17:30" x14ac:dyDescent="0.3">
      <c r="Q276" s="194"/>
      <c r="R276" s="194"/>
      <c r="S276" s="194"/>
      <c r="T276" s="194"/>
      <c r="U276" s="194"/>
      <c r="V276" s="194"/>
      <c r="W276" s="194"/>
      <c r="X276" s="194"/>
      <c r="Y276" s="194"/>
      <c r="Z276" s="194"/>
      <c r="AA276" s="194"/>
      <c r="AB276" s="194"/>
      <c r="AC276" s="194"/>
      <c r="AD276" s="194"/>
    </row>
    <row r="277" spans="17:30" x14ac:dyDescent="0.3">
      <c r="Q277" s="194"/>
      <c r="R277" s="194"/>
      <c r="S277" s="194"/>
      <c r="T277" s="194"/>
      <c r="U277" s="194"/>
      <c r="V277" s="194"/>
      <c r="W277" s="194"/>
      <c r="X277" s="194"/>
      <c r="Y277" s="194"/>
      <c r="Z277" s="194"/>
      <c r="AA277" s="194"/>
      <c r="AB277" s="194"/>
      <c r="AC277" s="194"/>
      <c r="AD277" s="194"/>
    </row>
    <row r="278" spans="17:30" x14ac:dyDescent="0.3">
      <c r="Q278" s="194"/>
      <c r="R278" s="194"/>
      <c r="S278" s="194"/>
      <c r="T278" s="194"/>
      <c r="U278" s="194"/>
      <c r="V278" s="194"/>
      <c r="W278" s="194"/>
      <c r="X278" s="194"/>
      <c r="Y278" s="194"/>
      <c r="Z278" s="194"/>
      <c r="AA278" s="194"/>
      <c r="AB278" s="194"/>
      <c r="AC278" s="194"/>
      <c r="AD278" s="194"/>
    </row>
    <row r="279" spans="17:30" x14ac:dyDescent="0.3">
      <c r="Q279" s="194"/>
      <c r="R279" s="194"/>
      <c r="S279" s="194"/>
      <c r="T279" s="194"/>
      <c r="U279" s="194"/>
      <c r="V279" s="194"/>
      <c r="W279" s="194"/>
      <c r="X279" s="194"/>
      <c r="Y279" s="194"/>
      <c r="Z279" s="194"/>
      <c r="AA279" s="194"/>
      <c r="AB279" s="194"/>
      <c r="AC279" s="194"/>
      <c r="AD279" s="194"/>
    </row>
    <row r="280" spans="17:30" x14ac:dyDescent="0.3">
      <c r="Q280" s="194"/>
      <c r="R280" s="194"/>
      <c r="S280" s="194"/>
      <c r="T280" s="194"/>
      <c r="U280" s="194"/>
      <c r="V280" s="194"/>
      <c r="W280" s="194"/>
      <c r="X280" s="194"/>
      <c r="Y280" s="194"/>
      <c r="Z280" s="194"/>
      <c r="AA280" s="194"/>
      <c r="AB280" s="194"/>
      <c r="AC280" s="194"/>
      <c r="AD280" s="194"/>
    </row>
    <row r="281" spans="17:30" x14ac:dyDescent="0.3">
      <c r="Q281" s="194"/>
      <c r="R281" s="194"/>
      <c r="S281" s="194"/>
      <c r="T281" s="194"/>
      <c r="U281" s="194"/>
      <c r="V281" s="194"/>
      <c r="W281" s="194"/>
      <c r="X281" s="194"/>
      <c r="Y281" s="194"/>
      <c r="Z281" s="194"/>
      <c r="AA281" s="194"/>
      <c r="AB281" s="194"/>
      <c r="AC281" s="194"/>
      <c r="AD281" s="194"/>
    </row>
    <row r="282" spans="17:30" x14ac:dyDescent="0.3">
      <c r="Q282" s="194"/>
      <c r="R282" s="194"/>
      <c r="S282" s="194"/>
      <c r="T282" s="194"/>
      <c r="U282" s="194"/>
      <c r="V282" s="194"/>
      <c r="W282" s="194"/>
      <c r="X282" s="194"/>
      <c r="Y282" s="194"/>
      <c r="Z282" s="194"/>
      <c r="AA282" s="194"/>
      <c r="AB282" s="194"/>
      <c r="AC282" s="194"/>
      <c r="AD282" s="194"/>
    </row>
    <row r="283" spans="17:30" x14ac:dyDescent="0.3">
      <c r="Q283" s="194"/>
      <c r="R283" s="194"/>
      <c r="S283" s="194"/>
      <c r="T283" s="194"/>
      <c r="U283" s="194"/>
      <c r="V283" s="194"/>
      <c r="W283" s="194"/>
      <c r="X283" s="194"/>
      <c r="Y283" s="194"/>
      <c r="Z283" s="194"/>
      <c r="AA283" s="194"/>
      <c r="AB283" s="194"/>
      <c r="AC283" s="194"/>
      <c r="AD283" s="194"/>
    </row>
    <row r="284" spans="17:30" x14ac:dyDescent="0.3">
      <c r="Q284" s="194"/>
      <c r="R284" s="194"/>
      <c r="S284" s="194"/>
      <c r="T284" s="194"/>
      <c r="U284" s="194"/>
      <c r="V284" s="194"/>
      <c r="W284" s="194"/>
      <c r="X284" s="194"/>
      <c r="Y284" s="194"/>
      <c r="Z284" s="194"/>
      <c r="AA284" s="194"/>
      <c r="AB284" s="194"/>
      <c r="AC284" s="194"/>
      <c r="AD284" s="194"/>
    </row>
    <row r="285" spans="17:30" x14ac:dyDescent="0.3">
      <c r="Q285" s="194"/>
      <c r="R285" s="194"/>
      <c r="S285" s="194"/>
      <c r="T285" s="194"/>
      <c r="U285" s="194"/>
      <c r="V285" s="194"/>
      <c r="W285" s="194"/>
      <c r="X285" s="194"/>
      <c r="Y285" s="194"/>
      <c r="Z285" s="194"/>
      <c r="AA285" s="194"/>
      <c r="AB285" s="194"/>
      <c r="AC285" s="194"/>
      <c r="AD285" s="194"/>
    </row>
    <row r="286" spans="17:30" x14ac:dyDescent="0.3">
      <c r="Q286" s="194"/>
      <c r="R286" s="194"/>
      <c r="S286" s="194"/>
      <c r="T286" s="194"/>
      <c r="U286" s="194"/>
      <c r="V286" s="194"/>
      <c r="W286" s="194"/>
      <c r="X286" s="194"/>
      <c r="Y286" s="194"/>
      <c r="Z286" s="194"/>
      <c r="AA286" s="194"/>
      <c r="AB286" s="194"/>
      <c r="AC286" s="194"/>
      <c r="AD286" s="194"/>
    </row>
    <row r="287" spans="17:30" x14ac:dyDescent="0.3">
      <c r="Q287" s="194"/>
      <c r="R287" s="194"/>
      <c r="S287" s="194"/>
      <c r="T287" s="194"/>
      <c r="U287" s="194"/>
      <c r="V287" s="194"/>
      <c r="W287" s="194"/>
      <c r="X287" s="194"/>
      <c r="Y287" s="194"/>
      <c r="Z287" s="194"/>
      <c r="AA287" s="194"/>
      <c r="AB287" s="194"/>
      <c r="AC287" s="194"/>
      <c r="AD287" s="194"/>
    </row>
    <row r="288" spans="17:30" x14ac:dyDescent="0.3">
      <c r="Q288" s="194"/>
      <c r="R288" s="194"/>
      <c r="S288" s="194"/>
      <c r="T288" s="194"/>
      <c r="U288" s="194"/>
      <c r="V288" s="194"/>
      <c r="W288" s="194"/>
      <c r="X288" s="194"/>
      <c r="Y288" s="194"/>
      <c r="Z288" s="194"/>
      <c r="AA288" s="194"/>
      <c r="AB288" s="194"/>
      <c r="AC288" s="194"/>
      <c r="AD288" s="194"/>
    </row>
    <row r="289" spans="17:30" x14ac:dyDescent="0.3">
      <c r="Q289" s="194"/>
      <c r="R289" s="194"/>
      <c r="S289" s="194"/>
      <c r="T289" s="194"/>
      <c r="U289" s="194"/>
      <c r="V289" s="194"/>
      <c r="W289" s="194"/>
      <c r="X289" s="194"/>
      <c r="Y289" s="194"/>
      <c r="Z289" s="194"/>
      <c r="AA289" s="194"/>
      <c r="AB289" s="194"/>
      <c r="AC289" s="194"/>
      <c r="AD289" s="194"/>
    </row>
    <row r="290" spans="17:30" x14ac:dyDescent="0.3">
      <c r="Q290" s="194"/>
      <c r="R290" s="194"/>
      <c r="S290" s="194"/>
      <c r="T290" s="194"/>
      <c r="U290" s="194"/>
      <c r="V290" s="194"/>
      <c r="W290" s="194"/>
      <c r="X290" s="194"/>
      <c r="Y290" s="194"/>
      <c r="Z290" s="194"/>
      <c r="AA290" s="194"/>
      <c r="AB290" s="194"/>
      <c r="AC290" s="194"/>
      <c r="AD290" s="194"/>
    </row>
    <row r="291" spans="17:30" x14ac:dyDescent="0.3">
      <c r="Q291" s="194"/>
      <c r="R291" s="194"/>
      <c r="S291" s="194"/>
      <c r="T291" s="194"/>
      <c r="U291" s="194"/>
      <c r="V291" s="194"/>
      <c r="W291" s="194"/>
      <c r="X291" s="194"/>
      <c r="Y291" s="194"/>
      <c r="Z291" s="194"/>
      <c r="AA291" s="194"/>
      <c r="AB291" s="194"/>
      <c r="AC291" s="194"/>
      <c r="AD291" s="194"/>
    </row>
    <row r="292" spans="17:30" x14ac:dyDescent="0.3">
      <c r="Q292" s="194"/>
      <c r="R292" s="194"/>
      <c r="S292" s="194"/>
      <c r="T292" s="194"/>
      <c r="U292" s="194"/>
      <c r="V292" s="194"/>
      <c r="W292" s="194"/>
      <c r="X292" s="194"/>
      <c r="Y292" s="194"/>
      <c r="Z292" s="194"/>
      <c r="AA292" s="194"/>
      <c r="AB292" s="194"/>
      <c r="AC292" s="194"/>
      <c r="AD292" s="194"/>
    </row>
    <row r="293" spans="17:30" x14ac:dyDescent="0.3">
      <c r="Q293" s="194"/>
      <c r="R293" s="194"/>
      <c r="S293" s="194"/>
      <c r="T293" s="194"/>
      <c r="U293" s="194"/>
      <c r="V293" s="194"/>
      <c r="W293" s="194"/>
      <c r="X293" s="194"/>
      <c r="Y293" s="194"/>
      <c r="Z293" s="194"/>
      <c r="AA293" s="194"/>
      <c r="AB293" s="194"/>
      <c r="AC293" s="194"/>
      <c r="AD293" s="194"/>
    </row>
    <row r="294" spans="17:30" x14ac:dyDescent="0.3">
      <c r="Q294" s="194"/>
      <c r="R294" s="194"/>
      <c r="S294" s="194"/>
      <c r="T294" s="194"/>
      <c r="U294" s="194"/>
      <c r="V294" s="194"/>
      <c r="W294" s="194"/>
      <c r="X294" s="194"/>
      <c r="Y294" s="194"/>
      <c r="Z294" s="194"/>
      <c r="AA294" s="194"/>
      <c r="AB294" s="194"/>
      <c r="AC294" s="194"/>
      <c r="AD294" s="194"/>
    </row>
    <row r="295" spans="17:30" x14ac:dyDescent="0.3">
      <c r="Q295" s="194"/>
      <c r="R295" s="194"/>
      <c r="S295" s="194"/>
      <c r="T295" s="194"/>
      <c r="U295" s="194"/>
      <c r="V295" s="194"/>
      <c r="W295" s="194"/>
      <c r="X295" s="194"/>
      <c r="Y295" s="194"/>
      <c r="Z295" s="194"/>
      <c r="AA295" s="194"/>
      <c r="AB295" s="194"/>
      <c r="AC295" s="194"/>
      <c r="AD295" s="194"/>
    </row>
    <row r="296" spans="17:30" x14ac:dyDescent="0.3">
      <c r="Q296" s="194"/>
      <c r="R296" s="194"/>
      <c r="S296" s="194"/>
      <c r="T296" s="194"/>
      <c r="U296" s="194"/>
      <c r="V296" s="194"/>
      <c r="W296" s="194"/>
      <c r="X296" s="194"/>
      <c r="Y296" s="194"/>
      <c r="Z296" s="194"/>
      <c r="AA296" s="194"/>
      <c r="AB296" s="194"/>
      <c r="AC296" s="194"/>
      <c r="AD296" s="194"/>
    </row>
    <row r="297" spans="17:30" x14ac:dyDescent="0.3">
      <c r="Q297" s="194"/>
      <c r="R297" s="194"/>
      <c r="S297" s="194"/>
      <c r="T297" s="194"/>
      <c r="U297" s="194"/>
      <c r="V297" s="194"/>
      <c r="W297" s="194"/>
      <c r="X297" s="194"/>
      <c r="Y297" s="194"/>
      <c r="Z297" s="194"/>
      <c r="AA297" s="194"/>
      <c r="AB297" s="194"/>
      <c r="AC297" s="194"/>
      <c r="AD297" s="194"/>
    </row>
    <row r="298" spans="17:30" x14ac:dyDescent="0.3">
      <c r="Q298" s="194"/>
      <c r="R298" s="194"/>
      <c r="S298" s="194"/>
      <c r="T298" s="194"/>
      <c r="U298" s="194"/>
      <c r="V298" s="194"/>
      <c r="W298" s="194"/>
      <c r="X298" s="194"/>
      <c r="Y298" s="194"/>
      <c r="Z298" s="194"/>
      <c r="AA298" s="194"/>
      <c r="AB298" s="194"/>
      <c r="AC298" s="194"/>
      <c r="AD298" s="194"/>
    </row>
    <row r="299" spans="17:30" x14ac:dyDescent="0.3">
      <c r="Q299" s="194"/>
      <c r="R299" s="194"/>
      <c r="S299" s="194"/>
      <c r="T299" s="194"/>
      <c r="U299" s="194"/>
      <c r="V299" s="194"/>
      <c r="W299" s="194"/>
      <c r="X299" s="194"/>
      <c r="Y299" s="194"/>
      <c r="Z299" s="194"/>
      <c r="AA299" s="194"/>
      <c r="AB299" s="194"/>
      <c r="AC299" s="194"/>
      <c r="AD299" s="194"/>
    </row>
    <row r="300" spans="17:30" x14ac:dyDescent="0.3">
      <c r="Q300" s="194"/>
      <c r="R300" s="194"/>
      <c r="S300" s="194"/>
      <c r="T300" s="194"/>
      <c r="U300" s="194"/>
      <c r="V300" s="194"/>
      <c r="W300" s="194"/>
      <c r="X300" s="194"/>
      <c r="Y300" s="194"/>
      <c r="Z300" s="194"/>
      <c r="AA300" s="194"/>
      <c r="AB300" s="194"/>
      <c r="AC300" s="194"/>
      <c r="AD300" s="194"/>
    </row>
    <row r="301" spans="17:30" x14ac:dyDescent="0.3">
      <c r="Q301" s="194"/>
      <c r="R301" s="194"/>
      <c r="S301" s="194"/>
      <c r="T301" s="194"/>
      <c r="U301" s="194"/>
      <c r="V301" s="194"/>
      <c r="W301" s="194"/>
      <c r="X301" s="194"/>
      <c r="Y301" s="194"/>
      <c r="Z301" s="194"/>
      <c r="AA301" s="194"/>
      <c r="AB301" s="194"/>
      <c r="AC301" s="194"/>
      <c r="AD301" s="194"/>
    </row>
    <row r="302" spans="17:30" x14ac:dyDescent="0.3">
      <c r="Q302" s="194"/>
      <c r="R302" s="194"/>
      <c r="S302" s="194"/>
      <c r="T302" s="194"/>
      <c r="U302" s="194"/>
      <c r="V302" s="194"/>
      <c r="W302" s="194"/>
      <c r="X302" s="194"/>
      <c r="Y302" s="194"/>
      <c r="Z302" s="194"/>
      <c r="AA302" s="194"/>
      <c r="AB302" s="194"/>
      <c r="AC302" s="194"/>
      <c r="AD302" s="194"/>
    </row>
    <row r="303" spans="17:30" x14ac:dyDescent="0.3">
      <c r="Q303" s="194"/>
      <c r="R303" s="194"/>
      <c r="S303" s="194"/>
      <c r="T303" s="194"/>
      <c r="U303" s="194"/>
      <c r="V303" s="194"/>
      <c r="W303" s="194"/>
      <c r="X303" s="194"/>
      <c r="Y303" s="194"/>
      <c r="Z303" s="194"/>
      <c r="AA303" s="194"/>
      <c r="AB303" s="194"/>
      <c r="AC303" s="194"/>
      <c r="AD303" s="194"/>
    </row>
  </sheetData>
  <mergeCells count="105">
    <mergeCell ref="A67:A68"/>
    <mergeCell ref="B67:B68"/>
    <mergeCell ref="A69:A70"/>
    <mergeCell ref="B69:B70"/>
    <mergeCell ref="Q44:AD45"/>
    <mergeCell ref="Q46:AD47"/>
    <mergeCell ref="Q48:AD49"/>
    <mergeCell ref="A61:A62"/>
    <mergeCell ref="B61:B62"/>
    <mergeCell ref="A63:A64"/>
    <mergeCell ref="B63:B64"/>
    <mergeCell ref="A65:A66"/>
    <mergeCell ref="B65:B66"/>
    <mergeCell ref="A55:A56"/>
    <mergeCell ref="B55:B56"/>
    <mergeCell ref="C55:P55"/>
    <mergeCell ref="A57:A58"/>
    <mergeCell ref="B57:B58"/>
    <mergeCell ref="A59:A60"/>
    <mergeCell ref="B59:B60"/>
    <mergeCell ref="B44:B45"/>
    <mergeCell ref="A46:A47"/>
    <mergeCell ref="B46:B47"/>
    <mergeCell ref="A48:A49"/>
    <mergeCell ref="A1:A4"/>
    <mergeCell ref="B1:AA1"/>
    <mergeCell ref="AB1:AD1"/>
    <mergeCell ref="B2:AA2"/>
    <mergeCell ref="AB2:AD2"/>
    <mergeCell ref="C15:K15"/>
    <mergeCell ref="B3:AA4"/>
    <mergeCell ref="AB3:AD3"/>
    <mergeCell ref="AB4:AD4"/>
    <mergeCell ref="A11:B13"/>
    <mergeCell ref="D7:H9"/>
    <mergeCell ref="I7:J9"/>
    <mergeCell ref="K7:L9"/>
    <mergeCell ref="O7:P7"/>
    <mergeCell ref="M8:N8"/>
    <mergeCell ref="B30:C30"/>
    <mergeCell ref="Q30:AD30"/>
    <mergeCell ref="A31:AD31"/>
    <mergeCell ref="A32:A33"/>
    <mergeCell ref="B32:B33"/>
    <mergeCell ref="C32:C33"/>
    <mergeCell ref="O8:P8"/>
    <mergeCell ref="M7:N7"/>
    <mergeCell ref="A7:B9"/>
    <mergeCell ref="C7:C9"/>
    <mergeCell ref="R15:X15"/>
    <mergeCell ref="Y15:Z15"/>
    <mergeCell ref="W17:X17"/>
    <mergeCell ref="Y17:AB17"/>
    <mergeCell ref="A15:B15"/>
    <mergeCell ref="M9:N9"/>
    <mergeCell ref="O9:P9"/>
    <mergeCell ref="R17:V17"/>
    <mergeCell ref="C11:AD13"/>
    <mergeCell ref="L15:Q15"/>
    <mergeCell ref="A24:B24"/>
    <mergeCell ref="A19:AD19"/>
    <mergeCell ref="Q20:AD20"/>
    <mergeCell ref="C20:P20"/>
    <mergeCell ref="A27:AD27"/>
    <mergeCell ref="A23:B23"/>
    <mergeCell ref="A25:B25"/>
    <mergeCell ref="AA15:AD15"/>
    <mergeCell ref="A28:A29"/>
    <mergeCell ref="B28:C29"/>
    <mergeCell ref="D28:O28"/>
    <mergeCell ref="P28:P29"/>
    <mergeCell ref="Q28:AD29"/>
    <mergeCell ref="A22:B22"/>
    <mergeCell ref="AC17:AD17"/>
    <mergeCell ref="C16:AB16"/>
    <mergeCell ref="A17:B17"/>
    <mergeCell ref="C17:Q17"/>
    <mergeCell ref="A34:A35"/>
    <mergeCell ref="B34:B35"/>
    <mergeCell ref="W34:Z35"/>
    <mergeCell ref="AA34:AD35"/>
    <mergeCell ref="Q34:S35"/>
    <mergeCell ref="T34:V35"/>
    <mergeCell ref="D32:P32"/>
    <mergeCell ref="Q32:AD32"/>
    <mergeCell ref="W33:Z33"/>
    <mergeCell ref="AA33:AD33"/>
    <mergeCell ref="Q33:S33"/>
    <mergeCell ref="T33:V33"/>
    <mergeCell ref="B48:B49"/>
    <mergeCell ref="A40:A41"/>
    <mergeCell ref="B40:B41"/>
    <mergeCell ref="A44:A45"/>
    <mergeCell ref="Q40:AD41"/>
    <mergeCell ref="A42:A43"/>
    <mergeCell ref="B42:B43"/>
    <mergeCell ref="Q42:AD43"/>
    <mergeCell ref="A36:A37"/>
    <mergeCell ref="B36:B37"/>
    <mergeCell ref="C36:P36"/>
    <mergeCell ref="Q36:AD36"/>
    <mergeCell ref="Q37:AD37"/>
    <mergeCell ref="A38:A39"/>
    <mergeCell ref="B38:B39"/>
    <mergeCell ref="Q38:AD39"/>
  </mergeCells>
  <phoneticPr fontId="66" type="noConversion"/>
  <dataValidations count="4">
    <dataValidation type="textLength" operator="lessThanOrEqual" allowBlank="1" showInputMessage="1" showErrorMessage="1" errorTitle="Máximo 2.000 caracteres" error="Máximo 2.000 caracteres" sqref="Q38:AD43 AA34 Q34 W34 Q48:AD49" xr:uid="{00000000-0002-0000-0000-000000000000}">
      <formula1>2000</formula1>
    </dataValidation>
    <dataValidation type="textLength" operator="lessThanOrEqual" allowBlank="1" showInputMessage="1" showErrorMessage="1" errorTitle="Máximo 2.000 caracteres" error="Máximo 2.000 caracteres" promptTitle="2.000 caracteres" sqref="Q30:AD30" xr:uid="{00000000-0002-0000-0000-000001000000}">
      <formula1>2000</formula1>
    </dataValidation>
    <dataValidation type="list" allowBlank="1" showInputMessage="1" showErrorMessage="1" sqref="C7:C9" xr:uid="{00000000-0002-0000-0000-000002000000}">
      <formula1>$C$21:$N$21</formula1>
    </dataValidation>
    <dataValidation type="textLength" operator="lessThanOrEqual" allowBlank="1" showInputMessage="1" showErrorMessage="1" errorTitle="Máximo 2.000 caracteres" error="Máximo 2.000 caracteres" sqref="Q44:AD45 T34:V35 Q46:AD47" xr:uid="{00000000-0002-0000-0000-000003000000}">
      <formula1>20000</formula1>
    </dataValidation>
  </dataValidations>
  <printOptions horizontalCentered="1"/>
  <pageMargins left="0.39370078740157483" right="0.39370078740157483" top="0.39370078740157483" bottom="0.39370078740157483" header="0" footer="0"/>
  <pageSetup paperSize="9" scale="19" orientation="landscape" r:id="rId1"/>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7" tint="0.39997558519241921"/>
    <pageSetUpPr fitToPage="1"/>
  </sheetPr>
  <dimension ref="A1:AM40"/>
  <sheetViews>
    <sheetView topLeftCell="H9" zoomScaleNormal="106" workbookViewId="0">
      <selection activeCell="S13" sqref="S13:T13"/>
    </sheetView>
  </sheetViews>
  <sheetFormatPr baseColWidth="10" defaultColWidth="10.6640625" defaultRowHeight="14.4" x14ac:dyDescent="0.3"/>
  <cols>
    <col min="1" max="1" width="38.44140625" style="50" customWidth="1"/>
    <col min="2" max="2" width="15.44140625" style="50" customWidth="1"/>
    <col min="3" max="3" width="16.33203125" style="50" customWidth="1"/>
    <col min="4" max="6" width="7" style="50" customWidth="1"/>
    <col min="7" max="15" width="7.6640625" style="50" customWidth="1"/>
    <col min="16" max="16" width="13.33203125" style="50" customWidth="1"/>
    <col min="17" max="17" width="10.6640625" style="50"/>
    <col min="18" max="18" width="7.44140625" style="50" customWidth="1"/>
    <col min="19" max="20" width="10.6640625" style="50"/>
    <col min="21" max="21" width="13" style="50" customWidth="1"/>
    <col min="22" max="22" width="7.6640625" style="50" customWidth="1"/>
    <col min="23" max="28" width="12.109375" style="50" customWidth="1"/>
    <col min="29" max="29" width="6.33203125" style="50" bestFit="1" customWidth="1"/>
    <col min="30" max="30" width="22.6640625" style="50" customWidth="1"/>
    <col min="31" max="31" width="18.44140625" style="50" bestFit="1" customWidth="1"/>
    <col min="32" max="32" width="8.44140625" style="50" customWidth="1"/>
    <col min="33" max="33" width="18.44140625" style="50" bestFit="1" customWidth="1"/>
    <col min="34" max="34" width="5.6640625" style="50" customWidth="1"/>
    <col min="35" max="35" width="18.44140625" style="50" bestFit="1" customWidth="1"/>
    <col min="36" max="36" width="4.6640625" style="50" customWidth="1"/>
    <col min="37" max="37" width="23" style="50" bestFit="1" customWidth="1"/>
    <col min="38" max="38" width="10.6640625" style="50"/>
    <col min="39" max="39" width="18.44140625" style="50" bestFit="1" customWidth="1"/>
    <col min="40" max="40" width="16.109375" style="50" customWidth="1"/>
    <col min="41" max="16384" width="10.6640625" style="50"/>
  </cols>
  <sheetData>
    <row r="1" spans="1:28" ht="32.25" customHeight="1" x14ac:dyDescent="0.3">
      <c r="A1" s="682"/>
      <c r="B1" s="612" t="s">
        <v>0</v>
      </c>
      <c r="C1" s="613"/>
      <c r="D1" s="613"/>
      <c r="E1" s="613"/>
      <c r="F1" s="613"/>
      <c r="G1" s="613"/>
      <c r="H1" s="613"/>
      <c r="I1" s="613"/>
      <c r="J1" s="613"/>
      <c r="K1" s="613"/>
      <c r="L1" s="613"/>
      <c r="M1" s="613"/>
      <c r="N1" s="613"/>
      <c r="O1" s="613"/>
      <c r="P1" s="613"/>
      <c r="Q1" s="613"/>
      <c r="R1" s="613"/>
      <c r="S1" s="613"/>
      <c r="T1" s="613"/>
      <c r="U1" s="613"/>
      <c r="V1" s="613"/>
      <c r="W1" s="613"/>
      <c r="X1" s="613"/>
      <c r="Y1" s="614"/>
      <c r="Z1" s="716" t="s">
        <v>91</v>
      </c>
      <c r="AA1" s="717"/>
      <c r="AB1" s="718"/>
    </row>
    <row r="2" spans="1:28" ht="30.75" customHeight="1" x14ac:dyDescent="0.3">
      <c r="A2" s="683"/>
      <c r="B2" s="628" t="s">
        <v>2</v>
      </c>
      <c r="C2" s="629"/>
      <c r="D2" s="629"/>
      <c r="E2" s="629"/>
      <c r="F2" s="629"/>
      <c r="G2" s="629"/>
      <c r="H2" s="629"/>
      <c r="I2" s="629"/>
      <c r="J2" s="629"/>
      <c r="K2" s="629"/>
      <c r="L2" s="629"/>
      <c r="M2" s="629"/>
      <c r="N2" s="629"/>
      <c r="O2" s="629"/>
      <c r="P2" s="629"/>
      <c r="Q2" s="629"/>
      <c r="R2" s="629"/>
      <c r="S2" s="629"/>
      <c r="T2" s="629"/>
      <c r="U2" s="629"/>
      <c r="V2" s="629"/>
      <c r="W2" s="629"/>
      <c r="X2" s="629"/>
      <c r="Y2" s="630"/>
      <c r="Z2" s="685" t="s">
        <v>92</v>
      </c>
      <c r="AA2" s="686"/>
      <c r="AB2" s="687"/>
    </row>
    <row r="3" spans="1:28" ht="24" customHeight="1" x14ac:dyDescent="0.3">
      <c r="A3" s="683"/>
      <c r="B3" s="707" t="s">
        <v>4</v>
      </c>
      <c r="C3" s="708"/>
      <c r="D3" s="708"/>
      <c r="E3" s="708"/>
      <c r="F3" s="708"/>
      <c r="G3" s="708"/>
      <c r="H3" s="708"/>
      <c r="I3" s="708"/>
      <c r="J3" s="708"/>
      <c r="K3" s="708"/>
      <c r="L3" s="708"/>
      <c r="M3" s="708"/>
      <c r="N3" s="708"/>
      <c r="O3" s="708"/>
      <c r="P3" s="708"/>
      <c r="Q3" s="708"/>
      <c r="R3" s="708"/>
      <c r="S3" s="708"/>
      <c r="T3" s="708"/>
      <c r="U3" s="708"/>
      <c r="V3" s="708"/>
      <c r="W3" s="708"/>
      <c r="X3" s="708"/>
      <c r="Y3" s="709"/>
      <c r="Z3" s="685" t="s">
        <v>93</v>
      </c>
      <c r="AA3" s="686"/>
      <c r="AB3" s="687"/>
    </row>
    <row r="4" spans="1:28" ht="15.75" customHeight="1" thickBot="1" x14ac:dyDescent="0.35">
      <c r="A4" s="684"/>
      <c r="B4" s="710"/>
      <c r="C4" s="711"/>
      <c r="D4" s="711"/>
      <c r="E4" s="711"/>
      <c r="F4" s="711"/>
      <c r="G4" s="711"/>
      <c r="H4" s="711"/>
      <c r="I4" s="711"/>
      <c r="J4" s="711"/>
      <c r="K4" s="711"/>
      <c r="L4" s="711"/>
      <c r="M4" s="711"/>
      <c r="N4" s="711"/>
      <c r="O4" s="711"/>
      <c r="P4" s="711"/>
      <c r="Q4" s="711"/>
      <c r="R4" s="711"/>
      <c r="S4" s="711"/>
      <c r="T4" s="711"/>
      <c r="U4" s="711"/>
      <c r="V4" s="711"/>
      <c r="W4" s="711"/>
      <c r="X4" s="711"/>
      <c r="Y4" s="712"/>
      <c r="Z4" s="688" t="s">
        <v>6</v>
      </c>
      <c r="AA4" s="689"/>
      <c r="AB4" s="690"/>
    </row>
    <row r="5" spans="1:28" ht="9" customHeight="1" thickBot="1" x14ac:dyDescent="0.35">
      <c r="A5" s="51"/>
      <c r="B5" s="52"/>
      <c r="C5" s="53"/>
      <c r="D5" s="54"/>
      <c r="E5" s="54"/>
      <c r="F5" s="54"/>
      <c r="G5" s="54"/>
      <c r="H5" s="54"/>
      <c r="I5" s="54"/>
      <c r="J5" s="54"/>
      <c r="K5" s="54"/>
      <c r="L5" s="54"/>
      <c r="M5" s="54"/>
      <c r="N5" s="54"/>
      <c r="O5" s="54"/>
      <c r="P5" s="54"/>
      <c r="Q5" s="54"/>
      <c r="R5" s="54"/>
      <c r="S5" s="54"/>
      <c r="T5" s="54"/>
      <c r="U5" s="54"/>
      <c r="V5" s="54"/>
      <c r="W5" s="54"/>
      <c r="X5" s="55"/>
      <c r="Y5" s="54"/>
      <c r="Z5" s="56"/>
      <c r="AA5" s="57"/>
      <c r="AB5" s="58"/>
    </row>
    <row r="6" spans="1:28" ht="9" customHeight="1" thickBot="1" x14ac:dyDescent="0.35">
      <c r="A6" s="59"/>
      <c r="B6" s="54"/>
      <c r="C6" s="54"/>
      <c r="D6" s="54"/>
      <c r="E6" s="54"/>
      <c r="F6" s="54"/>
      <c r="G6" s="54"/>
      <c r="H6" s="54"/>
      <c r="I6" s="54"/>
      <c r="J6" s="54"/>
      <c r="K6" s="54"/>
      <c r="L6" s="54"/>
      <c r="M6" s="54"/>
      <c r="N6" s="54"/>
      <c r="O6" s="54"/>
      <c r="P6" s="54"/>
      <c r="Q6" s="54"/>
      <c r="R6" s="54"/>
      <c r="S6" s="54"/>
      <c r="T6" s="54"/>
      <c r="U6" s="54"/>
      <c r="V6" s="54"/>
      <c r="W6" s="54"/>
      <c r="X6" s="55"/>
      <c r="Y6" s="54"/>
      <c r="Z6" s="54"/>
      <c r="AA6" s="60"/>
      <c r="AB6" s="61"/>
    </row>
    <row r="7" spans="1:28" ht="15" customHeight="1" x14ac:dyDescent="0.3">
      <c r="A7" s="694" t="s">
        <v>15</v>
      </c>
      <c r="B7" s="695"/>
      <c r="C7" s="713"/>
      <c r="D7" s="714"/>
      <c r="E7" s="714"/>
      <c r="F7" s="714"/>
      <c r="G7" s="714"/>
      <c r="H7" s="714"/>
      <c r="I7" s="714"/>
      <c r="J7" s="714"/>
      <c r="K7" s="715"/>
      <c r="L7" s="62"/>
      <c r="M7" s="63"/>
      <c r="N7" s="63"/>
      <c r="O7" s="63"/>
      <c r="P7" s="63"/>
      <c r="Q7" s="64"/>
      <c r="R7" s="589" t="s">
        <v>9</v>
      </c>
      <c r="S7" s="691"/>
      <c r="T7" s="590"/>
      <c r="U7" s="583" t="s">
        <v>94</v>
      </c>
      <c r="V7" s="584"/>
      <c r="W7" s="589" t="s">
        <v>10</v>
      </c>
      <c r="X7" s="590"/>
      <c r="Y7" s="578" t="s">
        <v>11</v>
      </c>
      <c r="Z7" s="579"/>
      <c r="AA7" s="703"/>
      <c r="AB7" s="704"/>
    </row>
    <row r="8" spans="1:28" ht="15" customHeight="1" x14ac:dyDescent="0.3">
      <c r="A8" s="698"/>
      <c r="B8" s="699"/>
      <c r="C8" s="707"/>
      <c r="D8" s="708"/>
      <c r="E8" s="708"/>
      <c r="F8" s="708"/>
      <c r="G8" s="708"/>
      <c r="H8" s="708"/>
      <c r="I8" s="708"/>
      <c r="J8" s="708"/>
      <c r="K8" s="709"/>
      <c r="L8" s="62"/>
      <c r="M8" s="63"/>
      <c r="N8" s="63"/>
      <c r="O8" s="63"/>
      <c r="P8" s="63"/>
      <c r="Q8" s="64"/>
      <c r="R8" s="591"/>
      <c r="S8" s="692"/>
      <c r="T8" s="592"/>
      <c r="U8" s="585"/>
      <c r="V8" s="586"/>
      <c r="W8" s="591"/>
      <c r="X8" s="592"/>
      <c r="Y8" s="569" t="s">
        <v>12</v>
      </c>
      <c r="Z8" s="570"/>
      <c r="AA8" s="719"/>
      <c r="AB8" s="720"/>
    </row>
    <row r="9" spans="1:28" ht="15" customHeight="1" thickBot="1" x14ac:dyDescent="0.35">
      <c r="A9" s="696"/>
      <c r="B9" s="697"/>
      <c r="C9" s="710"/>
      <c r="D9" s="711"/>
      <c r="E9" s="711"/>
      <c r="F9" s="711"/>
      <c r="G9" s="711"/>
      <c r="H9" s="711"/>
      <c r="I9" s="711"/>
      <c r="J9" s="711"/>
      <c r="K9" s="712"/>
      <c r="L9" s="62"/>
      <c r="M9" s="63"/>
      <c r="N9" s="63"/>
      <c r="O9" s="63"/>
      <c r="P9" s="63"/>
      <c r="Q9" s="64"/>
      <c r="R9" s="593"/>
      <c r="S9" s="693"/>
      <c r="T9" s="594"/>
      <c r="U9" s="587"/>
      <c r="V9" s="588"/>
      <c r="W9" s="593"/>
      <c r="X9" s="594"/>
      <c r="Y9" s="705" t="s">
        <v>13</v>
      </c>
      <c r="Z9" s="706"/>
      <c r="AA9" s="721"/>
      <c r="AB9" s="722"/>
    </row>
    <row r="10" spans="1:28" ht="9" customHeight="1" thickBot="1" x14ac:dyDescent="0.35">
      <c r="A10" s="67"/>
      <c r="B10" s="68"/>
      <c r="C10" s="69"/>
      <c r="D10" s="69"/>
      <c r="E10" s="69"/>
      <c r="F10" s="69"/>
      <c r="G10" s="69"/>
      <c r="H10" s="69"/>
      <c r="I10" s="69"/>
      <c r="J10" s="69"/>
      <c r="K10" s="69"/>
      <c r="L10" s="69"/>
      <c r="M10" s="70"/>
      <c r="N10" s="70"/>
      <c r="O10" s="70"/>
      <c r="P10" s="70"/>
      <c r="Q10" s="70"/>
      <c r="R10" s="71"/>
      <c r="S10" s="71"/>
      <c r="T10" s="71"/>
      <c r="U10" s="71"/>
      <c r="V10" s="71"/>
      <c r="W10" s="65"/>
      <c r="X10" s="65"/>
      <c r="Y10" s="65"/>
      <c r="Z10" s="65"/>
      <c r="AA10" s="65"/>
      <c r="AB10" s="66"/>
    </row>
    <row r="11" spans="1:28" ht="39" customHeight="1" thickBot="1" x14ac:dyDescent="0.35">
      <c r="A11" s="595" t="s">
        <v>17</v>
      </c>
      <c r="B11" s="596"/>
      <c r="C11" s="597"/>
      <c r="D11" s="598"/>
      <c r="E11" s="598"/>
      <c r="F11" s="598"/>
      <c r="G11" s="598"/>
      <c r="H11" s="598"/>
      <c r="I11" s="598"/>
      <c r="J11" s="598"/>
      <c r="K11" s="599"/>
      <c r="L11" s="72"/>
      <c r="M11" s="649" t="s">
        <v>19</v>
      </c>
      <c r="N11" s="650"/>
      <c r="O11" s="650"/>
      <c r="P11" s="650"/>
      <c r="Q11" s="651"/>
      <c r="R11" s="700"/>
      <c r="S11" s="701"/>
      <c r="T11" s="701"/>
      <c r="U11" s="701"/>
      <c r="V11" s="702"/>
      <c r="W11" s="649" t="s">
        <v>21</v>
      </c>
      <c r="X11" s="651"/>
      <c r="Y11" s="632"/>
      <c r="Z11" s="633"/>
      <c r="AA11" s="633"/>
      <c r="AB11" s="634"/>
    </row>
    <row r="12" spans="1:28" ht="9" customHeight="1" thickBot="1" x14ac:dyDescent="0.35">
      <c r="A12" s="59"/>
      <c r="B12" s="54"/>
      <c r="C12" s="571"/>
      <c r="D12" s="571"/>
      <c r="E12" s="571"/>
      <c r="F12" s="571"/>
      <c r="G12" s="571"/>
      <c r="H12" s="571"/>
      <c r="I12" s="571"/>
      <c r="J12" s="571"/>
      <c r="K12" s="571"/>
      <c r="L12" s="571"/>
      <c r="M12" s="571"/>
      <c r="N12" s="571"/>
      <c r="O12" s="571"/>
      <c r="P12" s="571"/>
      <c r="Q12" s="571"/>
      <c r="R12" s="571"/>
      <c r="S12" s="571"/>
      <c r="T12" s="571"/>
      <c r="U12" s="571"/>
      <c r="V12" s="571"/>
      <c r="W12" s="571"/>
      <c r="X12" s="571"/>
      <c r="Y12" s="571"/>
      <c r="Z12" s="571"/>
      <c r="AA12" s="73"/>
      <c r="AB12" s="74"/>
    </row>
    <row r="13" spans="1:28" s="76" customFormat="1" ht="37.5" customHeight="1" thickBot="1" x14ac:dyDescent="0.35">
      <c r="A13" s="595" t="s">
        <v>23</v>
      </c>
      <c r="B13" s="596"/>
      <c r="C13" s="676"/>
      <c r="D13" s="677"/>
      <c r="E13" s="677"/>
      <c r="F13" s="677"/>
      <c r="G13" s="677"/>
      <c r="H13" s="677"/>
      <c r="I13" s="677"/>
      <c r="J13" s="677"/>
      <c r="K13" s="677"/>
      <c r="L13" s="677"/>
      <c r="M13" s="677"/>
      <c r="N13" s="677"/>
      <c r="O13" s="677"/>
      <c r="P13" s="677"/>
      <c r="Q13" s="678"/>
      <c r="R13" s="54"/>
      <c r="S13" s="631" t="s">
        <v>95</v>
      </c>
      <c r="T13" s="631"/>
      <c r="U13" s="75"/>
      <c r="V13" s="591" t="s">
        <v>26</v>
      </c>
      <c r="W13" s="631"/>
      <c r="X13" s="631"/>
      <c r="Y13" s="631"/>
      <c r="Z13" s="54"/>
      <c r="AA13" s="657"/>
      <c r="AB13" s="658"/>
    </row>
    <row r="14" spans="1:28" ht="16.5" customHeight="1" thickBot="1" x14ac:dyDescent="0.35">
      <c r="A14" s="77"/>
      <c r="B14" s="78"/>
      <c r="C14" s="78"/>
      <c r="D14" s="78"/>
      <c r="E14" s="78"/>
      <c r="F14" s="78"/>
      <c r="G14" s="78"/>
      <c r="H14" s="78"/>
      <c r="I14" s="78"/>
      <c r="J14" s="78"/>
      <c r="K14" s="78"/>
      <c r="L14" s="78"/>
      <c r="M14" s="78"/>
      <c r="N14" s="78"/>
      <c r="O14" s="78"/>
      <c r="P14" s="78"/>
      <c r="Q14" s="78"/>
      <c r="R14" s="78"/>
      <c r="S14" s="78"/>
      <c r="T14" s="78"/>
      <c r="U14" s="78"/>
      <c r="V14" s="78"/>
      <c r="W14" s="78"/>
      <c r="X14" s="78"/>
      <c r="Y14" s="78"/>
      <c r="Z14" s="78"/>
      <c r="AA14" s="78"/>
      <c r="AB14" s="79"/>
    </row>
    <row r="15" spans="1:28" ht="24" customHeight="1" thickBot="1" x14ac:dyDescent="0.35">
      <c r="A15" s="694" t="s">
        <v>7</v>
      </c>
      <c r="B15" s="695"/>
      <c r="C15" s="672" t="s">
        <v>96</v>
      </c>
      <c r="D15" s="80"/>
      <c r="E15" s="80"/>
      <c r="F15" s="80"/>
      <c r="G15" s="80"/>
      <c r="H15" s="80"/>
      <c r="I15" s="80"/>
      <c r="J15" s="70"/>
      <c r="K15" s="81"/>
      <c r="L15" s="70"/>
      <c r="M15" s="60"/>
      <c r="N15" s="60"/>
      <c r="O15" s="60"/>
      <c r="P15" s="60"/>
      <c r="Q15" s="654" t="s">
        <v>27</v>
      </c>
      <c r="R15" s="655"/>
      <c r="S15" s="655"/>
      <c r="T15" s="655"/>
      <c r="U15" s="655"/>
      <c r="V15" s="655"/>
      <c r="W15" s="655"/>
      <c r="X15" s="655"/>
      <c r="Y15" s="655"/>
      <c r="Z15" s="655"/>
      <c r="AA15" s="655"/>
      <c r="AB15" s="656"/>
    </row>
    <row r="16" spans="1:28" ht="35.25" customHeight="1" thickBot="1" x14ac:dyDescent="0.35">
      <c r="A16" s="696"/>
      <c r="B16" s="697"/>
      <c r="C16" s="673"/>
      <c r="D16" s="80"/>
      <c r="E16" s="80"/>
      <c r="F16" s="80"/>
      <c r="G16" s="80"/>
      <c r="H16" s="80"/>
      <c r="I16" s="80"/>
      <c r="J16" s="70"/>
      <c r="K16" s="70"/>
      <c r="L16" s="70"/>
      <c r="M16" s="60"/>
      <c r="N16" s="60"/>
      <c r="O16" s="60"/>
      <c r="P16" s="60"/>
      <c r="Q16" s="647" t="s">
        <v>97</v>
      </c>
      <c r="R16" s="581"/>
      <c r="S16" s="581"/>
      <c r="T16" s="581"/>
      <c r="U16" s="581"/>
      <c r="V16" s="648"/>
      <c r="W16" s="580" t="s">
        <v>98</v>
      </c>
      <c r="X16" s="581"/>
      <c r="Y16" s="581"/>
      <c r="Z16" s="581"/>
      <c r="AA16" s="581"/>
      <c r="AB16" s="582"/>
    </row>
    <row r="17" spans="1:39" ht="27" customHeight="1" x14ac:dyDescent="0.3">
      <c r="A17" s="82"/>
      <c r="B17" s="60"/>
      <c r="C17" s="60"/>
      <c r="D17" s="80"/>
      <c r="E17" s="80"/>
      <c r="F17" s="80"/>
      <c r="G17" s="80"/>
      <c r="H17" s="80"/>
      <c r="I17" s="80"/>
      <c r="J17" s="80"/>
      <c r="K17" s="80"/>
      <c r="L17" s="80"/>
      <c r="M17" s="60"/>
      <c r="N17" s="60"/>
      <c r="O17" s="60"/>
      <c r="P17" s="60"/>
      <c r="Q17" s="603" t="s">
        <v>99</v>
      </c>
      <c r="R17" s="604"/>
      <c r="S17" s="605"/>
      <c r="T17" s="609" t="s">
        <v>100</v>
      </c>
      <c r="U17" s="610"/>
      <c r="V17" s="611"/>
      <c r="W17" s="723" t="s">
        <v>99</v>
      </c>
      <c r="X17" s="605"/>
      <c r="Y17" s="723" t="s">
        <v>101</v>
      </c>
      <c r="Z17" s="605"/>
      <c r="AA17" s="609" t="s">
        <v>102</v>
      </c>
      <c r="AB17" s="724"/>
      <c r="AC17" s="83"/>
      <c r="AD17" s="83"/>
    </row>
    <row r="18" spans="1:39" ht="27" customHeight="1" x14ac:dyDescent="0.3">
      <c r="A18" s="82"/>
      <c r="B18" s="60"/>
      <c r="C18" s="60"/>
      <c r="D18" s="80"/>
      <c r="E18" s="80"/>
      <c r="F18" s="80"/>
      <c r="G18" s="80"/>
      <c r="H18" s="80"/>
      <c r="I18" s="80"/>
      <c r="J18" s="80"/>
      <c r="K18" s="80"/>
      <c r="L18" s="80"/>
      <c r="M18" s="60"/>
      <c r="N18" s="60"/>
      <c r="O18" s="60"/>
      <c r="P18" s="60"/>
      <c r="Q18" s="140"/>
      <c r="R18" s="141"/>
      <c r="S18" s="142"/>
      <c r="T18" s="609"/>
      <c r="U18" s="610"/>
      <c r="V18" s="611"/>
      <c r="W18" s="134"/>
      <c r="X18" s="135"/>
      <c r="Y18" s="134"/>
      <c r="Z18" s="135"/>
      <c r="AA18" s="136"/>
      <c r="AB18" s="137"/>
      <c r="AC18" s="83"/>
      <c r="AD18" s="83"/>
    </row>
    <row r="19" spans="1:39" ht="18" customHeight="1" thickBot="1" x14ac:dyDescent="0.35">
      <c r="A19" s="59"/>
      <c r="B19" s="54"/>
      <c r="C19" s="80"/>
      <c r="D19" s="80"/>
      <c r="E19" s="80"/>
      <c r="F19" s="80"/>
      <c r="G19" s="84"/>
      <c r="H19" s="84"/>
      <c r="I19" s="84"/>
      <c r="J19" s="84"/>
      <c r="K19" s="84"/>
      <c r="L19" s="84"/>
      <c r="M19" s="80"/>
      <c r="N19" s="80"/>
      <c r="O19" s="80"/>
      <c r="P19" s="80"/>
      <c r="Q19" s="600"/>
      <c r="R19" s="601"/>
      <c r="S19" s="602"/>
      <c r="T19" s="608"/>
      <c r="U19" s="601"/>
      <c r="V19" s="602"/>
      <c r="W19" s="659"/>
      <c r="X19" s="660"/>
      <c r="Y19" s="731"/>
      <c r="Z19" s="732"/>
      <c r="AA19" s="606"/>
      <c r="AB19" s="607"/>
      <c r="AC19" s="3"/>
      <c r="AD19" s="3"/>
    </row>
    <row r="20" spans="1:39" ht="7.5" customHeight="1" thickBot="1" x14ac:dyDescent="0.35">
      <c r="A20" s="59"/>
      <c r="B20" s="54"/>
      <c r="C20" s="80"/>
      <c r="D20" s="80"/>
      <c r="E20" s="80"/>
      <c r="F20" s="80"/>
      <c r="G20" s="80"/>
      <c r="H20" s="80"/>
      <c r="I20" s="80"/>
      <c r="J20" s="80"/>
      <c r="K20" s="80"/>
      <c r="L20" s="80"/>
      <c r="M20" s="80"/>
      <c r="N20" s="80"/>
      <c r="O20" s="80"/>
      <c r="P20" s="80"/>
      <c r="Q20" s="80"/>
      <c r="R20" s="80"/>
      <c r="S20" s="80"/>
      <c r="T20" s="80"/>
      <c r="U20" s="80"/>
      <c r="V20" s="80"/>
      <c r="W20" s="80"/>
      <c r="X20" s="80"/>
      <c r="Y20" s="80"/>
      <c r="Z20" s="80"/>
      <c r="AA20" s="60"/>
      <c r="AB20" s="61"/>
    </row>
    <row r="21" spans="1:39" ht="17.25" customHeight="1" x14ac:dyDescent="0.3">
      <c r="A21" s="621" t="s">
        <v>47</v>
      </c>
      <c r="B21" s="622"/>
      <c r="C21" s="623"/>
      <c r="D21" s="623"/>
      <c r="E21" s="623"/>
      <c r="F21" s="623"/>
      <c r="G21" s="623"/>
      <c r="H21" s="623"/>
      <c r="I21" s="623"/>
      <c r="J21" s="623"/>
      <c r="K21" s="623"/>
      <c r="L21" s="623"/>
      <c r="M21" s="623"/>
      <c r="N21" s="623"/>
      <c r="O21" s="623"/>
      <c r="P21" s="623"/>
      <c r="Q21" s="623"/>
      <c r="R21" s="623"/>
      <c r="S21" s="623"/>
      <c r="T21" s="623"/>
      <c r="U21" s="623"/>
      <c r="V21" s="623"/>
      <c r="W21" s="623"/>
      <c r="X21" s="623"/>
      <c r="Y21" s="623"/>
      <c r="Z21" s="623"/>
      <c r="AA21" s="623"/>
      <c r="AB21" s="624"/>
    </row>
    <row r="22" spans="1:39" ht="15" customHeight="1" x14ac:dyDescent="0.3">
      <c r="A22" s="729" t="s">
        <v>48</v>
      </c>
      <c r="B22" s="574" t="s">
        <v>49</v>
      </c>
      <c r="C22" s="575"/>
      <c r="D22" s="643" t="s">
        <v>103</v>
      </c>
      <c r="E22" s="644"/>
      <c r="F22" s="644"/>
      <c r="G22" s="644"/>
      <c r="H22" s="644"/>
      <c r="I22" s="644"/>
      <c r="J22" s="644"/>
      <c r="K22" s="644"/>
      <c r="L22" s="644"/>
      <c r="M22" s="644"/>
      <c r="N22" s="644"/>
      <c r="O22" s="626"/>
      <c r="P22" s="625" t="s">
        <v>41</v>
      </c>
      <c r="Q22" s="625" t="s">
        <v>51</v>
      </c>
      <c r="R22" s="625"/>
      <c r="S22" s="625"/>
      <c r="T22" s="625"/>
      <c r="U22" s="625"/>
      <c r="V22" s="625"/>
      <c r="W22" s="625"/>
      <c r="X22" s="625"/>
      <c r="Y22" s="625"/>
      <c r="Z22" s="625"/>
      <c r="AA22" s="625"/>
      <c r="AB22" s="645"/>
    </row>
    <row r="23" spans="1:39" ht="27" customHeight="1" x14ac:dyDescent="0.3">
      <c r="A23" s="730"/>
      <c r="B23" s="576"/>
      <c r="C23" s="577"/>
      <c r="D23" s="88" t="s">
        <v>30</v>
      </c>
      <c r="E23" s="88" t="s">
        <v>31</v>
      </c>
      <c r="F23" s="88" t="s">
        <v>32</v>
      </c>
      <c r="G23" s="88" t="s">
        <v>33</v>
      </c>
      <c r="H23" s="88" t="s">
        <v>34</v>
      </c>
      <c r="I23" s="88" t="s">
        <v>35</v>
      </c>
      <c r="J23" s="88" t="s">
        <v>36</v>
      </c>
      <c r="K23" s="88" t="s">
        <v>37</v>
      </c>
      <c r="L23" s="88" t="s">
        <v>8</v>
      </c>
      <c r="M23" s="88" t="s">
        <v>38</v>
      </c>
      <c r="N23" s="88" t="s">
        <v>39</v>
      </c>
      <c r="O23" s="88" t="s">
        <v>40</v>
      </c>
      <c r="P23" s="626"/>
      <c r="Q23" s="625"/>
      <c r="R23" s="625"/>
      <c r="S23" s="625"/>
      <c r="T23" s="625"/>
      <c r="U23" s="625"/>
      <c r="V23" s="625"/>
      <c r="W23" s="625"/>
      <c r="X23" s="625"/>
      <c r="Y23" s="625"/>
      <c r="Z23" s="625"/>
      <c r="AA23" s="625"/>
      <c r="AB23" s="645"/>
    </row>
    <row r="24" spans="1:39" ht="42" customHeight="1" thickBot="1" x14ac:dyDescent="0.35">
      <c r="A24" s="85"/>
      <c r="B24" s="725"/>
      <c r="C24" s="726"/>
      <c r="D24" s="89"/>
      <c r="E24" s="89"/>
      <c r="F24" s="89"/>
      <c r="G24" s="89"/>
      <c r="H24" s="89"/>
      <c r="I24" s="89"/>
      <c r="J24" s="89"/>
      <c r="K24" s="89"/>
      <c r="L24" s="89"/>
      <c r="M24" s="89"/>
      <c r="N24" s="89"/>
      <c r="O24" s="89"/>
      <c r="P24" s="86">
        <f>SUM(D24:O24)</f>
        <v>0</v>
      </c>
      <c r="Q24" s="738" t="s">
        <v>104</v>
      </c>
      <c r="R24" s="738"/>
      <c r="S24" s="738"/>
      <c r="T24" s="738"/>
      <c r="U24" s="738"/>
      <c r="V24" s="738"/>
      <c r="W24" s="738"/>
      <c r="X24" s="738"/>
      <c r="Y24" s="738"/>
      <c r="Z24" s="738"/>
      <c r="AA24" s="738"/>
      <c r="AB24" s="739"/>
    </row>
    <row r="25" spans="1:39" ht="21.75" customHeight="1" x14ac:dyDescent="0.3">
      <c r="A25" s="735" t="s">
        <v>53</v>
      </c>
      <c r="B25" s="736"/>
      <c r="C25" s="736"/>
      <c r="D25" s="736"/>
      <c r="E25" s="736"/>
      <c r="F25" s="736"/>
      <c r="G25" s="736"/>
      <c r="H25" s="736"/>
      <c r="I25" s="736"/>
      <c r="J25" s="736"/>
      <c r="K25" s="736"/>
      <c r="L25" s="736"/>
      <c r="M25" s="736"/>
      <c r="N25" s="736"/>
      <c r="O25" s="736"/>
      <c r="P25" s="736"/>
      <c r="Q25" s="736"/>
      <c r="R25" s="736"/>
      <c r="S25" s="736"/>
      <c r="T25" s="736"/>
      <c r="U25" s="736"/>
      <c r="V25" s="736"/>
      <c r="W25" s="736"/>
      <c r="X25" s="736"/>
      <c r="Y25" s="736"/>
      <c r="Z25" s="736"/>
      <c r="AA25" s="736"/>
      <c r="AB25" s="737"/>
    </row>
    <row r="26" spans="1:39" ht="23.1" customHeight="1" x14ac:dyDescent="0.3">
      <c r="A26" s="727" t="s">
        <v>54</v>
      </c>
      <c r="B26" s="625" t="s">
        <v>55</v>
      </c>
      <c r="C26" s="625" t="s">
        <v>49</v>
      </c>
      <c r="D26" s="625" t="s">
        <v>56</v>
      </c>
      <c r="E26" s="625"/>
      <c r="F26" s="625"/>
      <c r="G26" s="625"/>
      <c r="H26" s="625"/>
      <c r="I26" s="625"/>
      <c r="J26" s="625"/>
      <c r="K26" s="625"/>
      <c r="L26" s="625"/>
      <c r="M26" s="625"/>
      <c r="N26" s="625"/>
      <c r="O26" s="625"/>
      <c r="P26" s="625"/>
      <c r="Q26" s="625" t="s">
        <v>57</v>
      </c>
      <c r="R26" s="625"/>
      <c r="S26" s="625"/>
      <c r="T26" s="625"/>
      <c r="U26" s="625"/>
      <c r="V26" s="625"/>
      <c r="W26" s="625"/>
      <c r="X26" s="625"/>
      <c r="Y26" s="625"/>
      <c r="Z26" s="625"/>
      <c r="AA26" s="625"/>
      <c r="AB26" s="645"/>
      <c r="AE26" s="87"/>
      <c r="AF26" s="87"/>
      <c r="AG26" s="87"/>
      <c r="AH26" s="87"/>
      <c r="AI26" s="87"/>
      <c r="AJ26" s="87"/>
      <c r="AK26" s="87"/>
      <c r="AL26" s="87"/>
      <c r="AM26" s="87"/>
    </row>
    <row r="27" spans="1:39" ht="23.1" customHeight="1" x14ac:dyDescent="0.3">
      <c r="A27" s="727"/>
      <c r="B27" s="625"/>
      <c r="C27" s="728"/>
      <c r="D27" s="88" t="s">
        <v>30</v>
      </c>
      <c r="E27" s="88" t="s">
        <v>31</v>
      </c>
      <c r="F27" s="88" t="s">
        <v>32</v>
      </c>
      <c r="G27" s="88" t="s">
        <v>33</v>
      </c>
      <c r="H27" s="88" t="s">
        <v>34</v>
      </c>
      <c r="I27" s="88" t="s">
        <v>35</v>
      </c>
      <c r="J27" s="88" t="s">
        <v>36</v>
      </c>
      <c r="K27" s="88" t="s">
        <v>37</v>
      </c>
      <c r="L27" s="88" t="s">
        <v>8</v>
      </c>
      <c r="M27" s="88" t="s">
        <v>38</v>
      </c>
      <c r="N27" s="88" t="s">
        <v>39</v>
      </c>
      <c r="O27" s="88" t="s">
        <v>40</v>
      </c>
      <c r="P27" s="88" t="s">
        <v>41</v>
      </c>
      <c r="Q27" s="576" t="s">
        <v>105</v>
      </c>
      <c r="R27" s="646"/>
      <c r="S27" s="646"/>
      <c r="T27" s="577"/>
      <c r="U27" s="576" t="s">
        <v>60</v>
      </c>
      <c r="V27" s="646"/>
      <c r="W27" s="646"/>
      <c r="X27" s="577"/>
      <c r="Y27" s="576" t="s">
        <v>61</v>
      </c>
      <c r="Z27" s="646"/>
      <c r="AA27" s="646"/>
      <c r="AB27" s="661"/>
      <c r="AE27" s="87"/>
      <c r="AF27" s="87"/>
      <c r="AG27" s="87"/>
      <c r="AH27" s="87"/>
      <c r="AI27" s="87"/>
      <c r="AJ27" s="87"/>
      <c r="AK27" s="87"/>
      <c r="AL27" s="87"/>
      <c r="AM27" s="87"/>
    </row>
    <row r="28" spans="1:39" ht="33" customHeight="1" x14ac:dyDescent="0.3">
      <c r="A28" s="733"/>
      <c r="B28" s="572"/>
      <c r="C28" s="90" t="s">
        <v>62</v>
      </c>
      <c r="D28" s="89"/>
      <c r="E28" s="89"/>
      <c r="F28" s="89"/>
      <c r="G28" s="89"/>
      <c r="H28" s="89"/>
      <c r="I28" s="89"/>
      <c r="J28" s="89"/>
      <c r="K28" s="89"/>
      <c r="L28" s="89"/>
      <c r="M28" s="89"/>
      <c r="N28" s="89"/>
      <c r="O28" s="89"/>
      <c r="P28" s="138">
        <f>SUM(D28:O28)</f>
        <v>0</v>
      </c>
      <c r="Q28" s="635" t="s">
        <v>106</v>
      </c>
      <c r="R28" s="636"/>
      <c r="S28" s="636"/>
      <c r="T28" s="637"/>
      <c r="U28" s="635" t="s">
        <v>107</v>
      </c>
      <c r="V28" s="636"/>
      <c r="W28" s="636"/>
      <c r="X28" s="637"/>
      <c r="Y28" s="635" t="s">
        <v>108</v>
      </c>
      <c r="Z28" s="636"/>
      <c r="AA28" s="636"/>
      <c r="AB28" s="641"/>
      <c r="AE28" s="87"/>
      <c r="AF28" s="87"/>
      <c r="AG28" s="87"/>
      <c r="AH28" s="87"/>
      <c r="AI28" s="87"/>
      <c r="AJ28" s="87"/>
      <c r="AK28" s="87"/>
      <c r="AL28" s="87"/>
      <c r="AM28" s="87"/>
    </row>
    <row r="29" spans="1:39" ht="33.75" customHeight="1" thickBot="1" x14ac:dyDescent="0.35">
      <c r="A29" s="734"/>
      <c r="B29" s="573"/>
      <c r="C29" s="91" t="s">
        <v>63</v>
      </c>
      <c r="D29" s="92"/>
      <c r="E29" s="92"/>
      <c r="F29" s="92"/>
      <c r="G29" s="93"/>
      <c r="H29" s="93"/>
      <c r="I29" s="93"/>
      <c r="J29" s="93"/>
      <c r="K29" s="93"/>
      <c r="L29" s="93"/>
      <c r="M29" s="93"/>
      <c r="N29" s="93"/>
      <c r="O29" s="93"/>
      <c r="P29" s="139">
        <f>SUM(D29:O29)</f>
        <v>0</v>
      </c>
      <c r="Q29" s="638"/>
      <c r="R29" s="639"/>
      <c r="S29" s="639"/>
      <c r="T29" s="640"/>
      <c r="U29" s="638"/>
      <c r="V29" s="639"/>
      <c r="W29" s="639"/>
      <c r="X29" s="640"/>
      <c r="Y29" s="638"/>
      <c r="Z29" s="639"/>
      <c r="AA29" s="639"/>
      <c r="AB29" s="642"/>
      <c r="AC29" s="49"/>
      <c r="AE29" s="87"/>
      <c r="AF29" s="87"/>
      <c r="AG29" s="87"/>
      <c r="AH29" s="87"/>
      <c r="AI29" s="87"/>
      <c r="AJ29" s="87"/>
      <c r="AK29" s="87"/>
      <c r="AL29" s="87"/>
      <c r="AM29" s="87"/>
    </row>
    <row r="30" spans="1:39" ht="26.1" customHeight="1" x14ac:dyDescent="0.3">
      <c r="A30" s="748" t="s">
        <v>64</v>
      </c>
      <c r="B30" s="744" t="s">
        <v>65</v>
      </c>
      <c r="C30" s="627" t="s">
        <v>66</v>
      </c>
      <c r="D30" s="627"/>
      <c r="E30" s="627"/>
      <c r="F30" s="627"/>
      <c r="G30" s="627"/>
      <c r="H30" s="627"/>
      <c r="I30" s="627"/>
      <c r="J30" s="627"/>
      <c r="K30" s="627"/>
      <c r="L30" s="627"/>
      <c r="M30" s="627"/>
      <c r="N30" s="627"/>
      <c r="O30" s="627"/>
      <c r="P30" s="627"/>
      <c r="Q30" s="669" t="s">
        <v>67</v>
      </c>
      <c r="R30" s="670"/>
      <c r="S30" s="670"/>
      <c r="T30" s="670"/>
      <c r="U30" s="670"/>
      <c r="V30" s="670"/>
      <c r="W30" s="670"/>
      <c r="X30" s="670"/>
      <c r="Y30" s="670"/>
      <c r="Z30" s="670"/>
      <c r="AA30" s="670"/>
      <c r="AB30" s="671"/>
      <c r="AE30" s="87"/>
      <c r="AF30" s="87"/>
      <c r="AG30" s="87"/>
      <c r="AH30" s="87"/>
      <c r="AI30" s="87"/>
      <c r="AJ30" s="87"/>
      <c r="AK30" s="87"/>
      <c r="AL30" s="87"/>
      <c r="AM30" s="87"/>
    </row>
    <row r="31" spans="1:39" ht="26.1" customHeight="1" x14ac:dyDescent="0.3">
      <c r="A31" s="727"/>
      <c r="B31" s="745"/>
      <c r="C31" s="88" t="s">
        <v>68</v>
      </c>
      <c r="D31" s="88" t="s">
        <v>69</v>
      </c>
      <c r="E31" s="88" t="s">
        <v>70</v>
      </c>
      <c r="F31" s="88" t="s">
        <v>71</v>
      </c>
      <c r="G31" s="88" t="s">
        <v>72</v>
      </c>
      <c r="H31" s="88" t="s">
        <v>73</v>
      </c>
      <c r="I31" s="88" t="s">
        <v>74</v>
      </c>
      <c r="J31" s="88" t="s">
        <v>75</v>
      </c>
      <c r="K31" s="88" t="s">
        <v>76</v>
      </c>
      <c r="L31" s="88" t="s">
        <v>77</v>
      </c>
      <c r="M31" s="88" t="s">
        <v>78</v>
      </c>
      <c r="N31" s="88" t="s">
        <v>79</v>
      </c>
      <c r="O31" s="88" t="s">
        <v>80</v>
      </c>
      <c r="P31" s="88" t="s">
        <v>81</v>
      </c>
      <c r="Q31" s="643" t="s">
        <v>82</v>
      </c>
      <c r="R31" s="644"/>
      <c r="S31" s="644"/>
      <c r="T31" s="644"/>
      <c r="U31" s="644"/>
      <c r="V31" s="644"/>
      <c r="W31" s="644"/>
      <c r="X31" s="644"/>
      <c r="Y31" s="644"/>
      <c r="Z31" s="644"/>
      <c r="AA31" s="644"/>
      <c r="AB31" s="662"/>
      <c r="AE31" s="94"/>
      <c r="AF31" s="94"/>
      <c r="AG31" s="94"/>
      <c r="AH31" s="94"/>
      <c r="AI31" s="94"/>
      <c r="AJ31" s="94"/>
      <c r="AK31" s="94"/>
      <c r="AL31" s="94"/>
      <c r="AM31" s="94"/>
    </row>
    <row r="32" spans="1:39" ht="28.5" customHeight="1" x14ac:dyDescent="0.3">
      <c r="A32" s="746"/>
      <c r="B32" s="742"/>
      <c r="C32" s="90" t="s">
        <v>62</v>
      </c>
      <c r="D32" s="95"/>
      <c r="E32" s="95"/>
      <c r="F32" s="95"/>
      <c r="G32" s="95"/>
      <c r="H32" s="95"/>
      <c r="I32" s="95"/>
      <c r="J32" s="95"/>
      <c r="K32" s="95"/>
      <c r="L32" s="95"/>
      <c r="M32" s="95"/>
      <c r="N32" s="95"/>
      <c r="O32" s="95"/>
      <c r="P32" s="96">
        <f t="shared" ref="P32:P39" si="0">SUM(D32:O32)</f>
        <v>0</v>
      </c>
      <c r="Q32" s="663" t="s">
        <v>109</v>
      </c>
      <c r="R32" s="664"/>
      <c r="S32" s="664"/>
      <c r="T32" s="664"/>
      <c r="U32" s="664"/>
      <c r="V32" s="664"/>
      <c r="W32" s="664"/>
      <c r="X32" s="664"/>
      <c r="Y32" s="664"/>
      <c r="Z32" s="664"/>
      <c r="AA32" s="664"/>
      <c r="AB32" s="665"/>
      <c r="AC32" s="97"/>
      <c r="AE32" s="98"/>
      <c r="AF32" s="98"/>
      <c r="AG32" s="98"/>
      <c r="AH32" s="98"/>
      <c r="AI32" s="98"/>
      <c r="AJ32" s="98"/>
      <c r="AK32" s="98"/>
      <c r="AL32" s="98"/>
      <c r="AM32" s="98"/>
    </row>
    <row r="33" spans="1:29" ht="28.5" customHeight="1" x14ac:dyDescent="0.3">
      <c r="A33" s="747"/>
      <c r="B33" s="743"/>
      <c r="C33" s="99" t="s">
        <v>63</v>
      </c>
      <c r="D33" s="100"/>
      <c r="E33" s="100"/>
      <c r="F33" s="100"/>
      <c r="G33" s="100"/>
      <c r="H33" s="100"/>
      <c r="I33" s="100"/>
      <c r="J33" s="100"/>
      <c r="K33" s="100"/>
      <c r="L33" s="100"/>
      <c r="M33" s="100"/>
      <c r="N33" s="100"/>
      <c r="O33" s="100"/>
      <c r="P33" s="101">
        <f t="shared" si="0"/>
        <v>0</v>
      </c>
      <c r="Q33" s="666"/>
      <c r="R33" s="667"/>
      <c r="S33" s="667"/>
      <c r="T33" s="667"/>
      <c r="U33" s="667"/>
      <c r="V33" s="667"/>
      <c r="W33" s="667"/>
      <c r="X33" s="667"/>
      <c r="Y33" s="667"/>
      <c r="Z33" s="667"/>
      <c r="AA33" s="667"/>
      <c r="AB33" s="668"/>
      <c r="AC33" s="97"/>
    </row>
    <row r="34" spans="1:29" ht="28.5" customHeight="1" x14ac:dyDescent="0.3">
      <c r="A34" s="747"/>
      <c r="B34" s="674"/>
      <c r="C34" s="102" t="s">
        <v>62</v>
      </c>
      <c r="D34" s="103"/>
      <c r="E34" s="103"/>
      <c r="F34" s="103"/>
      <c r="G34" s="103"/>
      <c r="H34" s="103"/>
      <c r="I34" s="103"/>
      <c r="J34" s="103"/>
      <c r="K34" s="103"/>
      <c r="L34" s="103"/>
      <c r="M34" s="103"/>
      <c r="N34" s="103"/>
      <c r="O34" s="103"/>
      <c r="P34" s="101">
        <f t="shared" si="0"/>
        <v>0</v>
      </c>
      <c r="Q34" s="615"/>
      <c r="R34" s="616"/>
      <c r="S34" s="616"/>
      <c r="T34" s="616"/>
      <c r="U34" s="616"/>
      <c r="V34" s="616"/>
      <c r="W34" s="616"/>
      <c r="X34" s="616"/>
      <c r="Y34" s="616"/>
      <c r="Z34" s="616"/>
      <c r="AA34" s="616"/>
      <c r="AB34" s="617"/>
      <c r="AC34" s="97"/>
    </row>
    <row r="35" spans="1:29" ht="28.5" customHeight="1" x14ac:dyDescent="0.3">
      <c r="A35" s="747"/>
      <c r="B35" s="743"/>
      <c r="C35" s="99" t="s">
        <v>63</v>
      </c>
      <c r="D35" s="100"/>
      <c r="E35" s="100"/>
      <c r="F35" s="100"/>
      <c r="G35" s="100"/>
      <c r="H35" s="100"/>
      <c r="I35" s="100"/>
      <c r="J35" s="100"/>
      <c r="K35" s="100"/>
      <c r="L35" s="104"/>
      <c r="M35" s="104"/>
      <c r="N35" s="104"/>
      <c r="O35" s="104"/>
      <c r="P35" s="101">
        <f t="shared" si="0"/>
        <v>0</v>
      </c>
      <c r="Q35" s="618"/>
      <c r="R35" s="619"/>
      <c r="S35" s="619"/>
      <c r="T35" s="619"/>
      <c r="U35" s="619"/>
      <c r="V35" s="619"/>
      <c r="W35" s="619"/>
      <c r="X35" s="619"/>
      <c r="Y35" s="619"/>
      <c r="Z35" s="619"/>
      <c r="AA35" s="619"/>
      <c r="AB35" s="620"/>
      <c r="AC35" s="97"/>
    </row>
    <row r="36" spans="1:29" ht="28.5" customHeight="1" x14ac:dyDescent="0.3">
      <c r="A36" s="740"/>
      <c r="B36" s="674"/>
      <c r="C36" s="102" t="s">
        <v>62</v>
      </c>
      <c r="D36" s="103"/>
      <c r="E36" s="103"/>
      <c r="F36" s="103"/>
      <c r="G36" s="103"/>
      <c r="H36" s="103"/>
      <c r="I36" s="103"/>
      <c r="J36" s="103"/>
      <c r="K36" s="103"/>
      <c r="L36" s="103"/>
      <c r="M36" s="103"/>
      <c r="N36" s="103"/>
      <c r="O36" s="103"/>
      <c r="P36" s="101">
        <f t="shared" si="0"/>
        <v>0</v>
      </c>
      <c r="Q36" s="615"/>
      <c r="R36" s="616"/>
      <c r="S36" s="616"/>
      <c r="T36" s="616"/>
      <c r="U36" s="616"/>
      <c r="V36" s="616"/>
      <c r="W36" s="616"/>
      <c r="X36" s="616"/>
      <c r="Y36" s="616"/>
      <c r="Z36" s="616"/>
      <c r="AA36" s="616"/>
      <c r="AB36" s="617"/>
      <c r="AC36" s="97"/>
    </row>
    <row r="37" spans="1:29" ht="28.5" customHeight="1" x14ac:dyDescent="0.3">
      <c r="A37" s="741"/>
      <c r="B37" s="743"/>
      <c r="C37" s="99" t="s">
        <v>63</v>
      </c>
      <c r="D37" s="100"/>
      <c r="E37" s="100"/>
      <c r="F37" s="100"/>
      <c r="G37" s="100"/>
      <c r="H37" s="100"/>
      <c r="I37" s="100"/>
      <c r="J37" s="100"/>
      <c r="K37" s="100"/>
      <c r="L37" s="104"/>
      <c r="M37" s="104"/>
      <c r="N37" s="104"/>
      <c r="O37" s="104"/>
      <c r="P37" s="101">
        <f t="shared" si="0"/>
        <v>0</v>
      </c>
      <c r="Q37" s="618"/>
      <c r="R37" s="619"/>
      <c r="S37" s="619"/>
      <c r="T37" s="619"/>
      <c r="U37" s="619"/>
      <c r="V37" s="619"/>
      <c r="W37" s="619"/>
      <c r="X37" s="619"/>
      <c r="Y37" s="619"/>
      <c r="Z37" s="619"/>
      <c r="AA37" s="619"/>
      <c r="AB37" s="620"/>
      <c r="AC37" s="97"/>
    </row>
    <row r="38" spans="1:29" ht="28.5" customHeight="1" x14ac:dyDescent="0.3">
      <c r="A38" s="652"/>
      <c r="B38" s="674"/>
      <c r="C38" s="102" t="s">
        <v>62</v>
      </c>
      <c r="D38" s="103"/>
      <c r="E38" s="103"/>
      <c r="F38" s="103"/>
      <c r="G38" s="103"/>
      <c r="H38" s="103"/>
      <c r="I38" s="103"/>
      <c r="J38" s="103"/>
      <c r="K38" s="103"/>
      <c r="L38" s="103"/>
      <c r="M38" s="103"/>
      <c r="N38" s="103"/>
      <c r="O38" s="103"/>
      <c r="P38" s="101">
        <f t="shared" si="0"/>
        <v>0</v>
      </c>
      <c r="Q38" s="615"/>
      <c r="R38" s="616"/>
      <c r="S38" s="616"/>
      <c r="T38" s="616"/>
      <c r="U38" s="616"/>
      <c r="V38" s="616"/>
      <c r="W38" s="616"/>
      <c r="X38" s="616"/>
      <c r="Y38" s="616"/>
      <c r="Z38" s="616"/>
      <c r="AA38" s="616"/>
      <c r="AB38" s="617"/>
      <c r="AC38" s="97"/>
    </row>
    <row r="39" spans="1:29" ht="28.5" customHeight="1" thickBot="1" x14ac:dyDescent="0.35">
      <c r="A39" s="653"/>
      <c r="B39" s="675"/>
      <c r="C39" s="91" t="s">
        <v>63</v>
      </c>
      <c r="D39" s="105"/>
      <c r="E39" s="105"/>
      <c r="F39" s="105"/>
      <c r="G39" s="105"/>
      <c r="H39" s="105"/>
      <c r="I39" s="105"/>
      <c r="J39" s="105"/>
      <c r="K39" s="105"/>
      <c r="L39" s="106"/>
      <c r="M39" s="106"/>
      <c r="N39" s="106"/>
      <c r="O39" s="106"/>
      <c r="P39" s="107">
        <f t="shared" si="0"/>
        <v>0</v>
      </c>
      <c r="Q39" s="679"/>
      <c r="R39" s="680"/>
      <c r="S39" s="680"/>
      <c r="T39" s="680"/>
      <c r="U39" s="680"/>
      <c r="V39" s="680"/>
      <c r="W39" s="680"/>
      <c r="X39" s="680"/>
      <c r="Y39" s="680"/>
      <c r="Z39" s="680"/>
      <c r="AA39" s="680"/>
      <c r="AB39" s="681"/>
      <c r="AC39" s="97"/>
    </row>
    <row r="40" spans="1:29" x14ac:dyDescent="0.3">
      <c r="A40" s="50" t="s">
        <v>89</v>
      </c>
    </row>
  </sheetData>
  <mergeCells count="86">
    <mergeCell ref="A36:A37"/>
    <mergeCell ref="B32:B33"/>
    <mergeCell ref="B30:B31"/>
    <mergeCell ref="B34:B35"/>
    <mergeCell ref="B36:B37"/>
    <mergeCell ref="A32:A33"/>
    <mergeCell ref="A30:A31"/>
    <mergeCell ref="A34:A35"/>
    <mergeCell ref="A28:A29"/>
    <mergeCell ref="A25:AB25"/>
    <mergeCell ref="D26:P26"/>
    <mergeCell ref="Q24:AB24"/>
    <mergeCell ref="B26:B27"/>
    <mergeCell ref="Q28:T29"/>
    <mergeCell ref="Y17:Z17"/>
    <mergeCell ref="AA17:AB17"/>
    <mergeCell ref="W17:X17"/>
    <mergeCell ref="B24:C24"/>
    <mergeCell ref="A26:A27"/>
    <mergeCell ref="C26:C27"/>
    <mergeCell ref="A22:A23"/>
    <mergeCell ref="Y19:Z19"/>
    <mergeCell ref="A1:A4"/>
    <mergeCell ref="Z2:AB2"/>
    <mergeCell ref="Z4:AB4"/>
    <mergeCell ref="R7:T9"/>
    <mergeCell ref="A15:B16"/>
    <mergeCell ref="A7:B9"/>
    <mergeCell ref="R11:V11"/>
    <mergeCell ref="AA7:AB7"/>
    <mergeCell ref="Y9:Z9"/>
    <mergeCell ref="Z3:AB3"/>
    <mergeCell ref="B3:Y4"/>
    <mergeCell ref="C7:K9"/>
    <mergeCell ref="Z1:AB1"/>
    <mergeCell ref="AA8:AB8"/>
    <mergeCell ref="AA9:AB9"/>
    <mergeCell ref="W11:X11"/>
    <mergeCell ref="A38:A39"/>
    <mergeCell ref="V13:Y13"/>
    <mergeCell ref="Q15:AB15"/>
    <mergeCell ref="AA13:AB13"/>
    <mergeCell ref="W19:X19"/>
    <mergeCell ref="Y27:AB27"/>
    <mergeCell ref="Q31:AB31"/>
    <mergeCell ref="Q32:AB33"/>
    <mergeCell ref="Q30:AB30"/>
    <mergeCell ref="C15:C16"/>
    <mergeCell ref="B38:B39"/>
    <mergeCell ref="C13:Q13"/>
    <mergeCell ref="Q22:AB23"/>
    <mergeCell ref="Q38:AB39"/>
    <mergeCell ref="U27:X27"/>
    <mergeCell ref="Q36:AB37"/>
    <mergeCell ref="B1:Y1"/>
    <mergeCell ref="Q34:AB35"/>
    <mergeCell ref="A21:AB21"/>
    <mergeCell ref="P22:P23"/>
    <mergeCell ref="C30:P30"/>
    <mergeCell ref="B2:Y2"/>
    <mergeCell ref="S13:T13"/>
    <mergeCell ref="Y11:AB11"/>
    <mergeCell ref="U28:X29"/>
    <mergeCell ref="Y28:AB29"/>
    <mergeCell ref="T18:V18"/>
    <mergeCell ref="D22:O22"/>
    <mergeCell ref="Q26:AB26"/>
    <mergeCell ref="Q27:T27"/>
    <mergeCell ref="Q16:V16"/>
    <mergeCell ref="M11:Q11"/>
    <mergeCell ref="Y8:Z8"/>
    <mergeCell ref="C12:Z12"/>
    <mergeCell ref="B28:B29"/>
    <mergeCell ref="B22:C23"/>
    <mergeCell ref="Y7:Z7"/>
    <mergeCell ref="W16:AB16"/>
    <mergeCell ref="U7:V9"/>
    <mergeCell ref="W7:X9"/>
    <mergeCell ref="A13:B13"/>
    <mergeCell ref="C11:K11"/>
    <mergeCell ref="A11:B11"/>
    <mergeCell ref="Q19:S19"/>
    <mergeCell ref="Q17:S17"/>
    <mergeCell ref="AA19:AB19"/>
    <mergeCell ref="T19:V19"/>
    <mergeCell ref="T17:V17"/>
  </mergeCells>
  <dataValidations count="2">
    <dataValidation type="textLength" operator="lessThanOrEqual" allowBlank="1" showInputMessage="1" showErrorMessage="1" errorTitle="Máximo 2.000 caracteres" error="Máximo 2.000 caracteres" promptTitle="2.000 caracteres" sqref="Q24:AB24" xr:uid="{00000000-0002-0000-0100-000000000000}">
      <formula1>2000</formula1>
    </dataValidation>
    <dataValidation type="textLength" operator="lessThanOrEqual" allowBlank="1" showInputMessage="1" showErrorMessage="1" errorTitle="Máximo 2.000 caracteres" error="Máximo 2.000 caracteres" sqref="Q32:AB39 Q28 U28 Y28" xr:uid="{00000000-0002-0000-0100-000001000000}">
      <formula1>2000</formula1>
    </dataValidation>
  </dataValidations>
  <pageMargins left="0" right="0" top="0" bottom="0" header="0" footer="0"/>
  <pageSetup paperSize="41" scale="48" fitToHeight="0" orientation="landscape"/>
  <drawing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7" tint="0.39997558519241921"/>
  </sheetPr>
  <dimension ref="A1:AO303"/>
  <sheetViews>
    <sheetView showGridLines="0" view="pageBreakPreview" topLeftCell="Q17" zoomScale="60" zoomScaleNormal="60" workbookViewId="0">
      <selection activeCell="Z25" sqref="Z25"/>
    </sheetView>
  </sheetViews>
  <sheetFormatPr baseColWidth="10" defaultColWidth="10.6640625" defaultRowHeight="14.4" x14ac:dyDescent="0.3"/>
  <cols>
    <col min="1" max="1" width="64.44140625" style="50" customWidth="1"/>
    <col min="2" max="2" width="20.6640625" style="50" customWidth="1"/>
    <col min="3" max="3" width="38.109375" style="50" customWidth="1"/>
    <col min="4" max="14" width="20.6640625" style="50" customWidth="1"/>
    <col min="15" max="15" width="18.33203125" style="50" customWidth="1"/>
    <col min="16" max="16" width="18.109375" style="50" customWidth="1"/>
    <col min="17" max="17" width="20.33203125" style="50" customWidth="1"/>
    <col min="18" max="18" width="19.33203125" style="50" customWidth="1"/>
    <col min="19" max="19" width="48.109375" style="50" customWidth="1"/>
    <col min="20" max="21" width="18.109375" style="50" customWidth="1"/>
    <col min="22" max="22" width="27.5546875" style="50" customWidth="1"/>
    <col min="23" max="27" width="18.109375" style="50" customWidth="1"/>
    <col min="28" max="28" width="22.6640625" style="50" customWidth="1"/>
    <col min="29" max="29" width="19" style="50" customWidth="1"/>
    <col min="30" max="30" width="19.44140625" style="50" customWidth="1"/>
    <col min="31" max="31" width="6.33203125" style="50" bestFit="1" customWidth="1"/>
    <col min="32" max="32" width="22.6640625" style="50" customWidth="1"/>
    <col min="33" max="33" width="18.44140625" style="50" bestFit="1" customWidth="1"/>
    <col min="34" max="34" width="8.44140625" style="50" customWidth="1"/>
    <col min="35" max="35" width="18.44140625" style="50" bestFit="1" customWidth="1"/>
    <col min="36" max="36" width="5.6640625" style="50" customWidth="1"/>
    <col min="37" max="37" width="18.44140625" style="50" bestFit="1" customWidth="1"/>
    <col min="38" max="38" width="4.6640625" style="50" customWidth="1"/>
    <col min="39" max="39" width="23" style="50" bestFit="1" customWidth="1"/>
    <col min="40" max="40" width="10.6640625" style="50"/>
    <col min="41" max="41" width="18.44140625" style="50" bestFit="1" customWidth="1"/>
    <col min="42" max="42" width="16.109375" style="50" customWidth="1"/>
    <col min="43" max="16384" width="10.6640625" style="50"/>
  </cols>
  <sheetData>
    <row r="1" spans="1:33" ht="32.25" customHeight="1" thickBot="1" x14ac:dyDescent="0.35">
      <c r="A1" s="503"/>
      <c r="B1" s="506" t="s">
        <v>0</v>
      </c>
      <c r="C1" s="507"/>
      <c r="D1" s="507"/>
      <c r="E1" s="507"/>
      <c r="F1" s="507"/>
      <c r="G1" s="507"/>
      <c r="H1" s="507"/>
      <c r="I1" s="507"/>
      <c r="J1" s="507"/>
      <c r="K1" s="507"/>
      <c r="L1" s="507"/>
      <c r="M1" s="507"/>
      <c r="N1" s="507"/>
      <c r="O1" s="507"/>
      <c r="P1" s="507"/>
      <c r="Q1" s="507"/>
      <c r="R1" s="507"/>
      <c r="S1" s="507"/>
      <c r="T1" s="507"/>
      <c r="U1" s="507"/>
      <c r="V1" s="507"/>
      <c r="W1" s="507"/>
      <c r="X1" s="507"/>
      <c r="Y1" s="507"/>
      <c r="Z1" s="507"/>
      <c r="AA1" s="508"/>
      <c r="AB1" s="509" t="s">
        <v>1</v>
      </c>
      <c r="AC1" s="510"/>
      <c r="AD1" s="511"/>
    </row>
    <row r="2" spans="1:33" ht="30.75" customHeight="1" thickBot="1" x14ac:dyDescent="0.35">
      <c r="A2" s="504"/>
      <c r="B2" s="506" t="s">
        <v>2</v>
      </c>
      <c r="C2" s="507"/>
      <c r="D2" s="507"/>
      <c r="E2" s="507"/>
      <c r="F2" s="507"/>
      <c r="G2" s="507"/>
      <c r="H2" s="507"/>
      <c r="I2" s="507"/>
      <c r="J2" s="507"/>
      <c r="K2" s="507"/>
      <c r="L2" s="507"/>
      <c r="M2" s="507"/>
      <c r="N2" s="507"/>
      <c r="O2" s="507"/>
      <c r="P2" s="507"/>
      <c r="Q2" s="507"/>
      <c r="R2" s="507"/>
      <c r="S2" s="507"/>
      <c r="T2" s="507"/>
      <c r="U2" s="507"/>
      <c r="V2" s="507"/>
      <c r="W2" s="507"/>
      <c r="X2" s="507"/>
      <c r="Y2" s="507"/>
      <c r="Z2" s="507"/>
      <c r="AA2" s="508"/>
      <c r="AB2" s="512" t="s">
        <v>3</v>
      </c>
      <c r="AC2" s="513"/>
      <c r="AD2" s="514"/>
    </row>
    <row r="3" spans="1:33" ht="24" customHeight="1" x14ac:dyDescent="0.3">
      <c r="A3" s="504"/>
      <c r="B3" s="764" t="s">
        <v>4</v>
      </c>
      <c r="C3" s="460"/>
      <c r="D3" s="460"/>
      <c r="E3" s="460"/>
      <c r="F3" s="460"/>
      <c r="G3" s="460"/>
      <c r="H3" s="460"/>
      <c r="I3" s="460"/>
      <c r="J3" s="460"/>
      <c r="K3" s="460"/>
      <c r="L3" s="460"/>
      <c r="M3" s="460"/>
      <c r="N3" s="460"/>
      <c r="O3" s="460"/>
      <c r="P3" s="460"/>
      <c r="Q3" s="460"/>
      <c r="R3" s="460"/>
      <c r="S3" s="460"/>
      <c r="T3" s="460"/>
      <c r="U3" s="460"/>
      <c r="V3" s="460"/>
      <c r="W3" s="460"/>
      <c r="X3" s="460"/>
      <c r="Y3" s="460"/>
      <c r="Z3" s="460"/>
      <c r="AA3" s="461"/>
      <c r="AB3" s="512" t="s">
        <v>5</v>
      </c>
      <c r="AC3" s="513"/>
      <c r="AD3" s="514"/>
    </row>
    <row r="4" spans="1:33" ht="21.75" customHeight="1" thickBot="1" x14ac:dyDescent="0.35">
      <c r="A4" s="505"/>
      <c r="B4" s="765"/>
      <c r="C4" s="766"/>
      <c r="D4" s="766"/>
      <c r="E4" s="766"/>
      <c r="F4" s="766"/>
      <c r="G4" s="766"/>
      <c r="H4" s="766"/>
      <c r="I4" s="766"/>
      <c r="J4" s="766"/>
      <c r="K4" s="766"/>
      <c r="L4" s="766"/>
      <c r="M4" s="766"/>
      <c r="N4" s="766"/>
      <c r="O4" s="766"/>
      <c r="P4" s="766"/>
      <c r="Q4" s="766"/>
      <c r="R4" s="766"/>
      <c r="S4" s="766"/>
      <c r="T4" s="766"/>
      <c r="U4" s="766"/>
      <c r="V4" s="766"/>
      <c r="W4" s="766"/>
      <c r="X4" s="766"/>
      <c r="Y4" s="766"/>
      <c r="Z4" s="766"/>
      <c r="AA4" s="767"/>
      <c r="AB4" s="524" t="s">
        <v>6</v>
      </c>
      <c r="AC4" s="525"/>
      <c r="AD4" s="526"/>
    </row>
    <row r="5" spans="1:33" ht="9" customHeight="1" thickBot="1" x14ac:dyDescent="0.35">
      <c r="A5" s="239"/>
      <c r="B5" s="240"/>
      <c r="C5" s="241"/>
      <c r="D5" s="242"/>
      <c r="E5" s="242"/>
      <c r="F5" s="242"/>
      <c r="G5" s="242"/>
      <c r="H5" s="242"/>
      <c r="I5" s="242"/>
      <c r="J5" s="242"/>
      <c r="K5" s="242"/>
      <c r="L5" s="242"/>
      <c r="M5" s="242"/>
      <c r="N5" s="242"/>
      <c r="O5" s="242"/>
      <c r="P5" s="242"/>
      <c r="Q5" s="242"/>
      <c r="R5" s="242"/>
      <c r="S5" s="242"/>
      <c r="T5" s="242"/>
      <c r="U5" s="242"/>
      <c r="V5" s="242"/>
      <c r="W5" s="242"/>
      <c r="X5" s="242"/>
      <c r="Y5" s="242"/>
      <c r="Z5" s="243"/>
      <c r="AA5" s="242"/>
      <c r="AB5" s="244"/>
      <c r="AC5" s="245"/>
      <c r="AD5" s="246"/>
    </row>
    <row r="6" spans="1:33" ht="9" customHeight="1" thickBot="1" x14ac:dyDescent="0.35">
      <c r="A6" s="247"/>
      <c r="B6" s="242"/>
      <c r="C6" s="242"/>
      <c r="D6" s="242"/>
      <c r="E6" s="242"/>
      <c r="F6" s="242"/>
      <c r="G6" s="242"/>
      <c r="H6" s="242"/>
      <c r="I6" s="242"/>
      <c r="J6" s="242"/>
      <c r="K6" s="242"/>
      <c r="L6" s="242"/>
      <c r="M6" s="242"/>
      <c r="N6" s="242"/>
      <c r="O6" s="242"/>
      <c r="P6" s="242"/>
      <c r="Q6" s="242"/>
      <c r="R6" s="242"/>
      <c r="S6" s="242"/>
      <c r="T6" s="242"/>
      <c r="U6" s="242"/>
      <c r="V6" s="242"/>
      <c r="W6" s="242"/>
      <c r="X6" s="242"/>
      <c r="Y6" s="242"/>
      <c r="Z6" s="243"/>
      <c r="AA6" s="242"/>
      <c r="AB6" s="242"/>
      <c r="AC6" s="248"/>
      <c r="AD6" s="249"/>
    </row>
    <row r="7" spans="1:33" ht="15.6" x14ac:dyDescent="0.3">
      <c r="A7" s="467" t="s">
        <v>7</v>
      </c>
      <c r="B7" s="468"/>
      <c r="C7" s="473" t="s">
        <v>38</v>
      </c>
      <c r="D7" s="527" t="s">
        <v>9</v>
      </c>
      <c r="E7" s="528"/>
      <c r="F7" s="528"/>
      <c r="G7" s="528"/>
      <c r="H7" s="529"/>
      <c r="I7" s="536">
        <v>45232</v>
      </c>
      <c r="J7" s="537"/>
      <c r="K7" s="527" t="s">
        <v>10</v>
      </c>
      <c r="L7" s="529"/>
      <c r="M7" s="465" t="s">
        <v>11</v>
      </c>
      <c r="N7" s="466"/>
      <c r="O7" s="768"/>
      <c r="P7" s="769"/>
      <c r="Q7" s="250"/>
      <c r="R7" s="250"/>
      <c r="S7" s="250"/>
      <c r="T7" s="250"/>
      <c r="U7" s="250"/>
      <c r="V7" s="250"/>
      <c r="W7" s="250"/>
      <c r="X7" s="250"/>
      <c r="Y7" s="250"/>
      <c r="Z7" s="251"/>
      <c r="AA7" s="250"/>
      <c r="AB7" s="250"/>
      <c r="AC7" s="252"/>
      <c r="AD7" s="253"/>
      <c r="AE7" s="194"/>
      <c r="AF7" s="194"/>
      <c r="AG7" s="194"/>
    </row>
    <row r="8" spans="1:33" ht="15.6" x14ac:dyDescent="0.3">
      <c r="A8" s="469"/>
      <c r="B8" s="470"/>
      <c r="C8" s="474"/>
      <c r="D8" s="530"/>
      <c r="E8" s="531"/>
      <c r="F8" s="531"/>
      <c r="G8" s="531"/>
      <c r="H8" s="532"/>
      <c r="I8" s="538"/>
      <c r="J8" s="539"/>
      <c r="K8" s="530"/>
      <c r="L8" s="532"/>
      <c r="M8" s="544" t="s">
        <v>12</v>
      </c>
      <c r="N8" s="545"/>
      <c r="O8" s="463"/>
      <c r="P8" s="464"/>
      <c r="Q8" s="250"/>
      <c r="R8" s="250"/>
      <c r="S8" s="250"/>
      <c r="T8" s="250"/>
      <c r="U8" s="250"/>
      <c r="V8" s="250"/>
      <c r="W8" s="250"/>
      <c r="X8" s="250"/>
      <c r="Y8" s="250"/>
      <c r="Z8" s="251"/>
      <c r="AA8" s="250"/>
      <c r="AB8" s="250"/>
      <c r="AC8" s="252"/>
      <c r="AD8" s="253"/>
      <c r="AE8" s="194"/>
      <c r="AF8" s="194"/>
      <c r="AG8" s="194"/>
    </row>
    <row r="9" spans="1:33" ht="16.2" thickBot="1" x14ac:dyDescent="0.35">
      <c r="A9" s="471"/>
      <c r="B9" s="472"/>
      <c r="C9" s="475"/>
      <c r="D9" s="533"/>
      <c r="E9" s="534"/>
      <c r="F9" s="534"/>
      <c r="G9" s="534"/>
      <c r="H9" s="535"/>
      <c r="I9" s="540"/>
      <c r="J9" s="541"/>
      <c r="K9" s="533"/>
      <c r="L9" s="535"/>
      <c r="M9" s="484" t="s">
        <v>13</v>
      </c>
      <c r="N9" s="485"/>
      <c r="O9" s="486" t="s">
        <v>14</v>
      </c>
      <c r="P9" s="487"/>
      <c r="Q9" s="250"/>
      <c r="R9" s="250"/>
      <c r="S9" s="250"/>
      <c r="T9" s="250"/>
      <c r="U9" s="250"/>
      <c r="V9" s="250"/>
      <c r="W9" s="250"/>
      <c r="X9" s="250"/>
      <c r="Y9" s="250"/>
      <c r="Z9" s="251"/>
      <c r="AA9" s="250"/>
      <c r="AB9" s="250"/>
      <c r="AC9" s="252"/>
      <c r="AD9" s="253"/>
      <c r="AE9" s="194"/>
      <c r="AF9" s="194"/>
      <c r="AG9" s="194"/>
    </row>
    <row r="10" spans="1:33" ht="15" customHeight="1" thickBot="1" x14ac:dyDescent="0.35">
      <c r="A10" s="254"/>
      <c r="B10" s="255"/>
      <c r="C10" s="255"/>
      <c r="D10" s="256"/>
      <c r="E10" s="256"/>
      <c r="F10" s="256"/>
      <c r="G10" s="256"/>
      <c r="H10" s="256"/>
      <c r="I10" s="257"/>
      <c r="J10" s="257"/>
      <c r="K10" s="256"/>
      <c r="L10" s="256"/>
      <c r="M10" s="258"/>
      <c r="N10" s="258"/>
      <c r="O10" s="259"/>
      <c r="P10" s="259"/>
      <c r="Q10" s="255"/>
      <c r="R10" s="255"/>
      <c r="S10" s="255"/>
      <c r="T10" s="255"/>
      <c r="U10" s="255"/>
      <c r="V10" s="255"/>
      <c r="W10" s="255"/>
      <c r="X10" s="255"/>
      <c r="Y10" s="255"/>
      <c r="Z10" s="260"/>
      <c r="AA10" s="255"/>
      <c r="AB10" s="255"/>
      <c r="AC10" s="261"/>
      <c r="AD10" s="262"/>
    </row>
    <row r="11" spans="1:33" ht="15" customHeight="1" x14ac:dyDescent="0.3">
      <c r="A11" s="467" t="s">
        <v>15</v>
      </c>
      <c r="B11" s="468"/>
      <c r="C11" s="488" t="s">
        <v>16</v>
      </c>
      <c r="D11" s="489"/>
      <c r="E11" s="489"/>
      <c r="F11" s="489"/>
      <c r="G11" s="489"/>
      <c r="H11" s="489"/>
      <c r="I11" s="489"/>
      <c r="J11" s="489"/>
      <c r="K11" s="489"/>
      <c r="L11" s="489"/>
      <c r="M11" s="489"/>
      <c r="N11" s="489"/>
      <c r="O11" s="489"/>
      <c r="P11" s="489"/>
      <c r="Q11" s="489"/>
      <c r="R11" s="489"/>
      <c r="S11" s="489"/>
      <c r="T11" s="489"/>
      <c r="U11" s="489"/>
      <c r="V11" s="489"/>
      <c r="W11" s="489"/>
      <c r="X11" s="489"/>
      <c r="Y11" s="489"/>
      <c r="Z11" s="489"/>
      <c r="AA11" s="489"/>
      <c r="AB11" s="489"/>
      <c r="AC11" s="489"/>
      <c r="AD11" s="490"/>
    </row>
    <row r="12" spans="1:33" ht="15" customHeight="1" x14ac:dyDescent="0.3">
      <c r="A12" s="469"/>
      <c r="B12" s="470"/>
      <c r="C12" s="491"/>
      <c r="D12" s="492"/>
      <c r="E12" s="492"/>
      <c r="F12" s="492"/>
      <c r="G12" s="492"/>
      <c r="H12" s="492"/>
      <c r="I12" s="492"/>
      <c r="J12" s="492"/>
      <c r="K12" s="492"/>
      <c r="L12" s="492"/>
      <c r="M12" s="492"/>
      <c r="N12" s="492"/>
      <c r="O12" s="492"/>
      <c r="P12" s="492"/>
      <c r="Q12" s="492"/>
      <c r="R12" s="492"/>
      <c r="S12" s="492"/>
      <c r="T12" s="492"/>
      <c r="U12" s="492"/>
      <c r="V12" s="492"/>
      <c r="W12" s="492"/>
      <c r="X12" s="492"/>
      <c r="Y12" s="492"/>
      <c r="Z12" s="492"/>
      <c r="AA12" s="492"/>
      <c r="AB12" s="492"/>
      <c r="AC12" s="492"/>
      <c r="AD12" s="493"/>
    </row>
    <row r="13" spans="1:33" ht="15" customHeight="1" thickBot="1" x14ac:dyDescent="0.35">
      <c r="A13" s="471"/>
      <c r="B13" s="472"/>
      <c r="C13" s="494"/>
      <c r="D13" s="495"/>
      <c r="E13" s="495"/>
      <c r="F13" s="495"/>
      <c r="G13" s="495"/>
      <c r="H13" s="495"/>
      <c r="I13" s="495"/>
      <c r="J13" s="495"/>
      <c r="K13" s="495"/>
      <c r="L13" s="495"/>
      <c r="M13" s="495"/>
      <c r="N13" s="495"/>
      <c r="O13" s="495"/>
      <c r="P13" s="495"/>
      <c r="Q13" s="495"/>
      <c r="R13" s="495"/>
      <c r="S13" s="495"/>
      <c r="T13" s="495"/>
      <c r="U13" s="495"/>
      <c r="V13" s="495"/>
      <c r="W13" s="495"/>
      <c r="X13" s="495"/>
      <c r="Y13" s="495"/>
      <c r="Z13" s="495"/>
      <c r="AA13" s="495"/>
      <c r="AB13" s="495"/>
      <c r="AC13" s="495"/>
      <c r="AD13" s="496"/>
    </row>
    <row r="14" spans="1:33" ht="9" customHeight="1" thickBot="1" x14ac:dyDescent="0.35">
      <c r="A14" s="263"/>
      <c r="B14" s="264"/>
      <c r="C14" s="265"/>
      <c r="D14" s="265"/>
      <c r="E14" s="265"/>
      <c r="F14" s="265"/>
      <c r="G14" s="265"/>
      <c r="H14" s="265"/>
      <c r="I14" s="265"/>
      <c r="J14" s="265"/>
      <c r="K14" s="265"/>
      <c r="L14" s="265"/>
      <c r="M14" s="266"/>
      <c r="N14" s="266"/>
      <c r="O14" s="266"/>
      <c r="P14" s="266"/>
      <c r="Q14" s="266"/>
      <c r="R14" s="267"/>
      <c r="S14" s="267"/>
      <c r="T14" s="267"/>
      <c r="U14" s="267"/>
      <c r="V14" s="267"/>
      <c r="W14" s="267"/>
      <c r="X14" s="267"/>
      <c r="Y14" s="256"/>
      <c r="Z14" s="256"/>
      <c r="AA14" s="256"/>
      <c r="AB14" s="256"/>
      <c r="AC14" s="256"/>
      <c r="AD14" s="268"/>
    </row>
    <row r="15" spans="1:33" ht="49.5" customHeight="1" thickBot="1" x14ac:dyDescent="0.35">
      <c r="A15" s="449" t="s">
        <v>17</v>
      </c>
      <c r="B15" s="450"/>
      <c r="C15" s="515" t="s">
        <v>18</v>
      </c>
      <c r="D15" s="516"/>
      <c r="E15" s="516"/>
      <c r="F15" s="516"/>
      <c r="G15" s="516"/>
      <c r="H15" s="516"/>
      <c r="I15" s="516"/>
      <c r="J15" s="516"/>
      <c r="K15" s="517"/>
      <c r="L15" s="479" t="s">
        <v>19</v>
      </c>
      <c r="M15" s="483"/>
      <c r="N15" s="483"/>
      <c r="O15" s="483"/>
      <c r="P15" s="483"/>
      <c r="Q15" s="480"/>
      <c r="R15" s="476" t="s">
        <v>20</v>
      </c>
      <c r="S15" s="477"/>
      <c r="T15" s="477"/>
      <c r="U15" s="477"/>
      <c r="V15" s="477"/>
      <c r="W15" s="477"/>
      <c r="X15" s="478"/>
      <c r="Y15" s="479" t="s">
        <v>21</v>
      </c>
      <c r="Z15" s="480"/>
      <c r="AA15" s="437" t="s">
        <v>22</v>
      </c>
      <c r="AB15" s="438"/>
      <c r="AC15" s="438"/>
      <c r="AD15" s="439"/>
    </row>
    <row r="16" spans="1:33" ht="9" customHeight="1" thickBot="1" x14ac:dyDescent="0.35">
      <c r="A16" s="247"/>
      <c r="B16" s="242"/>
      <c r="C16" s="448"/>
      <c r="D16" s="448"/>
      <c r="E16" s="448"/>
      <c r="F16" s="448"/>
      <c r="G16" s="448"/>
      <c r="H16" s="448"/>
      <c r="I16" s="448"/>
      <c r="J16" s="448"/>
      <c r="K16" s="448"/>
      <c r="L16" s="448"/>
      <c r="M16" s="448"/>
      <c r="N16" s="448"/>
      <c r="O16" s="448"/>
      <c r="P16" s="448"/>
      <c r="Q16" s="448"/>
      <c r="R16" s="448"/>
      <c r="S16" s="448"/>
      <c r="T16" s="448"/>
      <c r="U16" s="448"/>
      <c r="V16" s="448"/>
      <c r="W16" s="448"/>
      <c r="X16" s="448"/>
      <c r="Y16" s="448"/>
      <c r="Z16" s="448"/>
      <c r="AA16" s="448"/>
      <c r="AB16" s="448"/>
      <c r="AC16" s="269"/>
      <c r="AD16" s="270"/>
    </row>
    <row r="17" spans="1:41" s="76" customFormat="1" ht="37.5" customHeight="1" thickBot="1" x14ac:dyDescent="0.35">
      <c r="A17" s="449" t="s">
        <v>23</v>
      </c>
      <c r="B17" s="450"/>
      <c r="C17" s="770" t="s">
        <v>110</v>
      </c>
      <c r="D17" s="771"/>
      <c r="E17" s="771"/>
      <c r="F17" s="771"/>
      <c r="G17" s="771"/>
      <c r="H17" s="771"/>
      <c r="I17" s="771"/>
      <c r="J17" s="771"/>
      <c r="K17" s="771"/>
      <c r="L17" s="771"/>
      <c r="M17" s="771"/>
      <c r="N17" s="771"/>
      <c r="O17" s="771"/>
      <c r="P17" s="771"/>
      <c r="Q17" s="772"/>
      <c r="R17" s="479" t="s">
        <v>25</v>
      </c>
      <c r="S17" s="483"/>
      <c r="T17" s="483"/>
      <c r="U17" s="483"/>
      <c r="V17" s="480"/>
      <c r="W17" s="481">
        <v>0.9</v>
      </c>
      <c r="X17" s="482"/>
      <c r="Y17" s="483" t="s">
        <v>26</v>
      </c>
      <c r="Z17" s="483"/>
      <c r="AA17" s="483"/>
      <c r="AB17" s="480"/>
      <c r="AC17" s="446">
        <v>0.2</v>
      </c>
      <c r="AD17" s="447"/>
    </row>
    <row r="18" spans="1:41" ht="16.5" customHeight="1" thickBot="1" x14ac:dyDescent="0.35">
      <c r="A18" s="271"/>
      <c r="B18" s="272"/>
      <c r="C18" s="272"/>
      <c r="D18" s="272"/>
      <c r="E18" s="272"/>
      <c r="F18" s="272"/>
      <c r="G18" s="272"/>
      <c r="H18" s="272"/>
      <c r="I18" s="272"/>
      <c r="J18" s="272"/>
      <c r="K18" s="272"/>
      <c r="L18" s="272"/>
      <c r="M18" s="272"/>
      <c r="N18" s="272"/>
      <c r="O18" s="272"/>
      <c r="P18" s="272"/>
      <c r="Q18" s="272"/>
      <c r="R18" s="272"/>
      <c r="S18" s="272"/>
      <c r="T18" s="272"/>
      <c r="U18" s="272"/>
      <c r="V18" s="272"/>
      <c r="W18" s="272"/>
      <c r="X18" s="272"/>
      <c r="Y18" s="272"/>
      <c r="Z18" s="272"/>
      <c r="AA18" s="272"/>
      <c r="AB18" s="272"/>
      <c r="AC18" s="272"/>
      <c r="AD18" s="273"/>
    </row>
    <row r="19" spans="1:41" ht="32.1" customHeight="1" thickBot="1" x14ac:dyDescent="0.35">
      <c r="A19" s="479" t="s">
        <v>27</v>
      </c>
      <c r="B19" s="483"/>
      <c r="C19" s="483"/>
      <c r="D19" s="483"/>
      <c r="E19" s="483"/>
      <c r="F19" s="483"/>
      <c r="G19" s="483"/>
      <c r="H19" s="483"/>
      <c r="I19" s="483"/>
      <c r="J19" s="483"/>
      <c r="K19" s="483"/>
      <c r="L19" s="483"/>
      <c r="M19" s="483"/>
      <c r="N19" s="483"/>
      <c r="O19" s="483"/>
      <c r="P19" s="483"/>
      <c r="Q19" s="483"/>
      <c r="R19" s="483"/>
      <c r="S19" s="483"/>
      <c r="T19" s="483"/>
      <c r="U19" s="483"/>
      <c r="V19" s="483"/>
      <c r="W19" s="483"/>
      <c r="X19" s="483"/>
      <c r="Y19" s="483"/>
      <c r="Z19" s="483"/>
      <c r="AA19" s="483"/>
      <c r="AB19" s="483"/>
      <c r="AC19" s="483"/>
      <c r="AD19" s="480"/>
      <c r="AE19" s="83"/>
      <c r="AF19" s="83"/>
    </row>
    <row r="20" spans="1:41" ht="32.1" customHeight="1" thickBot="1" x14ac:dyDescent="0.35">
      <c r="A20" s="274"/>
      <c r="B20" s="248"/>
      <c r="C20" s="500" t="s">
        <v>28</v>
      </c>
      <c r="D20" s="501"/>
      <c r="E20" s="501"/>
      <c r="F20" s="501"/>
      <c r="G20" s="501"/>
      <c r="H20" s="501"/>
      <c r="I20" s="501"/>
      <c r="J20" s="501"/>
      <c r="K20" s="501"/>
      <c r="L20" s="501"/>
      <c r="M20" s="501"/>
      <c r="N20" s="501"/>
      <c r="O20" s="501"/>
      <c r="P20" s="502"/>
      <c r="Q20" s="497" t="s">
        <v>29</v>
      </c>
      <c r="R20" s="498"/>
      <c r="S20" s="498"/>
      <c r="T20" s="498"/>
      <c r="U20" s="498"/>
      <c r="V20" s="498"/>
      <c r="W20" s="498"/>
      <c r="X20" s="498"/>
      <c r="Y20" s="498"/>
      <c r="Z20" s="498"/>
      <c r="AA20" s="498"/>
      <c r="AB20" s="498"/>
      <c r="AC20" s="498"/>
      <c r="AD20" s="499"/>
      <c r="AE20" s="83"/>
      <c r="AF20" s="83"/>
    </row>
    <row r="21" spans="1:41" ht="32.1" customHeight="1" thickBot="1" x14ac:dyDescent="0.35">
      <c r="A21" s="247"/>
      <c r="B21" s="242"/>
      <c r="C21" s="275" t="s">
        <v>30</v>
      </c>
      <c r="D21" s="276" t="s">
        <v>31</v>
      </c>
      <c r="E21" s="276" t="s">
        <v>32</v>
      </c>
      <c r="F21" s="276" t="s">
        <v>33</v>
      </c>
      <c r="G21" s="276" t="s">
        <v>34</v>
      </c>
      <c r="H21" s="276" t="s">
        <v>35</v>
      </c>
      <c r="I21" s="276" t="s">
        <v>36</v>
      </c>
      <c r="J21" s="276" t="s">
        <v>37</v>
      </c>
      <c r="K21" s="276" t="s">
        <v>8</v>
      </c>
      <c r="L21" s="276" t="s">
        <v>38</v>
      </c>
      <c r="M21" s="276" t="s">
        <v>39</v>
      </c>
      <c r="N21" s="276" t="s">
        <v>40</v>
      </c>
      <c r="O21" s="276" t="s">
        <v>41</v>
      </c>
      <c r="P21" s="277" t="s">
        <v>42</v>
      </c>
      <c r="Q21" s="275" t="s">
        <v>30</v>
      </c>
      <c r="R21" s="276" t="s">
        <v>31</v>
      </c>
      <c r="S21" s="276" t="s">
        <v>32</v>
      </c>
      <c r="T21" s="276" t="s">
        <v>33</v>
      </c>
      <c r="U21" s="276" t="s">
        <v>34</v>
      </c>
      <c r="V21" s="276" t="s">
        <v>35</v>
      </c>
      <c r="W21" s="276" t="s">
        <v>36</v>
      </c>
      <c r="X21" s="276" t="s">
        <v>37</v>
      </c>
      <c r="Y21" s="276" t="s">
        <v>8</v>
      </c>
      <c r="Z21" s="276" t="s">
        <v>38</v>
      </c>
      <c r="AA21" s="276" t="s">
        <v>39</v>
      </c>
      <c r="AB21" s="276" t="s">
        <v>40</v>
      </c>
      <c r="AC21" s="276" t="s">
        <v>41</v>
      </c>
      <c r="AD21" s="277" t="s">
        <v>42</v>
      </c>
      <c r="AE21" s="3"/>
      <c r="AF21" s="3"/>
    </row>
    <row r="22" spans="1:41" ht="32.1" customHeight="1" x14ac:dyDescent="0.3">
      <c r="A22" s="392" t="s">
        <v>43</v>
      </c>
      <c r="B22" s="445"/>
      <c r="C22" s="278"/>
      <c r="D22" s="279"/>
      <c r="E22" s="279"/>
      <c r="F22" s="279"/>
      <c r="G22" s="279"/>
      <c r="H22" s="279"/>
      <c r="I22" s="279"/>
      <c r="J22" s="279"/>
      <c r="K22" s="279"/>
      <c r="L22" s="279"/>
      <c r="M22" s="279"/>
      <c r="N22" s="279"/>
      <c r="O22" s="279">
        <f>SUM(C22:N22)</f>
        <v>0</v>
      </c>
      <c r="P22" s="280"/>
      <c r="Q22" s="281">
        <v>683483817</v>
      </c>
      <c r="R22" s="282">
        <v>8537488</v>
      </c>
      <c r="S22" s="282">
        <v>11658906</v>
      </c>
      <c r="T22" s="282">
        <v>0</v>
      </c>
      <c r="U22" s="282">
        <v>31411000</v>
      </c>
      <c r="V22" s="282">
        <v>69659690</v>
      </c>
      <c r="W22" s="282">
        <v>0</v>
      </c>
      <c r="X22" s="330">
        <v>-31819212</v>
      </c>
      <c r="Y22" s="330">
        <v>0</v>
      </c>
      <c r="Z22" s="330">
        <v>-8829365</v>
      </c>
      <c r="AA22" s="330">
        <v>0</v>
      </c>
      <c r="AB22" s="330">
        <v>0</v>
      </c>
      <c r="AC22" s="283">
        <f>SUM(Q22:AB22)</f>
        <v>764102324</v>
      </c>
      <c r="AD22" s="284"/>
      <c r="AE22" s="3"/>
      <c r="AF22" s="3"/>
    </row>
    <row r="23" spans="1:41" ht="32.1" customHeight="1" x14ac:dyDescent="0.3">
      <c r="A23" s="434" t="s">
        <v>44</v>
      </c>
      <c r="B23" s="435"/>
      <c r="C23" s="286"/>
      <c r="D23" s="287"/>
      <c r="E23" s="287"/>
      <c r="F23" s="287"/>
      <c r="G23" s="287"/>
      <c r="H23" s="287"/>
      <c r="I23" s="287"/>
      <c r="J23" s="287"/>
      <c r="K23" s="287"/>
      <c r="L23" s="287"/>
      <c r="M23" s="287"/>
      <c r="N23" s="287"/>
      <c r="O23" s="287">
        <f>SUM(C23:N23)</f>
        <v>0</v>
      </c>
      <c r="P23" s="288" t="str">
        <f>IFERROR(O23/(SUMIF(C23:N23,"&gt;0",C22:N22))," ")</f>
        <v xml:space="preserve"> </v>
      </c>
      <c r="Q23" s="289">
        <f>215111267</f>
        <v>215111267</v>
      </c>
      <c r="R23" s="290">
        <f>480950967-Q23</f>
        <v>265839700</v>
      </c>
      <c r="S23" s="290">
        <f>598985084-Q23-R23</f>
        <v>118034117</v>
      </c>
      <c r="T23" s="290">
        <f>582264203-Q23-R23-S23</f>
        <v>-16720881</v>
      </c>
      <c r="U23" s="290">
        <f>608999034-Q23-R23-S23-T23</f>
        <v>26734831</v>
      </c>
      <c r="V23" s="290">
        <f>620904450-Q23-R23-S23-T23-U23</f>
        <v>11905416</v>
      </c>
      <c r="W23" s="290">
        <f>694538612-Q23-R23-S23-T23-U23-V23</f>
        <v>73634162</v>
      </c>
      <c r="X23" s="331">
        <f>694366038-Q23-R23-S23-T23-U23-V23-W23</f>
        <v>-172574</v>
      </c>
      <c r="Y23" s="331">
        <f>693991038-Q23-R23-S23-T23-U23-V23-W23-X23</f>
        <v>-375000</v>
      </c>
      <c r="Z23" s="331">
        <f>693869995-Q23-R23-S23-T23-U23-V23-W23-X23-Y23</f>
        <v>-121043</v>
      </c>
      <c r="AA23" s="331"/>
      <c r="AB23" s="331"/>
      <c r="AC23" s="287">
        <f>SUM(Q23:AB23)</f>
        <v>693869995</v>
      </c>
      <c r="AD23" s="291">
        <f>AC23/AC22</f>
        <v>0.90808517813119494</v>
      </c>
      <c r="AE23" s="3"/>
      <c r="AF23" s="3"/>
    </row>
    <row r="24" spans="1:41" ht="32.1" customHeight="1" x14ac:dyDescent="0.3">
      <c r="A24" s="434" t="s">
        <v>45</v>
      </c>
      <c r="B24" s="435"/>
      <c r="C24" s="286">
        <f>9390833+9911170+7076465</f>
        <v>26378468</v>
      </c>
      <c r="D24" s="287"/>
      <c r="E24" s="287"/>
      <c r="F24" s="287"/>
      <c r="G24" s="287"/>
      <c r="H24" s="287"/>
      <c r="I24" s="287"/>
      <c r="J24" s="287"/>
      <c r="K24" s="287"/>
      <c r="L24" s="287"/>
      <c r="M24" s="287"/>
      <c r="N24" s="287"/>
      <c r="O24" s="290">
        <f>SUM(C24:N24)</f>
        <v>26378468</v>
      </c>
      <c r="P24" s="292"/>
      <c r="Q24" s="289"/>
      <c r="R24" s="290">
        <f>2332686+5667247+15634065</f>
        <v>23633998</v>
      </c>
      <c r="S24" s="290">
        <f>2332686+9767318+40103208+10000000</f>
        <v>62203212</v>
      </c>
      <c r="T24" s="290">
        <f>2332686+37500+9767318+40103208+10000000</f>
        <v>62240712</v>
      </c>
      <c r="U24" s="290">
        <f>31411000+2558257+37500+8536960+9767318+40103208</f>
        <v>92414243</v>
      </c>
      <c r="V24" s="290">
        <f>2558257+37500+9767318+40103208</f>
        <v>52466283</v>
      </c>
      <c r="W24" s="290">
        <f>2558257+37500+6146000+9767318+40103208</f>
        <v>58612283</v>
      </c>
      <c r="X24" s="331">
        <f>814000+2558257+37500+12000000+9767318+40103208+20000000-6363842</f>
        <v>78916441</v>
      </c>
      <c r="Y24" s="331">
        <f>2558257+37500+10000000+9767318+40103208+20000000-6363842</f>
        <v>76102441</v>
      </c>
      <c r="Z24" s="331">
        <f>2558257+37500+14400000+9767318+40103208+20000000-6363842-2943122</f>
        <v>77559319</v>
      </c>
      <c r="AA24" s="331">
        <f>2558257+37500+13000000+9767318+40103208+4095218-6363842-2943122</f>
        <v>60254537</v>
      </c>
      <c r="AB24" s="331">
        <f>4557086+75000+14400000+9767318+40103208+40103208+20000000-6363844-2943121</f>
        <v>119698855</v>
      </c>
      <c r="AC24" s="287">
        <f>SUM(Q24:AB24)</f>
        <v>764102324</v>
      </c>
      <c r="AD24" s="291"/>
      <c r="AE24" s="3"/>
      <c r="AF24" s="3"/>
    </row>
    <row r="25" spans="1:41" ht="32.1" customHeight="1" thickBot="1" x14ac:dyDescent="0.35">
      <c r="A25" s="393" t="s">
        <v>46</v>
      </c>
      <c r="B25" s="436"/>
      <c r="C25" s="296">
        <v>7741652</v>
      </c>
      <c r="D25" s="297">
        <f>12069914-C25</f>
        <v>4328262</v>
      </c>
      <c r="E25" s="297">
        <f>19279460-C25-D25</f>
        <v>7209546</v>
      </c>
      <c r="F25" s="297">
        <f>26220277-C25-D25-E25</f>
        <v>6940817</v>
      </c>
      <c r="G25" s="297">
        <f>26378468-C25-D25-E25-F25</f>
        <v>158191</v>
      </c>
      <c r="H25" s="297">
        <f>26378468-C25-D25-E25-F25-G25</f>
        <v>0</v>
      </c>
      <c r="I25" s="297">
        <f>26378468-C25-D25-E25-F25-G25-H25</f>
        <v>0</v>
      </c>
      <c r="J25" s="297"/>
      <c r="K25" s="297"/>
      <c r="L25" s="297"/>
      <c r="M25" s="297"/>
      <c r="N25" s="297"/>
      <c r="O25" s="298">
        <f>SUM(C25:N25)</f>
        <v>26378468</v>
      </c>
      <c r="P25" s="299">
        <f>IFERROR(O25/(SUMIF(C25:N25,"&gt;0",C24:O24))," ")</f>
        <v>1</v>
      </c>
      <c r="Q25" s="300"/>
      <c r="R25" s="301">
        <f>3897040</f>
        <v>3897040</v>
      </c>
      <c r="S25" s="301">
        <f>35155514-R25</f>
        <v>31258474</v>
      </c>
      <c r="T25" s="301">
        <f>85390370-R25-S25</f>
        <v>50234856</v>
      </c>
      <c r="U25" s="301">
        <f>141512957-R25-S25-T25</f>
        <v>56122587</v>
      </c>
      <c r="V25" s="301">
        <f>205293868-R25-S25-T25-U25</f>
        <v>63780911</v>
      </c>
      <c r="W25" s="301">
        <f>276460813-R25-S25-T25-U25-V25</f>
        <v>71166945</v>
      </c>
      <c r="X25" s="301">
        <f>333493097-R25-S25-T25-U25-V25-W25</f>
        <v>57032284</v>
      </c>
      <c r="Y25" s="301">
        <f>413282244-R25-S25-T25-U25-V25-W25-X25</f>
        <v>79789147</v>
      </c>
      <c r="Z25" s="301">
        <f>475577409-Q25-R25-S25-T25-U25-V25-W25-X25-Y25</f>
        <v>62295165</v>
      </c>
      <c r="AA25" s="301"/>
      <c r="AB25" s="301"/>
      <c r="AC25" s="297">
        <f>SUM(Q25:AB25)</f>
        <v>475577409</v>
      </c>
      <c r="AD25" s="302">
        <f>AC25/AC24</f>
        <v>0.62240016037433232</v>
      </c>
      <c r="AE25" s="3"/>
      <c r="AF25" s="3"/>
    </row>
    <row r="26" spans="1:41" ht="32.1" customHeight="1" thickBot="1" x14ac:dyDescent="0.35">
      <c r="A26" s="247"/>
      <c r="B26" s="242"/>
      <c r="C26" s="304"/>
      <c r="D26" s="304"/>
      <c r="E26" s="304"/>
      <c r="F26" s="304"/>
      <c r="G26" s="303"/>
      <c r="H26" s="303"/>
      <c r="I26" s="303"/>
      <c r="J26" s="304"/>
      <c r="K26" s="304"/>
      <c r="L26" s="304"/>
      <c r="M26" s="304"/>
      <c r="N26" s="304"/>
      <c r="O26" s="303"/>
      <c r="P26" s="304"/>
      <c r="Q26" s="304"/>
      <c r="R26" s="304"/>
      <c r="S26" s="304"/>
      <c r="T26" s="304"/>
      <c r="U26" s="304"/>
      <c r="V26" s="304"/>
      <c r="W26" s="304"/>
      <c r="X26" s="304"/>
      <c r="Y26" s="304"/>
      <c r="Z26" s="304"/>
      <c r="AA26" s="304"/>
      <c r="AB26" s="304"/>
      <c r="AC26" s="248"/>
      <c r="AD26" s="262"/>
    </row>
    <row r="27" spans="1:41" ht="33.75" customHeight="1" x14ac:dyDescent="0.3">
      <c r="A27" s="430" t="s">
        <v>47</v>
      </c>
      <c r="B27" s="431"/>
      <c r="C27" s="432"/>
      <c r="D27" s="432"/>
      <c r="E27" s="432"/>
      <c r="F27" s="432"/>
      <c r="G27" s="432"/>
      <c r="H27" s="432"/>
      <c r="I27" s="432"/>
      <c r="J27" s="432"/>
      <c r="K27" s="432"/>
      <c r="L27" s="432"/>
      <c r="M27" s="432"/>
      <c r="N27" s="432"/>
      <c r="O27" s="432"/>
      <c r="P27" s="432"/>
      <c r="Q27" s="432"/>
      <c r="R27" s="432"/>
      <c r="S27" s="432"/>
      <c r="T27" s="432"/>
      <c r="U27" s="432"/>
      <c r="V27" s="432"/>
      <c r="W27" s="432"/>
      <c r="X27" s="432"/>
      <c r="Y27" s="432"/>
      <c r="Z27" s="432"/>
      <c r="AA27" s="432"/>
      <c r="AB27" s="432"/>
      <c r="AC27" s="432"/>
      <c r="AD27" s="433"/>
    </row>
    <row r="28" spans="1:41" ht="15" customHeight="1" x14ac:dyDescent="0.3">
      <c r="A28" s="440" t="s">
        <v>48</v>
      </c>
      <c r="B28" s="442" t="s">
        <v>49</v>
      </c>
      <c r="C28" s="443"/>
      <c r="D28" s="435" t="s">
        <v>50</v>
      </c>
      <c r="E28" s="444"/>
      <c r="F28" s="444"/>
      <c r="G28" s="444"/>
      <c r="H28" s="444"/>
      <c r="I28" s="444"/>
      <c r="J28" s="444"/>
      <c r="K28" s="444"/>
      <c r="L28" s="444"/>
      <c r="M28" s="444"/>
      <c r="N28" s="444"/>
      <c r="O28" s="423"/>
      <c r="P28" s="424" t="s">
        <v>41</v>
      </c>
      <c r="Q28" s="424" t="s">
        <v>51</v>
      </c>
      <c r="R28" s="424"/>
      <c r="S28" s="424"/>
      <c r="T28" s="424"/>
      <c r="U28" s="424"/>
      <c r="V28" s="424"/>
      <c r="W28" s="424"/>
      <c r="X28" s="424"/>
      <c r="Y28" s="424"/>
      <c r="Z28" s="424"/>
      <c r="AA28" s="424"/>
      <c r="AB28" s="424"/>
      <c r="AC28" s="424"/>
      <c r="AD28" s="425"/>
    </row>
    <row r="29" spans="1:41" ht="27" customHeight="1" x14ac:dyDescent="0.3">
      <c r="A29" s="441"/>
      <c r="B29" s="426"/>
      <c r="C29" s="428"/>
      <c r="D29" s="305" t="s">
        <v>30</v>
      </c>
      <c r="E29" s="305" t="s">
        <v>31</v>
      </c>
      <c r="F29" s="305" t="s">
        <v>32</v>
      </c>
      <c r="G29" s="305" t="s">
        <v>33</v>
      </c>
      <c r="H29" s="305" t="s">
        <v>34</v>
      </c>
      <c r="I29" s="305" t="s">
        <v>35</v>
      </c>
      <c r="J29" s="305" t="s">
        <v>36</v>
      </c>
      <c r="K29" s="305" t="s">
        <v>37</v>
      </c>
      <c r="L29" s="305" t="s">
        <v>8</v>
      </c>
      <c r="M29" s="305" t="s">
        <v>38</v>
      </c>
      <c r="N29" s="305" t="s">
        <v>39</v>
      </c>
      <c r="O29" s="305" t="s">
        <v>40</v>
      </c>
      <c r="P29" s="423"/>
      <c r="Q29" s="424"/>
      <c r="R29" s="424"/>
      <c r="S29" s="424"/>
      <c r="T29" s="424"/>
      <c r="U29" s="424"/>
      <c r="V29" s="424"/>
      <c r="W29" s="424"/>
      <c r="X29" s="424"/>
      <c r="Y29" s="424"/>
      <c r="Z29" s="424"/>
      <c r="AA29" s="424"/>
      <c r="AB29" s="424"/>
      <c r="AC29" s="424"/>
      <c r="AD29" s="425"/>
    </row>
    <row r="30" spans="1:41" ht="56.25" customHeight="1" thickBot="1" x14ac:dyDescent="0.35">
      <c r="A30" s="332" t="s">
        <v>110</v>
      </c>
      <c r="B30" s="773"/>
      <c r="C30" s="774"/>
      <c r="D30" s="308"/>
      <c r="E30" s="308"/>
      <c r="F30" s="308"/>
      <c r="G30" s="308"/>
      <c r="H30" s="308"/>
      <c r="I30" s="308"/>
      <c r="J30" s="308"/>
      <c r="K30" s="308"/>
      <c r="L30" s="308"/>
      <c r="M30" s="308"/>
      <c r="N30" s="308"/>
      <c r="O30" s="308"/>
      <c r="P30" s="309">
        <f>SUM(D30:O30)</f>
        <v>0</v>
      </c>
      <c r="Q30" s="456"/>
      <c r="R30" s="456"/>
      <c r="S30" s="456"/>
      <c r="T30" s="456"/>
      <c r="U30" s="456"/>
      <c r="V30" s="456"/>
      <c r="W30" s="456"/>
      <c r="X30" s="456"/>
      <c r="Y30" s="456"/>
      <c r="Z30" s="456"/>
      <c r="AA30" s="456"/>
      <c r="AB30" s="456"/>
      <c r="AC30" s="456"/>
      <c r="AD30" s="457"/>
    </row>
    <row r="31" spans="1:41" ht="45" customHeight="1" x14ac:dyDescent="0.3">
      <c r="A31" s="764" t="s">
        <v>53</v>
      </c>
      <c r="B31" s="460"/>
      <c r="C31" s="460"/>
      <c r="D31" s="460"/>
      <c r="E31" s="460"/>
      <c r="F31" s="460"/>
      <c r="G31" s="460"/>
      <c r="H31" s="460"/>
      <c r="I31" s="460"/>
      <c r="J31" s="460"/>
      <c r="K31" s="460"/>
      <c r="L31" s="460"/>
      <c r="M31" s="460"/>
      <c r="N31" s="460"/>
      <c r="O31" s="460"/>
      <c r="P31" s="460"/>
      <c r="Q31" s="460"/>
      <c r="R31" s="460"/>
      <c r="S31" s="460"/>
      <c r="T31" s="460"/>
      <c r="U31" s="460"/>
      <c r="V31" s="460"/>
      <c r="W31" s="460"/>
      <c r="X31" s="460"/>
      <c r="Y31" s="460"/>
      <c r="Z31" s="460"/>
      <c r="AA31" s="460"/>
      <c r="AB31" s="460"/>
      <c r="AC31" s="460"/>
      <c r="AD31" s="461"/>
    </row>
    <row r="32" spans="1:41" ht="23.1" customHeight="1" x14ac:dyDescent="0.3">
      <c r="A32" s="434" t="s">
        <v>54</v>
      </c>
      <c r="B32" s="424" t="s">
        <v>55</v>
      </c>
      <c r="C32" s="424" t="s">
        <v>49</v>
      </c>
      <c r="D32" s="424" t="s">
        <v>56</v>
      </c>
      <c r="E32" s="424"/>
      <c r="F32" s="424"/>
      <c r="G32" s="424"/>
      <c r="H32" s="424"/>
      <c r="I32" s="424"/>
      <c r="J32" s="424"/>
      <c r="K32" s="424"/>
      <c r="L32" s="424"/>
      <c r="M32" s="424"/>
      <c r="N32" s="424"/>
      <c r="O32" s="424"/>
      <c r="P32" s="424"/>
      <c r="Q32" s="424" t="s">
        <v>57</v>
      </c>
      <c r="R32" s="424"/>
      <c r="S32" s="424"/>
      <c r="T32" s="424"/>
      <c r="U32" s="424"/>
      <c r="V32" s="424"/>
      <c r="W32" s="424"/>
      <c r="X32" s="424"/>
      <c r="Y32" s="424"/>
      <c r="Z32" s="424"/>
      <c r="AA32" s="424"/>
      <c r="AB32" s="424"/>
      <c r="AC32" s="424"/>
      <c r="AD32" s="425"/>
      <c r="AG32" s="87"/>
      <c r="AH32" s="87"/>
      <c r="AI32" s="87"/>
      <c r="AJ32" s="87"/>
      <c r="AK32" s="87"/>
      <c r="AL32" s="87"/>
      <c r="AM32" s="87"/>
      <c r="AN32" s="87"/>
      <c r="AO32" s="87"/>
    </row>
    <row r="33" spans="1:41" ht="27" customHeight="1" x14ac:dyDescent="0.3">
      <c r="A33" s="434"/>
      <c r="B33" s="424"/>
      <c r="C33" s="462"/>
      <c r="D33" s="305" t="s">
        <v>30</v>
      </c>
      <c r="E33" s="305" t="s">
        <v>31</v>
      </c>
      <c r="F33" s="305" t="s">
        <v>32</v>
      </c>
      <c r="G33" s="305" t="s">
        <v>33</v>
      </c>
      <c r="H33" s="305" t="s">
        <v>34</v>
      </c>
      <c r="I33" s="305" t="s">
        <v>35</v>
      </c>
      <c r="J33" s="305" t="s">
        <v>36</v>
      </c>
      <c r="K33" s="305" t="s">
        <v>37</v>
      </c>
      <c r="L33" s="305" t="s">
        <v>8</v>
      </c>
      <c r="M33" s="305" t="s">
        <v>38</v>
      </c>
      <c r="N33" s="305" t="s">
        <v>39</v>
      </c>
      <c r="O33" s="305" t="s">
        <v>40</v>
      </c>
      <c r="P33" s="305" t="s">
        <v>41</v>
      </c>
      <c r="Q33" s="424" t="s">
        <v>58</v>
      </c>
      <c r="R33" s="424"/>
      <c r="S33" s="424"/>
      <c r="T33" s="424" t="s">
        <v>59</v>
      </c>
      <c r="U33" s="424"/>
      <c r="V33" s="424"/>
      <c r="W33" s="426" t="s">
        <v>60</v>
      </c>
      <c r="X33" s="427"/>
      <c r="Y33" s="427"/>
      <c r="Z33" s="428"/>
      <c r="AA33" s="426" t="s">
        <v>61</v>
      </c>
      <c r="AB33" s="427"/>
      <c r="AC33" s="427"/>
      <c r="AD33" s="429"/>
      <c r="AG33" s="87"/>
      <c r="AH33" s="87"/>
      <c r="AI33" s="87"/>
      <c r="AJ33" s="87"/>
      <c r="AK33" s="87"/>
      <c r="AL33" s="87"/>
      <c r="AM33" s="87"/>
      <c r="AN33" s="87"/>
      <c r="AO33" s="87"/>
    </row>
    <row r="34" spans="1:41" ht="54.75" customHeight="1" x14ac:dyDescent="0.3">
      <c r="A34" s="409" t="s">
        <v>110</v>
      </c>
      <c r="B34" s="411">
        <v>0.2</v>
      </c>
      <c r="C34" s="311" t="s">
        <v>62</v>
      </c>
      <c r="D34" s="312">
        <f>D88</f>
        <v>0</v>
      </c>
      <c r="E34" s="312">
        <f t="shared" ref="E34:O34" si="0">E88</f>
        <v>0.10439999999999999</v>
      </c>
      <c r="F34" s="312">
        <f t="shared" si="0"/>
        <v>7.1999999999999981E-2</v>
      </c>
      <c r="G34" s="312">
        <f t="shared" si="0"/>
        <v>0.11249999999999999</v>
      </c>
      <c r="H34" s="312">
        <f t="shared" si="0"/>
        <v>9.2700000000000005E-2</v>
      </c>
      <c r="I34" s="312">
        <f t="shared" si="0"/>
        <v>9.1799999999999979E-2</v>
      </c>
      <c r="J34" s="312">
        <f t="shared" si="0"/>
        <v>8.7299999999999989E-2</v>
      </c>
      <c r="K34" s="312">
        <f t="shared" si="0"/>
        <v>7.8299999999999995E-2</v>
      </c>
      <c r="L34" s="312">
        <f t="shared" si="0"/>
        <v>7.3800000000000004E-2</v>
      </c>
      <c r="M34" s="312">
        <f t="shared" si="0"/>
        <v>9.1800000000000007E-2</v>
      </c>
      <c r="N34" s="312">
        <f t="shared" si="0"/>
        <v>6.5699999999999995E-2</v>
      </c>
      <c r="O34" s="312">
        <f t="shared" si="0"/>
        <v>2.9700000000000004E-2</v>
      </c>
      <c r="P34" s="312">
        <f>SUM(D34:O34)</f>
        <v>0.89999999999999991</v>
      </c>
      <c r="Q34" s="413" t="s">
        <v>579</v>
      </c>
      <c r="R34" s="414"/>
      <c r="S34" s="415"/>
      <c r="T34" s="414" t="s">
        <v>580</v>
      </c>
      <c r="U34" s="414"/>
      <c r="V34" s="415"/>
      <c r="W34" s="413" t="s">
        <v>562</v>
      </c>
      <c r="X34" s="414"/>
      <c r="Y34" s="414"/>
      <c r="Z34" s="415"/>
      <c r="AA34" s="413" t="s">
        <v>111</v>
      </c>
      <c r="AB34" s="414"/>
      <c r="AC34" s="414"/>
      <c r="AD34" s="419"/>
      <c r="AG34" s="87"/>
      <c r="AH34" s="87"/>
      <c r="AI34" s="87"/>
      <c r="AJ34" s="87"/>
      <c r="AK34" s="87"/>
      <c r="AL34" s="87"/>
      <c r="AM34" s="87"/>
      <c r="AN34" s="87"/>
      <c r="AO34" s="87"/>
    </row>
    <row r="35" spans="1:41" ht="409.6" customHeight="1" thickBot="1" x14ac:dyDescent="0.35">
      <c r="A35" s="410"/>
      <c r="B35" s="412"/>
      <c r="C35" s="333" t="s">
        <v>63</v>
      </c>
      <c r="D35" s="315">
        <f>D85</f>
        <v>0</v>
      </c>
      <c r="E35" s="315">
        <f>E85</f>
        <v>4.8599999999999997E-2</v>
      </c>
      <c r="F35" s="315">
        <f t="shared" ref="F35:O35" si="1">F85</f>
        <v>8.7299999999999975E-2</v>
      </c>
      <c r="G35" s="315">
        <f t="shared" si="1"/>
        <v>0.12149999999999998</v>
      </c>
      <c r="H35" s="315">
        <f t="shared" si="1"/>
        <v>0.12869999999999998</v>
      </c>
      <c r="I35" s="315">
        <f t="shared" si="1"/>
        <v>9.1799999999999979E-2</v>
      </c>
      <c r="J35" s="315">
        <f t="shared" si="1"/>
        <v>8.0099999999999991E-2</v>
      </c>
      <c r="K35" s="315">
        <f t="shared" si="1"/>
        <v>8.0999999999999989E-2</v>
      </c>
      <c r="L35" s="315">
        <f t="shared" si="1"/>
        <v>7.3800000000000004E-2</v>
      </c>
      <c r="M35" s="315">
        <f t="shared" si="1"/>
        <v>9.1800000000000007E-2</v>
      </c>
      <c r="N35" s="315">
        <f t="shared" si="1"/>
        <v>0</v>
      </c>
      <c r="O35" s="315">
        <f t="shared" si="1"/>
        <v>0</v>
      </c>
      <c r="P35" s="315">
        <f>SUM(D35:O35)</f>
        <v>0.80459999999999987</v>
      </c>
      <c r="Q35" s="416"/>
      <c r="R35" s="417"/>
      <c r="S35" s="418"/>
      <c r="T35" s="417"/>
      <c r="U35" s="417"/>
      <c r="V35" s="418"/>
      <c r="W35" s="416"/>
      <c r="X35" s="417"/>
      <c r="Y35" s="417"/>
      <c r="Z35" s="418"/>
      <c r="AA35" s="416"/>
      <c r="AB35" s="417"/>
      <c r="AC35" s="417"/>
      <c r="AD35" s="420"/>
      <c r="AE35" s="49"/>
      <c r="AG35" s="87"/>
      <c r="AH35" s="87"/>
      <c r="AI35" s="87"/>
      <c r="AJ35" s="87"/>
      <c r="AK35" s="87"/>
      <c r="AL35" s="87"/>
      <c r="AM35" s="87"/>
      <c r="AN35" s="87"/>
      <c r="AO35" s="87"/>
    </row>
    <row r="36" spans="1:41" ht="26.1" customHeight="1" x14ac:dyDescent="0.3">
      <c r="A36" s="775" t="s">
        <v>64</v>
      </c>
      <c r="B36" s="777" t="s">
        <v>65</v>
      </c>
      <c r="C36" s="392" t="s">
        <v>66</v>
      </c>
      <c r="D36" s="396"/>
      <c r="E36" s="396"/>
      <c r="F36" s="396"/>
      <c r="G36" s="396"/>
      <c r="H36" s="396"/>
      <c r="I36" s="396"/>
      <c r="J36" s="396"/>
      <c r="K36" s="396"/>
      <c r="L36" s="396"/>
      <c r="M36" s="396"/>
      <c r="N36" s="396"/>
      <c r="O36" s="396"/>
      <c r="P36" s="397"/>
      <c r="Q36" s="399" t="s">
        <v>67</v>
      </c>
      <c r="R36" s="399"/>
      <c r="S36" s="399"/>
      <c r="T36" s="399"/>
      <c r="U36" s="399"/>
      <c r="V36" s="399"/>
      <c r="W36" s="399"/>
      <c r="X36" s="399"/>
      <c r="Y36" s="399"/>
      <c r="Z36" s="399"/>
      <c r="AA36" s="399"/>
      <c r="AB36" s="399"/>
      <c r="AC36" s="399"/>
      <c r="AD36" s="400"/>
      <c r="AG36" s="87"/>
      <c r="AH36" s="87"/>
      <c r="AI36" s="87"/>
      <c r="AJ36" s="87"/>
      <c r="AK36" s="87"/>
      <c r="AL36" s="87"/>
      <c r="AM36" s="87"/>
      <c r="AN36" s="87"/>
      <c r="AO36" s="87"/>
    </row>
    <row r="37" spans="1:41" ht="63" customHeight="1" thickBot="1" x14ac:dyDescent="0.35">
      <c r="A37" s="776"/>
      <c r="B37" s="778"/>
      <c r="C37" s="294" t="s">
        <v>68</v>
      </c>
      <c r="D37" s="317" t="s">
        <v>69</v>
      </c>
      <c r="E37" s="317" t="s">
        <v>70</v>
      </c>
      <c r="F37" s="317" t="s">
        <v>71</v>
      </c>
      <c r="G37" s="317" t="s">
        <v>72</v>
      </c>
      <c r="H37" s="317" t="s">
        <v>73</v>
      </c>
      <c r="I37" s="317" t="s">
        <v>74</v>
      </c>
      <c r="J37" s="317" t="s">
        <v>75</v>
      </c>
      <c r="K37" s="317" t="s">
        <v>76</v>
      </c>
      <c r="L37" s="317" t="s">
        <v>77</v>
      </c>
      <c r="M37" s="317" t="s">
        <v>78</v>
      </c>
      <c r="N37" s="317" t="s">
        <v>79</v>
      </c>
      <c r="O37" s="317" t="s">
        <v>80</v>
      </c>
      <c r="P37" s="318" t="s">
        <v>81</v>
      </c>
      <c r="Q37" s="402" t="s">
        <v>82</v>
      </c>
      <c r="R37" s="402"/>
      <c r="S37" s="402"/>
      <c r="T37" s="402"/>
      <c r="U37" s="402"/>
      <c r="V37" s="402"/>
      <c r="W37" s="402"/>
      <c r="X37" s="402"/>
      <c r="Y37" s="402"/>
      <c r="Z37" s="402"/>
      <c r="AA37" s="402"/>
      <c r="AB37" s="402"/>
      <c r="AC37" s="402"/>
      <c r="AD37" s="403"/>
      <c r="AG37" s="94"/>
      <c r="AH37" s="94"/>
      <c r="AI37" s="94"/>
      <c r="AJ37" s="94"/>
      <c r="AK37" s="94"/>
      <c r="AL37" s="94"/>
      <c r="AM37" s="94"/>
      <c r="AN37" s="94"/>
      <c r="AO37" s="94"/>
    </row>
    <row r="38" spans="1:41" ht="53.25" customHeight="1" x14ac:dyDescent="0.3">
      <c r="A38" s="404" t="s">
        <v>112</v>
      </c>
      <c r="B38" s="785">
        <v>0.02</v>
      </c>
      <c r="C38" s="334" t="s">
        <v>62</v>
      </c>
      <c r="D38" s="319">
        <v>0</v>
      </c>
      <c r="E38" s="319">
        <v>0.3</v>
      </c>
      <c r="F38" s="319">
        <v>0.3</v>
      </c>
      <c r="G38" s="319">
        <v>0.2</v>
      </c>
      <c r="H38" s="319">
        <v>0.06</v>
      </c>
      <c r="I38" s="319">
        <v>0.02</v>
      </c>
      <c r="J38" s="319">
        <v>0.02</v>
      </c>
      <c r="K38" s="319">
        <v>0.02</v>
      </c>
      <c r="L38" s="319">
        <v>0.02</v>
      </c>
      <c r="M38" s="319">
        <v>0.02</v>
      </c>
      <c r="N38" s="319">
        <v>0.02</v>
      </c>
      <c r="O38" s="319">
        <v>0.02</v>
      </c>
      <c r="P38" s="320">
        <f t="shared" ref="P38:P45" si="2">SUM(D38:O38)</f>
        <v>1.0000000000000002</v>
      </c>
      <c r="Q38" s="779" t="s">
        <v>548</v>
      </c>
      <c r="R38" s="780"/>
      <c r="S38" s="780"/>
      <c r="T38" s="780"/>
      <c r="U38" s="780"/>
      <c r="V38" s="780"/>
      <c r="W38" s="780"/>
      <c r="X38" s="780"/>
      <c r="Y38" s="780"/>
      <c r="Z38" s="780"/>
      <c r="AA38" s="780"/>
      <c r="AB38" s="780"/>
      <c r="AC38" s="780"/>
      <c r="AD38" s="781"/>
      <c r="AE38" s="97"/>
      <c r="AG38" s="98"/>
      <c r="AH38" s="98"/>
      <c r="AI38" s="98"/>
      <c r="AJ38" s="98"/>
      <c r="AK38" s="98"/>
      <c r="AL38" s="98"/>
      <c r="AM38" s="98"/>
      <c r="AN38" s="98"/>
      <c r="AO38" s="98"/>
    </row>
    <row r="39" spans="1:41" ht="77.25" customHeight="1" x14ac:dyDescent="0.3">
      <c r="A39" s="383"/>
      <c r="B39" s="756"/>
      <c r="C39" s="335" t="s">
        <v>63</v>
      </c>
      <c r="D39" s="322">
        <v>0</v>
      </c>
      <c r="E39" s="322">
        <v>0.3</v>
      </c>
      <c r="F39" s="322">
        <v>0.3</v>
      </c>
      <c r="G39" s="322">
        <v>0.2</v>
      </c>
      <c r="H39" s="322">
        <v>0.06</v>
      </c>
      <c r="I39" s="322">
        <v>0.02</v>
      </c>
      <c r="J39" s="322">
        <v>0.02</v>
      </c>
      <c r="K39" s="322">
        <v>0.02</v>
      </c>
      <c r="L39" s="322">
        <v>0.02</v>
      </c>
      <c r="M39" s="322">
        <v>0.02</v>
      </c>
      <c r="N39" s="322"/>
      <c r="O39" s="322"/>
      <c r="P39" s="336">
        <f t="shared" si="2"/>
        <v>0.96000000000000019</v>
      </c>
      <c r="Q39" s="782"/>
      <c r="R39" s="783"/>
      <c r="S39" s="783"/>
      <c r="T39" s="783"/>
      <c r="U39" s="783"/>
      <c r="V39" s="783"/>
      <c r="W39" s="783"/>
      <c r="X39" s="783"/>
      <c r="Y39" s="783"/>
      <c r="Z39" s="783"/>
      <c r="AA39" s="783"/>
      <c r="AB39" s="783"/>
      <c r="AC39" s="783"/>
      <c r="AD39" s="784"/>
      <c r="AE39" s="97"/>
    </row>
    <row r="40" spans="1:41" ht="60.6" customHeight="1" x14ac:dyDescent="0.3">
      <c r="A40" s="383" t="s">
        <v>113</v>
      </c>
      <c r="B40" s="756">
        <v>0.02</v>
      </c>
      <c r="C40" s="337" t="s">
        <v>62</v>
      </c>
      <c r="D40" s="325">
        <v>0</v>
      </c>
      <c r="E40" s="325">
        <v>0.02</v>
      </c>
      <c r="F40" s="325">
        <v>0.04</v>
      </c>
      <c r="G40" s="325">
        <v>0.1</v>
      </c>
      <c r="H40" s="325">
        <v>0.02</v>
      </c>
      <c r="I40" s="325">
        <v>0.1</v>
      </c>
      <c r="J40" s="325">
        <v>0.1</v>
      </c>
      <c r="K40" s="325">
        <v>0.1</v>
      </c>
      <c r="L40" s="325">
        <v>0.1</v>
      </c>
      <c r="M40" s="325">
        <v>0.2</v>
      </c>
      <c r="N40" s="325">
        <v>0.2</v>
      </c>
      <c r="O40" s="325">
        <v>0.02</v>
      </c>
      <c r="P40" s="323">
        <f t="shared" si="2"/>
        <v>1</v>
      </c>
      <c r="Q40" s="789" t="s">
        <v>549</v>
      </c>
      <c r="R40" s="790"/>
      <c r="S40" s="790"/>
      <c r="T40" s="790"/>
      <c r="U40" s="790"/>
      <c r="V40" s="790"/>
      <c r="W40" s="790"/>
      <c r="X40" s="790"/>
      <c r="Y40" s="790"/>
      <c r="Z40" s="790"/>
      <c r="AA40" s="790"/>
      <c r="AB40" s="790"/>
      <c r="AC40" s="790"/>
      <c r="AD40" s="791"/>
      <c r="AE40" s="97"/>
    </row>
    <row r="41" spans="1:41" ht="84.75" customHeight="1" x14ac:dyDescent="0.3">
      <c r="A41" s="383"/>
      <c r="B41" s="756"/>
      <c r="C41" s="335" t="s">
        <v>63</v>
      </c>
      <c r="D41" s="322">
        <v>0</v>
      </c>
      <c r="E41" s="322">
        <v>0</v>
      </c>
      <c r="F41" s="322">
        <v>0.06</v>
      </c>
      <c r="G41" s="322">
        <v>0.1</v>
      </c>
      <c r="H41" s="322">
        <v>0.02</v>
      </c>
      <c r="I41" s="322">
        <v>0.1</v>
      </c>
      <c r="J41" s="322">
        <v>0.1</v>
      </c>
      <c r="K41" s="322">
        <v>0.1</v>
      </c>
      <c r="L41" s="322">
        <v>0.1</v>
      </c>
      <c r="M41" s="322">
        <v>0.2</v>
      </c>
      <c r="N41" s="322"/>
      <c r="O41" s="322"/>
      <c r="P41" s="336">
        <f>SUM(D41:O41)</f>
        <v>0.78</v>
      </c>
      <c r="Q41" s="789"/>
      <c r="R41" s="790"/>
      <c r="S41" s="790"/>
      <c r="T41" s="790"/>
      <c r="U41" s="790"/>
      <c r="V41" s="790"/>
      <c r="W41" s="790"/>
      <c r="X41" s="790"/>
      <c r="Y41" s="790"/>
      <c r="Z41" s="790"/>
      <c r="AA41" s="790"/>
      <c r="AB41" s="790"/>
      <c r="AC41" s="790"/>
      <c r="AD41" s="791"/>
      <c r="AE41" s="97"/>
    </row>
    <row r="42" spans="1:41" ht="36" customHeight="1" x14ac:dyDescent="0.3">
      <c r="A42" s="383" t="s">
        <v>114</v>
      </c>
      <c r="B42" s="756">
        <v>0.02</v>
      </c>
      <c r="C42" s="337" t="s">
        <v>62</v>
      </c>
      <c r="D42" s="325">
        <v>0</v>
      </c>
      <c r="E42" s="325">
        <v>0.04</v>
      </c>
      <c r="F42" s="325">
        <v>0.06</v>
      </c>
      <c r="G42" s="325">
        <v>0.1</v>
      </c>
      <c r="H42" s="325">
        <v>0.1</v>
      </c>
      <c r="I42" s="325">
        <v>0.1</v>
      </c>
      <c r="J42" s="325">
        <v>0.1</v>
      </c>
      <c r="K42" s="325">
        <v>0.1</v>
      </c>
      <c r="L42" s="325">
        <v>0.1</v>
      </c>
      <c r="M42" s="325">
        <v>0.1</v>
      </c>
      <c r="N42" s="325">
        <v>0.1</v>
      </c>
      <c r="O42" s="325">
        <v>0.1</v>
      </c>
      <c r="P42" s="323">
        <f t="shared" si="2"/>
        <v>0.99999999999999989</v>
      </c>
      <c r="Q42" s="782" t="s">
        <v>576</v>
      </c>
      <c r="R42" s="783"/>
      <c r="S42" s="783"/>
      <c r="T42" s="783"/>
      <c r="U42" s="783"/>
      <c r="V42" s="783"/>
      <c r="W42" s="783"/>
      <c r="X42" s="783"/>
      <c r="Y42" s="783"/>
      <c r="Z42" s="783"/>
      <c r="AA42" s="783"/>
      <c r="AB42" s="783"/>
      <c r="AC42" s="783"/>
      <c r="AD42" s="784"/>
      <c r="AE42" s="97"/>
    </row>
    <row r="43" spans="1:41" ht="69.75" customHeight="1" x14ac:dyDescent="0.3">
      <c r="A43" s="383"/>
      <c r="B43" s="756"/>
      <c r="C43" s="335" t="s">
        <v>63</v>
      </c>
      <c r="D43" s="322">
        <v>0</v>
      </c>
      <c r="E43" s="322">
        <v>0.04</v>
      </c>
      <c r="F43" s="322">
        <v>0.06</v>
      </c>
      <c r="G43" s="322">
        <v>0.1</v>
      </c>
      <c r="H43" s="322">
        <v>0.1</v>
      </c>
      <c r="I43" s="322">
        <v>0.1</v>
      </c>
      <c r="J43" s="322">
        <v>0.1</v>
      </c>
      <c r="K43" s="322">
        <v>0.1</v>
      </c>
      <c r="L43" s="322">
        <v>0.1</v>
      </c>
      <c r="M43" s="322">
        <v>0.1</v>
      </c>
      <c r="N43" s="322"/>
      <c r="O43" s="322"/>
      <c r="P43" s="336">
        <f t="shared" si="2"/>
        <v>0.79999999999999993</v>
      </c>
      <c r="Q43" s="782"/>
      <c r="R43" s="783"/>
      <c r="S43" s="783"/>
      <c r="T43" s="783"/>
      <c r="U43" s="783"/>
      <c r="V43" s="783"/>
      <c r="W43" s="783"/>
      <c r="X43" s="783"/>
      <c r="Y43" s="783"/>
      <c r="Z43" s="783"/>
      <c r="AA43" s="783"/>
      <c r="AB43" s="783"/>
      <c r="AC43" s="783"/>
      <c r="AD43" s="784"/>
      <c r="AE43" s="97"/>
    </row>
    <row r="44" spans="1:41" ht="195.9" customHeight="1" x14ac:dyDescent="0.3">
      <c r="A44" s="787" t="s">
        <v>115</v>
      </c>
      <c r="B44" s="786">
        <v>0.02</v>
      </c>
      <c r="C44" s="338" t="s">
        <v>62</v>
      </c>
      <c r="D44" s="339">
        <v>0</v>
      </c>
      <c r="E44" s="339">
        <v>0.05</v>
      </c>
      <c r="F44" s="325">
        <v>0.05</v>
      </c>
      <c r="G44" s="325">
        <v>0.1</v>
      </c>
      <c r="H44" s="325">
        <v>0.1</v>
      </c>
      <c r="I44" s="325">
        <v>0.1</v>
      </c>
      <c r="J44" s="325">
        <v>0.1</v>
      </c>
      <c r="K44" s="325">
        <v>0.15</v>
      </c>
      <c r="L44" s="325">
        <v>0.1</v>
      </c>
      <c r="M44" s="325">
        <v>0.1</v>
      </c>
      <c r="N44" s="325">
        <v>0.1</v>
      </c>
      <c r="O44" s="325">
        <v>0.05</v>
      </c>
      <c r="P44" s="323">
        <f t="shared" si="2"/>
        <v>1</v>
      </c>
      <c r="Q44" s="789" t="s">
        <v>575</v>
      </c>
      <c r="R44" s="790"/>
      <c r="S44" s="790"/>
      <c r="T44" s="790"/>
      <c r="U44" s="790"/>
      <c r="V44" s="790"/>
      <c r="W44" s="790"/>
      <c r="X44" s="790"/>
      <c r="Y44" s="790"/>
      <c r="Z44" s="790"/>
      <c r="AA44" s="790"/>
      <c r="AB44" s="790"/>
      <c r="AC44" s="790"/>
      <c r="AD44" s="791"/>
      <c r="AE44" s="97"/>
    </row>
    <row r="45" spans="1:41" ht="195.9" customHeight="1" x14ac:dyDescent="0.3">
      <c r="A45" s="788"/>
      <c r="B45" s="786"/>
      <c r="C45" s="335" t="s">
        <v>63</v>
      </c>
      <c r="D45" s="322">
        <v>0</v>
      </c>
      <c r="E45" s="322">
        <v>0.05</v>
      </c>
      <c r="F45" s="322">
        <v>0.05</v>
      </c>
      <c r="G45" s="322">
        <v>0.15</v>
      </c>
      <c r="H45" s="322">
        <v>0.1</v>
      </c>
      <c r="I45" s="322">
        <v>0.1</v>
      </c>
      <c r="J45" s="322">
        <v>0.05</v>
      </c>
      <c r="K45" s="322">
        <v>0.15</v>
      </c>
      <c r="L45" s="322">
        <v>0.1</v>
      </c>
      <c r="M45" s="322">
        <v>0.1</v>
      </c>
      <c r="N45" s="322"/>
      <c r="O45" s="322"/>
      <c r="P45" s="336">
        <f t="shared" si="2"/>
        <v>0.84999999999999987</v>
      </c>
      <c r="Q45" s="789"/>
      <c r="R45" s="790"/>
      <c r="S45" s="790"/>
      <c r="T45" s="790"/>
      <c r="U45" s="790"/>
      <c r="V45" s="790"/>
      <c r="W45" s="790"/>
      <c r="X45" s="790"/>
      <c r="Y45" s="790"/>
      <c r="Z45" s="790"/>
      <c r="AA45" s="790"/>
      <c r="AB45" s="790"/>
      <c r="AC45" s="790"/>
      <c r="AD45" s="791"/>
      <c r="AE45" s="97"/>
    </row>
    <row r="46" spans="1:41" ht="129" customHeight="1" x14ac:dyDescent="0.3">
      <c r="A46" s="787" t="s">
        <v>116</v>
      </c>
      <c r="B46" s="786">
        <v>0.02</v>
      </c>
      <c r="C46" s="338" t="s">
        <v>62</v>
      </c>
      <c r="D46" s="339">
        <v>0</v>
      </c>
      <c r="E46" s="339">
        <v>0.05</v>
      </c>
      <c r="F46" s="325">
        <v>0.1</v>
      </c>
      <c r="G46" s="325">
        <v>0.1</v>
      </c>
      <c r="H46" s="325">
        <v>0.1</v>
      </c>
      <c r="I46" s="325">
        <v>0.1</v>
      </c>
      <c r="J46" s="325">
        <v>0.1</v>
      </c>
      <c r="K46" s="325">
        <v>0.1</v>
      </c>
      <c r="L46" s="325">
        <v>0.1</v>
      </c>
      <c r="M46" s="325">
        <v>0.1</v>
      </c>
      <c r="N46" s="325">
        <v>0.1</v>
      </c>
      <c r="O46" s="325">
        <v>0.05</v>
      </c>
      <c r="P46" s="323">
        <f t="shared" ref="P46:P57" si="3">SUM(D46:O46)</f>
        <v>0.99999999999999989</v>
      </c>
      <c r="Q46" s="782" t="s">
        <v>574</v>
      </c>
      <c r="R46" s="783"/>
      <c r="S46" s="783"/>
      <c r="T46" s="783"/>
      <c r="U46" s="783"/>
      <c r="V46" s="783"/>
      <c r="W46" s="783"/>
      <c r="X46" s="783"/>
      <c r="Y46" s="783"/>
      <c r="Z46" s="783"/>
      <c r="AA46" s="783"/>
      <c r="AB46" s="783"/>
      <c r="AC46" s="783"/>
      <c r="AD46" s="784"/>
      <c r="AE46" s="97"/>
    </row>
    <row r="47" spans="1:41" ht="97.2" customHeight="1" x14ac:dyDescent="0.3">
      <c r="A47" s="787"/>
      <c r="B47" s="786"/>
      <c r="C47" s="335" t="s">
        <v>63</v>
      </c>
      <c r="D47" s="322">
        <v>0</v>
      </c>
      <c r="E47" s="322">
        <v>0.05</v>
      </c>
      <c r="F47" s="322">
        <v>0.1</v>
      </c>
      <c r="G47" s="322">
        <v>0.1</v>
      </c>
      <c r="H47" s="322">
        <v>0.15</v>
      </c>
      <c r="I47" s="322">
        <v>0.1</v>
      </c>
      <c r="J47" s="322">
        <v>0.05</v>
      </c>
      <c r="K47" s="322">
        <v>0.1</v>
      </c>
      <c r="L47" s="322">
        <v>0.1</v>
      </c>
      <c r="M47" s="322">
        <v>0.1</v>
      </c>
      <c r="N47" s="322"/>
      <c r="O47" s="322"/>
      <c r="P47" s="336">
        <f t="shared" si="3"/>
        <v>0.85</v>
      </c>
      <c r="Q47" s="782"/>
      <c r="R47" s="783"/>
      <c r="S47" s="783"/>
      <c r="T47" s="783"/>
      <c r="U47" s="783"/>
      <c r="V47" s="783"/>
      <c r="W47" s="783"/>
      <c r="X47" s="783"/>
      <c r="Y47" s="783"/>
      <c r="Z47" s="783"/>
      <c r="AA47" s="783"/>
      <c r="AB47" s="783"/>
      <c r="AC47" s="783"/>
      <c r="AD47" s="784"/>
      <c r="AE47" s="97"/>
    </row>
    <row r="48" spans="1:41" ht="105.6" customHeight="1" x14ac:dyDescent="0.3">
      <c r="A48" s="787" t="s">
        <v>117</v>
      </c>
      <c r="B48" s="786">
        <v>0.02</v>
      </c>
      <c r="C48" s="338" t="s">
        <v>62</v>
      </c>
      <c r="D48" s="339">
        <v>0</v>
      </c>
      <c r="E48" s="339">
        <v>0.3</v>
      </c>
      <c r="F48" s="325">
        <v>0.05</v>
      </c>
      <c r="G48" s="325">
        <v>0.15</v>
      </c>
      <c r="H48" s="325">
        <v>0.15</v>
      </c>
      <c r="I48" s="325">
        <v>0.1</v>
      </c>
      <c r="J48" s="325">
        <v>0.05</v>
      </c>
      <c r="K48" s="325">
        <v>0.05</v>
      </c>
      <c r="L48" s="325">
        <v>0.05</v>
      </c>
      <c r="M48" s="325">
        <v>0.05</v>
      </c>
      <c r="N48" s="325">
        <v>0.03</v>
      </c>
      <c r="O48" s="325">
        <v>0.02</v>
      </c>
      <c r="P48" s="323">
        <f t="shared" si="3"/>
        <v>1.0000000000000002</v>
      </c>
      <c r="Q48" s="782" t="s">
        <v>573</v>
      </c>
      <c r="R48" s="783"/>
      <c r="S48" s="783"/>
      <c r="T48" s="783"/>
      <c r="U48" s="783"/>
      <c r="V48" s="783"/>
      <c r="W48" s="783"/>
      <c r="X48" s="783"/>
      <c r="Y48" s="783"/>
      <c r="Z48" s="783"/>
      <c r="AA48" s="783"/>
      <c r="AB48" s="783"/>
      <c r="AC48" s="783"/>
      <c r="AD48" s="784"/>
      <c r="AE48" s="97"/>
    </row>
    <row r="49" spans="1:31" ht="90.6" customHeight="1" x14ac:dyDescent="0.3">
      <c r="A49" s="787"/>
      <c r="B49" s="786"/>
      <c r="C49" s="335" t="s">
        <v>63</v>
      </c>
      <c r="D49" s="322">
        <v>0</v>
      </c>
      <c r="E49" s="322">
        <v>0.1</v>
      </c>
      <c r="F49" s="322">
        <v>0.2</v>
      </c>
      <c r="G49" s="322">
        <v>0.2</v>
      </c>
      <c r="H49" s="322">
        <v>0.15</v>
      </c>
      <c r="I49" s="322">
        <v>0.05</v>
      </c>
      <c r="J49" s="322">
        <v>0.1</v>
      </c>
      <c r="K49" s="322">
        <v>0.05</v>
      </c>
      <c r="L49" s="322">
        <v>0.05</v>
      </c>
      <c r="M49" s="322">
        <v>0.05</v>
      </c>
      <c r="N49" s="322"/>
      <c r="O49" s="322"/>
      <c r="P49" s="336">
        <f t="shared" si="3"/>
        <v>0.95000000000000018</v>
      </c>
      <c r="Q49" s="782"/>
      <c r="R49" s="783"/>
      <c r="S49" s="783"/>
      <c r="T49" s="783"/>
      <c r="U49" s="783"/>
      <c r="V49" s="783"/>
      <c r="W49" s="783"/>
      <c r="X49" s="783"/>
      <c r="Y49" s="783"/>
      <c r="Z49" s="783"/>
      <c r="AA49" s="783"/>
      <c r="AB49" s="783"/>
      <c r="AC49" s="783"/>
      <c r="AD49" s="784"/>
      <c r="AE49" s="97"/>
    </row>
    <row r="50" spans="1:31" ht="63.9" customHeight="1" x14ac:dyDescent="0.3">
      <c r="A50" s="383" t="s">
        <v>118</v>
      </c>
      <c r="B50" s="756">
        <v>0.02</v>
      </c>
      <c r="C50" s="337" t="s">
        <v>62</v>
      </c>
      <c r="D50" s="325">
        <v>0</v>
      </c>
      <c r="E50" s="325">
        <v>0.05</v>
      </c>
      <c r="F50" s="325">
        <v>0.05</v>
      </c>
      <c r="G50" s="325">
        <v>0.15</v>
      </c>
      <c r="H50" s="325">
        <v>0.15</v>
      </c>
      <c r="I50" s="325">
        <v>0.1</v>
      </c>
      <c r="J50" s="325">
        <v>0.15</v>
      </c>
      <c r="K50" s="325">
        <v>0.1</v>
      </c>
      <c r="L50" s="325">
        <v>0.1</v>
      </c>
      <c r="M50" s="325">
        <v>0.1</v>
      </c>
      <c r="N50" s="325">
        <v>0.05</v>
      </c>
      <c r="O50" s="325">
        <v>0</v>
      </c>
      <c r="P50" s="323">
        <f t="shared" si="3"/>
        <v>1</v>
      </c>
      <c r="Q50" s="758" t="s">
        <v>561</v>
      </c>
      <c r="R50" s="759"/>
      <c r="S50" s="759"/>
      <c r="T50" s="759"/>
      <c r="U50" s="759"/>
      <c r="V50" s="759"/>
      <c r="W50" s="759"/>
      <c r="X50" s="759"/>
      <c r="Y50" s="759"/>
      <c r="Z50" s="759"/>
      <c r="AA50" s="759"/>
      <c r="AB50" s="759"/>
      <c r="AC50" s="759"/>
      <c r="AD50" s="760"/>
      <c r="AE50" s="97"/>
    </row>
    <row r="51" spans="1:31" ht="63.9" customHeight="1" x14ac:dyDescent="0.3">
      <c r="A51" s="383"/>
      <c r="B51" s="756"/>
      <c r="C51" s="335" t="s">
        <v>63</v>
      </c>
      <c r="D51" s="322">
        <v>0</v>
      </c>
      <c r="E51" s="322">
        <v>0</v>
      </c>
      <c r="F51" s="322">
        <v>0.05</v>
      </c>
      <c r="G51" s="322">
        <v>0.2</v>
      </c>
      <c r="H51" s="322">
        <v>0.15</v>
      </c>
      <c r="I51" s="322">
        <v>0.1</v>
      </c>
      <c r="J51" s="322">
        <v>0.15</v>
      </c>
      <c r="K51" s="322">
        <v>0.1</v>
      </c>
      <c r="L51" s="322">
        <v>0.1</v>
      </c>
      <c r="M51" s="322">
        <v>0.1</v>
      </c>
      <c r="N51" s="322"/>
      <c r="O51" s="322"/>
      <c r="P51" s="336">
        <f t="shared" si="3"/>
        <v>0.95</v>
      </c>
      <c r="Q51" s="761"/>
      <c r="R51" s="762"/>
      <c r="S51" s="762"/>
      <c r="T51" s="762"/>
      <c r="U51" s="762"/>
      <c r="V51" s="762"/>
      <c r="W51" s="762"/>
      <c r="X51" s="762"/>
      <c r="Y51" s="762"/>
      <c r="Z51" s="762"/>
      <c r="AA51" s="762"/>
      <c r="AB51" s="762"/>
      <c r="AC51" s="762"/>
      <c r="AD51" s="763"/>
      <c r="AE51" s="97"/>
    </row>
    <row r="52" spans="1:31" ht="66.599999999999994" customHeight="1" x14ac:dyDescent="0.3">
      <c r="A52" s="383" t="s">
        <v>119</v>
      </c>
      <c r="B52" s="756">
        <v>0.02</v>
      </c>
      <c r="C52" s="337" t="s">
        <v>62</v>
      </c>
      <c r="D52" s="325">
        <v>0</v>
      </c>
      <c r="E52" s="325">
        <v>0.05</v>
      </c>
      <c r="F52" s="325">
        <v>0.1</v>
      </c>
      <c r="G52" s="325">
        <v>0.1</v>
      </c>
      <c r="H52" s="325">
        <v>0.1</v>
      </c>
      <c r="I52" s="325">
        <v>0.1</v>
      </c>
      <c r="J52" s="325">
        <v>0.1</v>
      </c>
      <c r="K52" s="325">
        <v>0.1</v>
      </c>
      <c r="L52" s="325">
        <v>0.1</v>
      </c>
      <c r="M52" s="325">
        <v>0.1</v>
      </c>
      <c r="N52" s="325">
        <v>0.1</v>
      </c>
      <c r="O52" s="325">
        <v>0.05</v>
      </c>
      <c r="P52" s="323">
        <f t="shared" si="3"/>
        <v>0.99999999999999989</v>
      </c>
      <c r="Q52" s="750" t="s">
        <v>558</v>
      </c>
      <c r="R52" s="751"/>
      <c r="S52" s="751"/>
      <c r="T52" s="751"/>
      <c r="U52" s="751"/>
      <c r="V52" s="751"/>
      <c r="W52" s="751"/>
      <c r="X52" s="751"/>
      <c r="Y52" s="751"/>
      <c r="Z52" s="751"/>
      <c r="AA52" s="751"/>
      <c r="AB52" s="751"/>
      <c r="AC52" s="751"/>
      <c r="AD52" s="752"/>
      <c r="AE52" s="97"/>
    </row>
    <row r="53" spans="1:31" ht="66.599999999999994" customHeight="1" x14ac:dyDescent="0.3">
      <c r="A53" s="383"/>
      <c r="B53" s="756"/>
      <c r="C53" s="335" t="s">
        <v>63</v>
      </c>
      <c r="D53" s="322">
        <v>0</v>
      </c>
      <c r="E53" s="322">
        <v>0</v>
      </c>
      <c r="F53" s="322">
        <v>0.15</v>
      </c>
      <c r="G53" s="322">
        <v>0.1</v>
      </c>
      <c r="H53" s="322">
        <v>0.15</v>
      </c>
      <c r="I53" s="322">
        <v>0.1</v>
      </c>
      <c r="J53" s="322">
        <v>0.05</v>
      </c>
      <c r="K53" s="322">
        <v>0.1</v>
      </c>
      <c r="L53" s="322">
        <v>0.1</v>
      </c>
      <c r="M53" s="322">
        <v>0.1</v>
      </c>
      <c r="N53" s="322"/>
      <c r="O53" s="322"/>
      <c r="P53" s="336">
        <f t="shared" si="3"/>
        <v>0.85</v>
      </c>
      <c r="Q53" s="753"/>
      <c r="R53" s="754"/>
      <c r="S53" s="754"/>
      <c r="T53" s="754"/>
      <c r="U53" s="754"/>
      <c r="V53" s="754"/>
      <c r="W53" s="754"/>
      <c r="X53" s="754"/>
      <c r="Y53" s="754"/>
      <c r="Z53" s="754"/>
      <c r="AA53" s="754"/>
      <c r="AB53" s="754"/>
      <c r="AC53" s="754"/>
      <c r="AD53" s="755"/>
      <c r="AE53" s="97"/>
    </row>
    <row r="54" spans="1:31" ht="62.4" customHeight="1" x14ac:dyDescent="0.3">
      <c r="A54" s="383" t="s">
        <v>120</v>
      </c>
      <c r="B54" s="756">
        <v>0.02</v>
      </c>
      <c r="C54" s="337" t="s">
        <v>62</v>
      </c>
      <c r="D54" s="325">
        <v>0</v>
      </c>
      <c r="E54" s="325">
        <v>0</v>
      </c>
      <c r="F54" s="325">
        <v>0</v>
      </c>
      <c r="G54" s="325">
        <v>0.1</v>
      </c>
      <c r="H54" s="325">
        <v>0.1</v>
      </c>
      <c r="I54" s="325">
        <v>0.2</v>
      </c>
      <c r="J54" s="325">
        <v>0.2</v>
      </c>
      <c r="K54" s="325">
        <v>0.1</v>
      </c>
      <c r="L54" s="325">
        <v>0.1</v>
      </c>
      <c r="M54" s="325">
        <v>0.2</v>
      </c>
      <c r="N54" s="325">
        <v>0</v>
      </c>
      <c r="O54" s="325">
        <v>0</v>
      </c>
      <c r="P54" s="323">
        <f t="shared" si="3"/>
        <v>1</v>
      </c>
      <c r="Q54" s="750" t="s">
        <v>559</v>
      </c>
      <c r="R54" s="751"/>
      <c r="S54" s="751"/>
      <c r="T54" s="751"/>
      <c r="U54" s="751"/>
      <c r="V54" s="751"/>
      <c r="W54" s="751"/>
      <c r="X54" s="751"/>
      <c r="Y54" s="751"/>
      <c r="Z54" s="751"/>
      <c r="AA54" s="751"/>
      <c r="AB54" s="751"/>
      <c r="AC54" s="751"/>
      <c r="AD54" s="752"/>
      <c r="AE54" s="97"/>
    </row>
    <row r="55" spans="1:31" ht="66" customHeight="1" x14ac:dyDescent="0.3">
      <c r="A55" s="383"/>
      <c r="B55" s="756"/>
      <c r="C55" s="335" t="s">
        <v>63</v>
      </c>
      <c r="D55" s="322">
        <v>0</v>
      </c>
      <c r="E55" s="322">
        <v>0</v>
      </c>
      <c r="F55" s="322">
        <v>0</v>
      </c>
      <c r="G55" s="322">
        <v>0.05</v>
      </c>
      <c r="H55" s="322">
        <v>0.15</v>
      </c>
      <c r="I55" s="322">
        <v>0.2</v>
      </c>
      <c r="J55" s="322">
        <v>0.2</v>
      </c>
      <c r="K55" s="322">
        <v>0.1</v>
      </c>
      <c r="L55" s="322">
        <v>0.1</v>
      </c>
      <c r="M55" s="322">
        <v>0.2</v>
      </c>
      <c r="N55" s="322"/>
      <c r="O55" s="322"/>
      <c r="P55" s="336">
        <f t="shared" si="3"/>
        <v>1</v>
      </c>
      <c r="Q55" s="753"/>
      <c r="R55" s="754"/>
      <c r="S55" s="754"/>
      <c r="T55" s="754"/>
      <c r="U55" s="754"/>
      <c r="V55" s="754"/>
      <c r="W55" s="754"/>
      <c r="X55" s="754"/>
      <c r="Y55" s="754"/>
      <c r="Z55" s="754"/>
      <c r="AA55" s="754"/>
      <c r="AB55" s="754"/>
      <c r="AC55" s="754"/>
      <c r="AD55" s="755"/>
      <c r="AE55" s="97"/>
    </row>
    <row r="56" spans="1:31" ht="71.400000000000006" customHeight="1" x14ac:dyDescent="0.3">
      <c r="A56" s="383" t="s">
        <v>121</v>
      </c>
      <c r="B56" s="756">
        <v>0.02</v>
      </c>
      <c r="C56" s="337" t="s">
        <v>62</v>
      </c>
      <c r="D56" s="325">
        <v>0</v>
      </c>
      <c r="E56" s="325">
        <v>0.3</v>
      </c>
      <c r="F56" s="325">
        <v>0.05</v>
      </c>
      <c r="G56" s="325">
        <v>0.15</v>
      </c>
      <c r="H56" s="325">
        <v>0.15</v>
      </c>
      <c r="I56" s="325">
        <v>0.1</v>
      </c>
      <c r="J56" s="325">
        <v>0.05</v>
      </c>
      <c r="K56" s="325">
        <v>0.05</v>
      </c>
      <c r="L56" s="325">
        <v>0.05</v>
      </c>
      <c r="M56" s="325">
        <v>0.05</v>
      </c>
      <c r="N56" s="325">
        <v>0.03</v>
      </c>
      <c r="O56" s="325">
        <v>0.02</v>
      </c>
      <c r="P56" s="323">
        <f t="shared" si="3"/>
        <v>1.0000000000000002</v>
      </c>
      <c r="Q56" s="750" t="s">
        <v>560</v>
      </c>
      <c r="R56" s="751"/>
      <c r="S56" s="751"/>
      <c r="T56" s="751"/>
      <c r="U56" s="751"/>
      <c r="V56" s="751"/>
      <c r="W56" s="751"/>
      <c r="X56" s="751"/>
      <c r="Y56" s="751"/>
      <c r="Z56" s="751"/>
      <c r="AA56" s="751"/>
      <c r="AB56" s="751"/>
      <c r="AC56" s="751"/>
      <c r="AD56" s="752"/>
      <c r="AE56" s="97"/>
    </row>
    <row r="57" spans="1:31" ht="71.400000000000006" customHeight="1" thickBot="1" x14ac:dyDescent="0.35">
      <c r="A57" s="749"/>
      <c r="B57" s="757"/>
      <c r="C57" s="340" t="s">
        <v>63</v>
      </c>
      <c r="D57" s="327">
        <v>0</v>
      </c>
      <c r="E57" s="327">
        <v>0</v>
      </c>
      <c r="F57" s="327">
        <v>0</v>
      </c>
      <c r="G57" s="327">
        <v>0.15</v>
      </c>
      <c r="H57" s="327">
        <v>0.4</v>
      </c>
      <c r="I57" s="327">
        <v>0.15</v>
      </c>
      <c r="J57" s="327">
        <v>7.0000000000000007E-2</v>
      </c>
      <c r="K57" s="327">
        <v>0.08</v>
      </c>
      <c r="L57" s="327">
        <v>0.05</v>
      </c>
      <c r="M57" s="327">
        <v>0.05</v>
      </c>
      <c r="N57" s="327"/>
      <c r="O57" s="327"/>
      <c r="P57" s="341">
        <f t="shared" si="3"/>
        <v>0.95000000000000007</v>
      </c>
      <c r="Q57" s="753"/>
      <c r="R57" s="754"/>
      <c r="S57" s="754"/>
      <c r="T57" s="754"/>
      <c r="U57" s="754"/>
      <c r="V57" s="754"/>
      <c r="W57" s="754"/>
      <c r="X57" s="754"/>
      <c r="Y57" s="754"/>
      <c r="Z57" s="754"/>
      <c r="AA57" s="754"/>
      <c r="AB57" s="754"/>
      <c r="AC57" s="754"/>
      <c r="AD57" s="755"/>
      <c r="AE57" s="97"/>
    </row>
    <row r="58" spans="1:31" x14ac:dyDescent="0.3">
      <c r="A58" s="194"/>
      <c r="Q58" s="223"/>
      <c r="R58" s="223"/>
      <c r="S58" s="223"/>
      <c r="T58" s="223"/>
      <c r="U58" s="223"/>
      <c r="V58" s="223"/>
      <c r="W58" s="223"/>
      <c r="X58" s="223"/>
      <c r="Y58" s="223"/>
      <c r="Z58" s="223"/>
      <c r="AA58" s="223"/>
      <c r="AB58" s="223"/>
      <c r="AC58" s="223"/>
      <c r="AD58" s="223"/>
    </row>
    <row r="59" spans="1:31" x14ac:dyDescent="0.3">
      <c r="A59" s="194"/>
      <c r="Q59" s="194"/>
      <c r="R59" s="194"/>
      <c r="S59" s="194"/>
      <c r="T59" s="194"/>
      <c r="U59" s="194"/>
      <c r="V59" s="194"/>
      <c r="W59" s="194"/>
      <c r="X59" s="194"/>
      <c r="Y59" s="194"/>
      <c r="Z59" s="194"/>
      <c r="AA59" s="194"/>
      <c r="AB59" s="194"/>
      <c r="AC59" s="194"/>
      <c r="AD59" s="194"/>
    </row>
    <row r="60" spans="1:31" x14ac:dyDescent="0.3">
      <c r="A60" s="194"/>
      <c r="Q60" s="194"/>
      <c r="R60" s="194"/>
      <c r="S60" s="194"/>
      <c r="T60" s="194"/>
      <c r="U60" s="194"/>
      <c r="V60" s="194"/>
      <c r="W60" s="194"/>
      <c r="X60" s="194"/>
      <c r="Y60" s="194"/>
      <c r="Z60" s="194"/>
      <c r="AA60" s="194"/>
      <c r="AB60" s="194"/>
      <c r="AC60" s="194"/>
      <c r="AD60" s="194"/>
    </row>
    <row r="61" spans="1:31" x14ac:dyDescent="0.3">
      <c r="A61" s="194"/>
      <c r="Q61" s="194"/>
      <c r="R61" s="194"/>
      <c r="S61" s="194"/>
      <c r="T61" s="194"/>
      <c r="U61" s="194"/>
      <c r="V61" s="194"/>
      <c r="W61" s="194"/>
      <c r="X61" s="194"/>
      <c r="Y61" s="194"/>
      <c r="Z61" s="194"/>
      <c r="AA61" s="194"/>
      <c r="AB61" s="194"/>
      <c r="AC61" s="194"/>
      <c r="AD61" s="194"/>
    </row>
    <row r="62" spans="1:31" hidden="1" x14ac:dyDescent="0.3">
      <c r="A62" s="558" t="s">
        <v>90</v>
      </c>
      <c r="B62" s="560" t="s">
        <v>65</v>
      </c>
      <c r="C62" s="562" t="s">
        <v>66</v>
      </c>
      <c r="D62" s="794"/>
      <c r="E62" s="794"/>
      <c r="F62" s="794"/>
      <c r="G62" s="794"/>
      <c r="H62" s="794"/>
      <c r="I62" s="794"/>
      <c r="J62" s="794"/>
      <c r="K62" s="794"/>
      <c r="L62" s="794"/>
      <c r="M62" s="794"/>
      <c r="N62" s="794"/>
      <c r="O62" s="794"/>
      <c r="P62" s="795"/>
      <c r="Q62" s="195"/>
      <c r="R62" s="195"/>
      <c r="S62" s="194"/>
      <c r="T62" s="194"/>
      <c r="U62" s="194"/>
      <c r="V62" s="194"/>
      <c r="W62" s="194"/>
      <c r="X62" s="194"/>
      <c r="Y62" s="194"/>
      <c r="Z62" s="194"/>
      <c r="AA62" s="194"/>
      <c r="AB62" s="194"/>
      <c r="AC62" s="194"/>
      <c r="AD62" s="194"/>
    </row>
    <row r="63" spans="1:31" hidden="1" x14ac:dyDescent="0.3">
      <c r="A63" s="792"/>
      <c r="B63" s="793"/>
      <c r="C63" s="177" t="s">
        <v>68</v>
      </c>
      <c r="D63" s="177" t="s">
        <v>69</v>
      </c>
      <c r="E63" s="177" t="s">
        <v>70</v>
      </c>
      <c r="F63" s="177" t="s">
        <v>71</v>
      </c>
      <c r="G63" s="177" t="s">
        <v>72</v>
      </c>
      <c r="H63" s="177" t="s">
        <v>73</v>
      </c>
      <c r="I63" s="177" t="s">
        <v>74</v>
      </c>
      <c r="J63" s="177" t="s">
        <v>75</v>
      </c>
      <c r="K63" s="177" t="s">
        <v>76</v>
      </c>
      <c r="L63" s="177" t="s">
        <v>77</v>
      </c>
      <c r="M63" s="177" t="s">
        <v>78</v>
      </c>
      <c r="N63" s="177" t="s">
        <v>79</v>
      </c>
      <c r="O63" s="177" t="s">
        <v>80</v>
      </c>
      <c r="P63" s="177" t="s">
        <v>81</v>
      </c>
      <c r="Q63" s="195"/>
      <c r="R63" s="195"/>
      <c r="S63" s="194"/>
      <c r="T63" s="194"/>
      <c r="U63" s="194"/>
      <c r="V63" s="194"/>
      <c r="W63" s="194"/>
      <c r="X63" s="194"/>
      <c r="Y63" s="194"/>
      <c r="Z63" s="194"/>
      <c r="AA63" s="194"/>
      <c r="AB63" s="194"/>
      <c r="AC63" s="194"/>
      <c r="AD63" s="194"/>
    </row>
    <row r="64" spans="1:31" hidden="1" x14ac:dyDescent="0.3">
      <c r="A64" s="546" t="str">
        <f>A38</f>
        <v xml:space="preserve">7. Realizar ajustes a las metodologías de semilleros y jornadas significativas de acuerdo con las necesidades de cada grupo poblacional teniendo en cuenta sus diferencias y diversidad </v>
      </c>
      <c r="B64" s="565">
        <f>B38</f>
        <v>0.02</v>
      </c>
      <c r="C64" s="176" t="s">
        <v>62</v>
      </c>
      <c r="D64" s="175">
        <f>D38*$B$38/$P$38</f>
        <v>0</v>
      </c>
      <c r="E64" s="175">
        <f t="shared" ref="E64:O65" si="4">E38*$B$38/$P$38</f>
        <v>5.9999999999999984E-3</v>
      </c>
      <c r="F64" s="175">
        <f t="shared" si="4"/>
        <v>5.9999999999999984E-3</v>
      </c>
      <c r="G64" s="175">
        <f t="shared" si="4"/>
        <v>3.9999999999999992E-3</v>
      </c>
      <c r="H64" s="175">
        <f t="shared" si="4"/>
        <v>1.1999999999999997E-3</v>
      </c>
      <c r="I64" s="175">
        <f t="shared" si="4"/>
        <v>3.9999999999999991E-4</v>
      </c>
      <c r="J64" s="175">
        <f t="shared" si="4"/>
        <v>3.9999999999999991E-4</v>
      </c>
      <c r="K64" s="175">
        <f t="shared" si="4"/>
        <v>3.9999999999999991E-4</v>
      </c>
      <c r="L64" s="175">
        <f t="shared" si="4"/>
        <v>3.9999999999999991E-4</v>
      </c>
      <c r="M64" s="175">
        <f t="shared" si="4"/>
        <v>3.9999999999999991E-4</v>
      </c>
      <c r="N64" s="175">
        <f t="shared" si="4"/>
        <v>3.9999999999999991E-4</v>
      </c>
      <c r="O64" s="175">
        <f t="shared" si="4"/>
        <v>3.9999999999999991E-4</v>
      </c>
      <c r="P64" s="174">
        <f t="shared" ref="P64:P83" si="5">SUM(D64:O64)</f>
        <v>2.0000000000000004E-2</v>
      </c>
      <c r="Q64" s="197">
        <v>0.05</v>
      </c>
      <c r="R64" s="198">
        <f t="shared" ref="R64:R84" si="6">+P64-Q64</f>
        <v>-0.03</v>
      </c>
      <c r="S64" s="194"/>
      <c r="T64" s="194"/>
      <c r="U64" s="194"/>
      <c r="V64" s="194"/>
      <c r="W64" s="194"/>
      <c r="X64" s="194"/>
      <c r="Y64" s="194"/>
      <c r="Z64" s="194"/>
      <c r="AA64" s="194"/>
      <c r="AB64" s="194"/>
      <c r="AC64" s="194"/>
      <c r="AD64" s="194"/>
    </row>
    <row r="65" spans="1:30" hidden="1" x14ac:dyDescent="0.3">
      <c r="A65" s="547"/>
      <c r="B65" s="566"/>
      <c r="C65" s="173" t="s">
        <v>63</v>
      </c>
      <c r="D65" s="172">
        <f>D39*$B$38/$P$38</f>
        <v>0</v>
      </c>
      <c r="E65" s="172">
        <f t="shared" si="4"/>
        <v>5.9999999999999984E-3</v>
      </c>
      <c r="F65" s="172">
        <f t="shared" si="4"/>
        <v>5.9999999999999984E-3</v>
      </c>
      <c r="G65" s="172">
        <f t="shared" si="4"/>
        <v>3.9999999999999992E-3</v>
      </c>
      <c r="H65" s="172">
        <f t="shared" si="4"/>
        <v>1.1999999999999997E-3</v>
      </c>
      <c r="I65" s="172">
        <f t="shared" si="4"/>
        <v>3.9999999999999991E-4</v>
      </c>
      <c r="J65" s="172">
        <f t="shared" si="4"/>
        <v>3.9999999999999991E-4</v>
      </c>
      <c r="K65" s="172">
        <f t="shared" si="4"/>
        <v>3.9999999999999991E-4</v>
      </c>
      <c r="L65" s="172">
        <f t="shared" si="4"/>
        <v>3.9999999999999991E-4</v>
      </c>
      <c r="M65" s="172">
        <f t="shared" si="4"/>
        <v>3.9999999999999991E-4</v>
      </c>
      <c r="N65" s="172">
        <f t="shared" si="4"/>
        <v>0</v>
      </c>
      <c r="O65" s="172">
        <f t="shared" si="4"/>
        <v>0</v>
      </c>
      <c r="P65" s="171">
        <f t="shared" si="5"/>
        <v>1.9200000000000002E-2</v>
      </c>
      <c r="Q65" s="199">
        <f>+P65</f>
        <v>1.9200000000000002E-2</v>
      </c>
      <c r="R65" s="198">
        <f t="shared" si="6"/>
        <v>0</v>
      </c>
      <c r="S65" s="194"/>
      <c r="T65" s="194"/>
      <c r="U65" s="194"/>
      <c r="V65" s="194"/>
      <c r="W65" s="194"/>
      <c r="X65" s="194"/>
      <c r="Y65" s="194"/>
      <c r="Z65" s="194"/>
      <c r="AA65" s="194"/>
      <c r="AB65" s="194"/>
      <c r="AC65" s="194"/>
      <c r="AD65" s="194"/>
    </row>
    <row r="66" spans="1:30" hidden="1" x14ac:dyDescent="0.3">
      <c r="A66" s="546" t="str">
        <f>A40</f>
        <v>8. Realizar semilleros y jornadas significativas  que brinden herramientas para el  empoderamiento. Dirigidos a niñas, adolescentes y mujeres jóvenes en sus diferencias y diversidad</v>
      </c>
      <c r="B66" s="565">
        <f>B40</f>
        <v>0.02</v>
      </c>
      <c r="C66" s="176" t="s">
        <v>62</v>
      </c>
      <c r="D66" s="175">
        <f>D40*$B$40/$P$40</f>
        <v>0</v>
      </c>
      <c r="E66" s="175">
        <f t="shared" ref="E66:O67" si="7">E40*$B$40/$P$40</f>
        <v>4.0000000000000002E-4</v>
      </c>
      <c r="F66" s="175">
        <f t="shared" si="7"/>
        <v>8.0000000000000004E-4</v>
      </c>
      <c r="G66" s="175">
        <f t="shared" si="7"/>
        <v>2E-3</v>
      </c>
      <c r="H66" s="175">
        <f t="shared" si="7"/>
        <v>4.0000000000000002E-4</v>
      </c>
      <c r="I66" s="175">
        <f t="shared" si="7"/>
        <v>2E-3</v>
      </c>
      <c r="J66" s="175">
        <f t="shared" si="7"/>
        <v>2E-3</v>
      </c>
      <c r="K66" s="175">
        <f t="shared" si="7"/>
        <v>2E-3</v>
      </c>
      <c r="L66" s="175">
        <f t="shared" si="7"/>
        <v>2E-3</v>
      </c>
      <c r="M66" s="175">
        <f t="shared" si="7"/>
        <v>4.0000000000000001E-3</v>
      </c>
      <c r="N66" s="175">
        <f t="shared" si="7"/>
        <v>4.0000000000000001E-3</v>
      </c>
      <c r="O66" s="175">
        <f t="shared" si="7"/>
        <v>4.0000000000000002E-4</v>
      </c>
      <c r="P66" s="174">
        <f t="shared" si="5"/>
        <v>0.02</v>
      </c>
      <c r="Q66" s="197">
        <v>2.5000000000000001E-2</v>
      </c>
      <c r="R66" s="198">
        <f t="shared" si="6"/>
        <v>-5.000000000000001E-3</v>
      </c>
      <c r="S66" s="194"/>
      <c r="T66" s="194"/>
      <c r="U66" s="194"/>
      <c r="V66" s="194"/>
      <c r="W66" s="194"/>
      <c r="X66" s="194"/>
      <c r="Y66" s="194"/>
      <c r="Z66" s="194"/>
      <c r="AA66" s="194"/>
      <c r="AB66" s="194"/>
      <c r="AC66" s="194"/>
      <c r="AD66" s="194"/>
    </row>
    <row r="67" spans="1:30" hidden="1" x14ac:dyDescent="0.3">
      <c r="A67" s="547"/>
      <c r="B67" s="566"/>
      <c r="C67" s="173" t="s">
        <v>63</v>
      </c>
      <c r="D67" s="172">
        <f>D41*$B$40/$P$40</f>
        <v>0</v>
      </c>
      <c r="E67" s="172">
        <f t="shared" si="7"/>
        <v>0</v>
      </c>
      <c r="F67" s="172">
        <f t="shared" si="7"/>
        <v>1.1999999999999999E-3</v>
      </c>
      <c r="G67" s="172">
        <f t="shared" si="7"/>
        <v>2E-3</v>
      </c>
      <c r="H67" s="172">
        <f t="shared" si="7"/>
        <v>4.0000000000000002E-4</v>
      </c>
      <c r="I67" s="172">
        <f t="shared" si="7"/>
        <v>2E-3</v>
      </c>
      <c r="J67" s="172">
        <f t="shared" si="7"/>
        <v>2E-3</v>
      </c>
      <c r="K67" s="172">
        <f t="shared" si="7"/>
        <v>2E-3</v>
      </c>
      <c r="L67" s="172">
        <f t="shared" si="7"/>
        <v>2E-3</v>
      </c>
      <c r="M67" s="172">
        <f t="shared" si="7"/>
        <v>4.0000000000000001E-3</v>
      </c>
      <c r="N67" s="172">
        <f t="shared" si="7"/>
        <v>0</v>
      </c>
      <c r="O67" s="172">
        <f t="shared" si="7"/>
        <v>0</v>
      </c>
      <c r="P67" s="171">
        <f t="shared" si="5"/>
        <v>1.5600000000000001E-2</v>
      </c>
      <c r="Q67" s="199">
        <f>+P67</f>
        <v>1.5600000000000001E-2</v>
      </c>
      <c r="R67" s="198">
        <f t="shared" si="6"/>
        <v>0</v>
      </c>
      <c r="S67" s="194"/>
      <c r="T67" s="194"/>
      <c r="U67" s="194"/>
      <c r="V67" s="194"/>
      <c r="W67" s="194"/>
      <c r="X67" s="194"/>
      <c r="Y67" s="194"/>
      <c r="Z67" s="194"/>
      <c r="AA67" s="194"/>
      <c r="AB67" s="194"/>
      <c r="AC67" s="194"/>
      <c r="AD67" s="194"/>
    </row>
    <row r="68" spans="1:30" hidden="1" x14ac:dyDescent="0.3">
      <c r="A68" s="546" t="str">
        <f>A42</f>
        <v>9. Desarrollar acciones de difusión, visibilización divulgación de la estrategia de empoderamiento.</v>
      </c>
      <c r="B68" s="565">
        <f>B42</f>
        <v>0.02</v>
      </c>
      <c r="C68" s="176" t="s">
        <v>62</v>
      </c>
      <c r="D68" s="175">
        <f>D42*$B$42/$P$42</f>
        <v>0</v>
      </c>
      <c r="E68" s="175">
        <f t="shared" ref="E68:O69" si="8">E42*$B$42/$P$42</f>
        <v>8.0000000000000015E-4</v>
      </c>
      <c r="F68" s="175">
        <f t="shared" si="8"/>
        <v>1.2000000000000001E-3</v>
      </c>
      <c r="G68" s="175">
        <f t="shared" si="8"/>
        <v>2.0000000000000005E-3</v>
      </c>
      <c r="H68" s="175">
        <f t="shared" si="8"/>
        <v>2.0000000000000005E-3</v>
      </c>
      <c r="I68" s="175">
        <f t="shared" si="8"/>
        <v>2.0000000000000005E-3</v>
      </c>
      <c r="J68" s="175">
        <f t="shared" si="8"/>
        <v>2.0000000000000005E-3</v>
      </c>
      <c r="K68" s="175">
        <f t="shared" si="8"/>
        <v>2.0000000000000005E-3</v>
      </c>
      <c r="L68" s="175">
        <f t="shared" si="8"/>
        <v>2.0000000000000005E-3</v>
      </c>
      <c r="M68" s="175">
        <f t="shared" si="8"/>
        <v>2.0000000000000005E-3</v>
      </c>
      <c r="N68" s="175">
        <f t="shared" si="8"/>
        <v>2.0000000000000005E-3</v>
      </c>
      <c r="O68" s="175">
        <f t="shared" si="8"/>
        <v>2.0000000000000005E-3</v>
      </c>
      <c r="P68" s="174">
        <f t="shared" si="5"/>
        <v>2.0000000000000004E-2</v>
      </c>
      <c r="Q68" s="197">
        <v>2.5000000000000001E-2</v>
      </c>
      <c r="R68" s="198">
        <f t="shared" si="6"/>
        <v>-4.9999999999999975E-3</v>
      </c>
      <c r="S68" s="194"/>
      <c r="T68" s="194"/>
      <c r="U68" s="194"/>
      <c r="V68" s="194"/>
      <c r="W68" s="194"/>
      <c r="X68" s="194"/>
      <c r="Y68" s="194"/>
      <c r="Z68" s="194"/>
      <c r="AA68" s="194"/>
      <c r="AB68" s="194"/>
      <c r="AC68" s="194"/>
      <c r="AD68" s="194"/>
    </row>
    <row r="69" spans="1:30" hidden="1" x14ac:dyDescent="0.3">
      <c r="A69" s="547"/>
      <c r="B69" s="566"/>
      <c r="C69" s="173" t="s">
        <v>63</v>
      </c>
      <c r="D69" s="172">
        <f>D43*$B$42/$P$42</f>
        <v>0</v>
      </c>
      <c r="E69" s="172">
        <f t="shared" si="8"/>
        <v>8.0000000000000015E-4</v>
      </c>
      <c r="F69" s="172">
        <f t="shared" si="8"/>
        <v>1.2000000000000001E-3</v>
      </c>
      <c r="G69" s="172">
        <f t="shared" si="8"/>
        <v>2.0000000000000005E-3</v>
      </c>
      <c r="H69" s="172">
        <f t="shared" si="8"/>
        <v>2.0000000000000005E-3</v>
      </c>
      <c r="I69" s="172">
        <f t="shared" si="8"/>
        <v>2.0000000000000005E-3</v>
      </c>
      <c r="J69" s="172">
        <f t="shared" si="8"/>
        <v>2.0000000000000005E-3</v>
      </c>
      <c r="K69" s="172">
        <f t="shared" si="8"/>
        <v>2.0000000000000005E-3</v>
      </c>
      <c r="L69" s="172">
        <f t="shared" si="8"/>
        <v>2.0000000000000005E-3</v>
      </c>
      <c r="M69" s="172">
        <f t="shared" si="8"/>
        <v>2.0000000000000005E-3</v>
      </c>
      <c r="N69" s="172">
        <f t="shared" si="8"/>
        <v>0</v>
      </c>
      <c r="O69" s="172">
        <f t="shared" si="8"/>
        <v>0</v>
      </c>
      <c r="P69" s="171">
        <f t="shared" si="5"/>
        <v>1.6E-2</v>
      </c>
      <c r="Q69" s="199">
        <f>+P69</f>
        <v>1.6E-2</v>
      </c>
      <c r="R69" s="198">
        <f t="shared" si="6"/>
        <v>0</v>
      </c>
      <c r="S69" s="194"/>
      <c r="T69" s="194"/>
      <c r="U69" s="194"/>
      <c r="V69" s="194"/>
      <c r="W69" s="194"/>
      <c r="X69" s="194"/>
      <c r="Y69" s="194"/>
      <c r="Z69" s="194"/>
      <c r="AA69" s="194"/>
      <c r="AB69" s="194"/>
      <c r="AC69" s="194"/>
      <c r="AD69" s="194"/>
    </row>
    <row r="70" spans="1:30" hidden="1" x14ac:dyDescent="0.3">
      <c r="A70" s="546" t="str">
        <f>A44</f>
        <v>10. Desarrollar escuelas de educación emocional enfocadas en fortalecer capacidades y herramientas para gestionar la salud mental de las mujeres en su diversidad en la ciudad de Bogotá.</v>
      </c>
      <c r="B70" s="565">
        <f>B44</f>
        <v>0.02</v>
      </c>
      <c r="C70" s="176" t="s">
        <v>62</v>
      </c>
      <c r="D70" s="175">
        <f>D44*$B$40/$P$44</f>
        <v>0</v>
      </c>
      <c r="E70" s="175">
        <f t="shared" ref="E70:O71" si="9">E44*$B$40/$P$44</f>
        <v>1E-3</v>
      </c>
      <c r="F70" s="175">
        <f t="shared" si="9"/>
        <v>1E-3</v>
      </c>
      <c r="G70" s="175">
        <f t="shared" si="9"/>
        <v>2E-3</v>
      </c>
      <c r="H70" s="175">
        <f t="shared" si="9"/>
        <v>2E-3</v>
      </c>
      <c r="I70" s="175">
        <f t="shared" si="9"/>
        <v>2E-3</v>
      </c>
      <c r="J70" s="175">
        <f t="shared" si="9"/>
        <v>2E-3</v>
      </c>
      <c r="K70" s="175">
        <f t="shared" si="9"/>
        <v>3.0000000000000001E-3</v>
      </c>
      <c r="L70" s="175">
        <f t="shared" si="9"/>
        <v>2E-3</v>
      </c>
      <c r="M70" s="175">
        <f t="shared" si="9"/>
        <v>2E-3</v>
      </c>
      <c r="N70" s="175">
        <f t="shared" si="9"/>
        <v>2E-3</v>
      </c>
      <c r="O70" s="175">
        <f t="shared" si="9"/>
        <v>1E-3</v>
      </c>
      <c r="P70" s="174">
        <f t="shared" si="5"/>
        <v>2.0000000000000004E-2</v>
      </c>
      <c r="Q70" s="197">
        <v>0.02</v>
      </c>
      <c r="R70" s="198">
        <f t="shared" si="6"/>
        <v>0</v>
      </c>
      <c r="S70" s="194"/>
      <c r="T70" s="194"/>
      <c r="U70" s="194"/>
      <c r="V70" s="194"/>
      <c r="W70" s="194"/>
      <c r="X70" s="194"/>
      <c r="Y70" s="194"/>
      <c r="Z70" s="194"/>
      <c r="AA70" s="194"/>
      <c r="AB70" s="194"/>
      <c r="AC70" s="194"/>
      <c r="AD70" s="194"/>
    </row>
    <row r="71" spans="1:30" hidden="1" x14ac:dyDescent="0.3">
      <c r="A71" s="547"/>
      <c r="B71" s="566"/>
      <c r="C71" s="173" t="s">
        <v>63</v>
      </c>
      <c r="D71" s="172">
        <f>D45*$B$40/$P$44</f>
        <v>0</v>
      </c>
      <c r="E71" s="172">
        <f t="shared" si="9"/>
        <v>1E-3</v>
      </c>
      <c r="F71" s="172">
        <f t="shared" si="9"/>
        <v>1E-3</v>
      </c>
      <c r="G71" s="172">
        <f t="shared" si="9"/>
        <v>3.0000000000000001E-3</v>
      </c>
      <c r="H71" s="172">
        <f t="shared" si="9"/>
        <v>2E-3</v>
      </c>
      <c r="I71" s="172">
        <f t="shared" si="9"/>
        <v>2E-3</v>
      </c>
      <c r="J71" s="172">
        <f t="shared" si="9"/>
        <v>1E-3</v>
      </c>
      <c r="K71" s="172">
        <f t="shared" si="9"/>
        <v>3.0000000000000001E-3</v>
      </c>
      <c r="L71" s="172">
        <f t="shared" si="9"/>
        <v>2E-3</v>
      </c>
      <c r="M71" s="172">
        <f t="shared" si="9"/>
        <v>2E-3</v>
      </c>
      <c r="N71" s="172">
        <f t="shared" si="9"/>
        <v>0</v>
      </c>
      <c r="O71" s="172">
        <f t="shared" si="9"/>
        <v>0</v>
      </c>
      <c r="P71" s="171">
        <f t="shared" si="5"/>
        <v>1.7000000000000001E-2</v>
      </c>
      <c r="Q71" s="199">
        <f>+P71</f>
        <v>1.7000000000000001E-2</v>
      </c>
      <c r="R71" s="198">
        <f t="shared" si="6"/>
        <v>0</v>
      </c>
      <c r="S71" s="194"/>
      <c r="T71" s="194"/>
      <c r="U71" s="194"/>
      <c r="V71" s="194"/>
      <c r="W71" s="194"/>
      <c r="X71" s="194"/>
      <c r="Y71" s="194"/>
      <c r="Z71" s="194"/>
      <c r="AA71" s="194"/>
      <c r="AB71" s="194"/>
      <c r="AC71" s="194"/>
      <c r="AD71" s="194"/>
    </row>
    <row r="72" spans="1:30" hidden="1" x14ac:dyDescent="0.3">
      <c r="A72" s="546" t="str">
        <f>A46</f>
        <v>11. Desarrollar espacios de encuentro de mujeres para el cuidado emocional denominados Espacios Respiro.</v>
      </c>
      <c r="B72" s="565">
        <f>B46</f>
        <v>0.02</v>
      </c>
      <c r="C72" s="176" t="s">
        <v>62</v>
      </c>
      <c r="D72" s="175">
        <f>D46*$B$46/$P$46</f>
        <v>0</v>
      </c>
      <c r="E72" s="175">
        <f t="shared" ref="E72:O73" si="10">E46*$B$46/$P$46</f>
        <v>1.0000000000000002E-3</v>
      </c>
      <c r="F72" s="175">
        <f t="shared" si="10"/>
        <v>2.0000000000000005E-3</v>
      </c>
      <c r="G72" s="175">
        <f t="shared" si="10"/>
        <v>2.0000000000000005E-3</v>
      </c>
      <c r="H72" s="175">
        <f t="shared" si="10"/>
        <v>2.0000000000000005E-3</v>
      </c>
      <c r="I72" s="175">
        <f t="shared" si="10"/>
        <v>2.0000000000000005E-3</v>
      </c>
      <c r="J72" s="175">
        <f t="shared" si="10"/>
        <v>2.0000000000000005E-3</v>
      </c>
      <c r="K72" s="175">
        <f t="shared" si="10"/>
        <v>2.0000000000000005E-3</v>
      </c>
      <c r="L72" s="175">
        <f t="shared" si="10"/>
        <v>2.0000000000000005E-3</v>
      </c>
      <c r="M72" s="175">
        <f t="shared" si="10"/>
        <v>2.0000000000000005E-3</v>
      </c>
      <c r="N72" s="175">
        <f t="shared" si="10"/>
        <v>2.0000000000000005E-3</v>
      </c>
      <c r="O72" s="175">
        <f t="shared" si="10"/>
        <v>1.0000000000000002E-3</v>
      </c>
      <c r="P72" s="174">
        <f t="shared" si="5"/>
        <v>2.0000000000000004E-2</v>
      </c>
      <c r="Q72" s="197">
        <v>0.02</v>
      </c>
      <c r="R72" s="198">
        <f t="shared" si="6"/>
        <v>0</v>
      </c>
      <c r="S72" s="194"/>
      <c r="T72" s="194"/>
      <c r="U72" s="194"/>
      <c r="V72" s="194"/>
      <c r="W72" s="194"/>
      <c r="X72" s="194"/>
      <c r="Y72" s="194"/>
      <c r="Z72" s="194"/>
      <c r="AA72" s="194"/>
      <c r="AB72" s="194"/>
      <c r="AC72" s="194"/>
      <c r="AD72" s="194"/>
    </row>
    <row r="73" spans="1:30" hidden="1" x14ac:dyDescent="0.3">
      <c r="A73" s="547"/>
      <c r="B73" s="566"/>
      <c r="C73" s="173" t="s">
        <v>63</v>
      </c>
      <c r="D73" s="172">
        <f>D47*$B$46/$P$46</f>
        <v>0</v>
      </c>
      <c r="E73" s="172">
        <f t="shared" si="10"/>
        <v>1.0000000000000002E-3</v>
      </c>
      <c r="F73" s="172">
        <f t="shared" si="10"/>
        <v>2.0000000000000005E-3</v>
      </c>
      <c r="G73" s="172">
        <f t="shared" si="10"/>
        <v>2.0000000000000005E-3</v>
      </c>
      <c r="H73" s="172">
        <f t="shared" si="10"/>
        <v>3.0000000000000005E-3</v>
      </c>
      <c r="I73" s="172">
        <f t="shared" si="10"/>
        <v>2.0000000000000005E-3</v>
      </c>
      <c r="J73" s="172">
        <f t="shared" si="10"/>
        <v>1.0000000000000002E-3</v>
      </c>
      <c r="K73" s="172">
        <f t="shared" si="10"/>
        <v>2.0000000000000005E-3</v>
      </c>
      <c r="L73" s="172">
        <f t="shared" si="10"/>
        <v>2.0000000000000005E-3</v>
      </c>
      <c r="M73" s="172">
        <f t="shared" si="10"/>
        <v>2.0000000000000005E-3</v>
      </c>
      <c r="N73" s="172">
        <f t="shared" si="10"/>
        <v>0</v>
      </c>
      <c r="O73" s="172">
        <f t="shared" si="10"/>
        <v>0</v>
      </c>
      <c r="P73" s="171">
        <f t="shared" si="5"/>
        <v>1.7000000000000005E-2</v>
      </c>
      <c r="Q73" s="199">
        <f>+P73</f>
        <v>1.7000000000000005E-2</v>
      </c>
      <c r="R73" s="198">
        <f t="shared" si="6"/>
        <v>0</v>
      </c>
      <c r="S73" s="194"/>
      <c r="T73" s="194"/>
      <c r="U73" s="194"/>
      <c r="V73" s="194"/>
      <c r="W73" s="194"/>
      <c r="X73" s="194"/>
      <c r="Y73" s="194"/>
      <c r="Z73" s="194"/>
      <c r="AA73" s="194"/>
      <c r="AB73" s="194"/>
      <c r="AC73" s="194"/>
      <c r="AD73" s="194"/>
    </row>
    <row r="74" spans="1:30" hidden="1" x14ac:dyDescent="0.3">
      <c r="A74" s="546" t="str">
        <f>A48</f>
        <v xml:space="preserve">12.Diseñar e implementar una estrategia de difusión y socialización de la caja de herramientas construida en el marco de la estrategia de capacidades psicoemocionales  </v>
      </c>
      <c r="B74" s="565">
        <f>B48</f>
        <v>0.02</v>
      </c>
      <c r="C74" s="176" t="s">
        <v>62</v>
      </c>
      <c r="D74" s="175">
        <f>D48*$B$48/$P$48</f>
        <v>0</v>
      </c>
      <c r="E74" s="175">
        <f t="shared" ref="E74:O75" si="11">E48*$B$48/$P$48</f>
        <v>5.9999999999999984E-3</v>
      </c>
      <c r="F74" s="175">
        <f t="shared" si="11"/>
        <v>9.999999999999998E-4</v>
      </c>
      <c r="G74" s="175">
        <f t="shared" si="11"/>
        <v>2.9999999999999992E-3</v>
      </c>
      <c r="H74" s="175">
        <f t="shared" si="11"/>
        <v>2.9999999999999992E-3</v>
      </c>
      <c r="I74" s="175">
        <f t="shared" si="11"/>
        <v>1.9999999999999996E-3</v>
      </c>
      <c r="J74" s="175">
        <f t="shared" si="11"/>
        <v>9.999999999999998E-4</v>
      </c>
      <c r="K74" s="175">
        <f t="shared" si="11"/>
        <v>9.999999999999998E-4</v>
      </c>
      <c r="L74" s="175">
        <f t="shared" si="11"/>
        <v>9.999999999999998E-4</v>
      </c>
      <c r="M74" s="175">
        <f t="shared" si="11"/>
        <v>9.999999999999998E-4</v>
      </c>
      <c r="N74" s="175">
        <f t="shared" si="11"/>
        <v>5.9999999999999984E-4</v>
      </c>
      <c r="O74" s="175">
        <f t="shared" si="11"/>
        <v>3.9999999999999991E-4</v>
      </c>
      <c r="P74" s="174">
        <f t="shared" si="5"/>
        <v>0.02</v>
      </c>
      <c r="Q74" s="197">
        <v>0.02</v>
      </c>
      <c r="R74" s="198">
        <f t="shared" si="6"/>
        <v>0</v>
      </c>
      <c r="S74" s="194"/>
      <c r="T74" s="194"/>
      <c r="U74" s="194"/>
      <c r="V74" s="194"/>
      <c r="W74" s="194"/>
      <c r="X74" s="194"/>
      <c r="Y74" s="194"/>
      <c r="Z74" s="194"/>
      <c r="AA74" s="194"/>
      <c r="AB74" s="194"/>
      <c r="AC74" s="194"/>
      <c r="AD74" s="194"/>
    </row>
    <row r="75" spans="1:30" hidden="1" x14ac:dyDescent="0.3">
      <c r="A75" s="547"/>
      <c r="B75" s="566"/>
      <c r="C75" s="173" t="s">
        <v>63</v>
      </c>
      <c r="D75" s="172">
        <f>D49*$B$48/$P$48</f>
        <v>0</v>
      </c>
      <c r="E75" s="172">
        <f t="shared" si="11"/>
        <v>1.9999999999999996E-3</v>
      </c>
      <c r="F75" s="172">
        <f t="shared" si="11"/>
        <v>3.9999999999999992E-3</v>
      </c>
      <c r="G75" s="172">
        <f t="shared" si="11"/>
        <v>3.9999999999999992E-3</v>
      </c>
      <c r="H75" s="172">
        <f t="shared" si="11"/>
        <v>2.9999999999999992E-3</v>
      </c>
      <c r="I75" s="172">
        <f t="shared" si="11"/>
        <v>9.999999999999998E-4</v>
      </c>
      <c r="J75" s="172">
        <f t="shared" si="11"/>
        <v>1.9999999999999996E-3</v>
      </c>
      <c r="K75" s="172">
        <f t="shared" si="11"/>
        <v>9.999999999999998E-4</v>
      </c>
      <c r="L75" s="172">
        <f t="shared" si="11"/>
        <v>9.999999999999998E-4</v>
      </c>
      <c r="M75" s="172">
        <f t="shared" si="11"/>
        <v>9.999999999999998E-4</v>
      </c>
      <c r="N75" s="172">
        <f t="shared" si="11"/>
        <v>0</v>
      </c>
      <c r="O75" s="172">
        <f t="shared" si="11"/>
        <v>0</v>
      </c>
      <c r="P75" s="171">
        <f t="shared" si="5"/>
        <v>1.9E-2</v>
      </c>
      <c r="Q75" s="199">
        <f>+P75</f>
        <v>1.9E-2</v>
      </c>
      <c r="R75" s="198">
        <f t="shared" si="6"/>
        <v>0</v>
      </c>
      <c r="S75" s="194"/>
      <c r="T75" s="194"/>
      <c r="U75" s="194"/>
      <c r="V75" s="194"/>
      <c r="W75" s="194"/>
      <c r="X75" s="194"/>
      <c r="Y75" s="194"/>
      <c r="Z75" s="194"/>
      <c r="AA75" s="194"/>
      <c r="AB75" s="194"/>
      <c r="AC75" s="194"/>
      <c r="AD75" s="194"/>
    </row>
    <row r="76" spans="1:30" hidden="1" x14ac:dyDescent="0.3">
      <c r="A76" s="546" t="str">
        <f>A50</f>
        <v xml:space="preserve">13.   Implementar la Fase I y II de la EDCM . Espacios EMAA mujeres en sus diferencias y diversidad; hombres trans y personas no binarias. Jornadas de Dignidad Menstrual. </v>
      </c>
      <c r="B76" s="565">
        <f>B50</f>
        <v>0.02</v>
      </c>
      <c r="C76" s="176" t="s">
        <v>62</v>
      </c>
      <c r="D76" s="175">
        <f>D50*$B$50/$P$50</f>
        <v>0</v>
      </c>
      <c r="E76" s="175">
        <f t="shared" ref="E76:O77" si="12">E50*$B$50/$P$50</f>
        <v>1E-3</v>
      </c>
      <c r="F76" s="175">
        <f t="shared" si="12"/>
        <v>1E-3</v>
      </c>
      <c r="G76" s="175">
        <f t="shared" si="12"/>
        <v>3.0000000000000001E-3</v>
      </c>
      <c r="H76" s="175">
        <f t="shared" si="12"/>
        <v>3.0000000000000001E-3</v>
      </c>
      <c r="I76" s="175">
        <f t="shared" si="12"/>
        <v>2E-3</v>
      </c>
      <c r="J76" s="175">
        <f t="shared" si="12"/>
        <v>3.0000000000000001E-3</v>
      </c>
      <c r="K76" s="175">
        <f t="shared" si="12"/>
        <v>2E-3</v>
      </c>
      <c r="L76" s="175">
        <f t="shared" si="12"/>
        <v>2E-3</v>
      </c>
      <c r="M76" s="175">
        <f t="shared" si="12"/>
        <v>2E-3</v>
      </c>
      <c r="N76" s="175">
        <f t="shared" si="12"/>
        <v>1E-3</v>
      </c>
      <c r="O76" s="175">
        <f t="shared" si="12"/>
        <v>0</v>
      </c>
      <c r="P76" s="174">
        <f t="shared" si="5"/>
        <v>2.0000000000000004E-2</v>
      </c>
      <c r="Q76" s="197"/>
      <c r="R76" s="198"/>
      <c r="S76" s="194"/>
      <c r="T76" s="194"/>
      <c r="U76" s="194"/>
      <c r="V76" s="194"/>
      <c r="W76" s="194"/>
      <c r="X76" s="194"/>
      <c r="Y76" s="194"/>
      <c r="Z76" s="194"/>
      <c r="AA76" s="194"/>
      <c r="AB76" s="194"/>
      <c r="AC76" s="194"/>
      <c r="AD76" s="194"/>
    </row>
    <row r="77" spans="1:30" hidden="1" x14ac:dyDescent="0.3">
      <c r="A77" s="547"/>
      <c r="B77" s="566"/>
      <c r="C77" s="173" t="s">
        <v>63</v>
      </c>
      <c r="D77" s="172">
        <f>D51*$B$50/$P$50</f>
        <v>0</v>
      </c>
      <c r="E77" s="172">
        <f t="shared" si="12"/>
        <v>0</v>
      </c>
      <c r="F77" s="172">
        <f t="shared" si="12"/>
        <v>1E-3</v>
      </c>
      <c r="G77" s="172">
        <f t="shared" si="12"/>
        <v>4.0000000000000001E-3</v>
      </c>
      <c r="H77" s="172">
        <f t="shared" si="12"/>
        <v>3.0000000000000001E-3</v>
      </c>
      <c r="I77" s="172">
        <f t="shared" si="12"/>
        <v>2E-3</v>
      </c>
      <c r="J77" s="172">
        <f t="shared" si="12"/>
        <v>3.0000000000000001E-3</v>
      </c>
      <c r="K77" s="172">
        <f t="shared" si="12"/>
        <v>2E-3</v>
      </c>
      <c r="L77" s="172">
        <f t="shared" si="12"/>
        <v>2E-3</v>
      </c>
      <c r="M77" s="172">
        <f t="shared" si="12"/>
        <v>2E-3</v>
      </c>
      <c r="N77" s="172">
        <f t="shared" si="12"/>
        <v>0</v>
      </c>
      <c r="O77" s="172">
        <f t="shared" si="12"/>
        <v>0</v>
      </c>
      <c r="P77" s="171">
        <f t="shared" si="5"/>
        <v>1.9000000000000003E-2</v>
      </c>
      <c r="Q77" s="199"/>
      <c r="R77" s="198"/>
      <c r="S77" s="194"/>
      <c r="T77" s="194"/>
      <c r="U77" s="194"/>
      <c r="V77" s="194"/>
      <c r="W77" s="194"/>
      <c r="X77" s="194"/>
      <c r="Y77" s="194"/>
      <c r="Z77" s="194"/>
      <c r="AA77" s="194"/>
      <c r="AB77" s="194"/>
      <c r="AC77" s="194"/>
      <c r="AD77" s="194"/>
    </row>
    <row r="78" spans="1:30" hidden="1" x14ac:dyDescent="0.3">
      <c r="A78" s="546" t="str">
        <f>A52</f>
        <v xml:space="preserve">14. Realizar la Mesa Interinstitucional activa, implementando Plan de Trabajo  </v>
      </c>
      <c r="B78" s="565">
        <f>B52</f>
        <v>0.02</v>
      </c>
      <c r="C78" s="176" t="s">
        <v>62</v>
      </c>
      <c r="D78" s="175">
        <f>D52*$B$52/$P$52</f>
        <v>0</v>
      </c>
      <c r="E78" s="175">
        <f t="shared" ref="E78:O79" si="13">E52*$B$52/$P$52</f>
        <v>1.0000000000000002E-3</v>
      </c>
      <c r="F78" s="175">
        <f t="shared" si="13"/>
        <v>2.0000000000000005E-3</v>
      </c>
      <c r="G78" s="175">
        <f t="shared" si="13"/>
        <v>2.0000000000000005E-3</v>
      </c>
      <c r="H78" s="175">
        <f t="shared" si="13"/>
        <v>2.0000000000000005E-3</v>
      </c>
      <c r="I78" s="175">
        <f t="shared" si="13"/>
        <v>2.0000000000000005E-3</v>
      </c>
      <c r="J78" s="175">
        <f t="shared" si="13"/>
        <v>2.0000000000000005E-3</v>
      </c>
      <c r="K78" s="175">
        <f t="shared" si="13"/>
        <v>2.0000000000000005E-3</v>
      </c>
      <c r="L78" s="175">
        <f t="shared" si="13"/>
        <v>2.0000000000000005E-3</v>
      </c>
      <c r="M78" s="175">
        <f t="shared" si="13"/>
        <v>2.0000000000000005E-3</v>
      </c>
      <c r="N78" s="175">
        <f t="shared" si="13"/>
        <v>2.0000000000000005E-3</v>
      </c>
      <c r="O78" s="175">
        <f t="shared" si="13"/>
        <v>1.0000000000000002E-3</v>
      </c>
      <c r="P78" s="174">
        <f t="shared" si="5"/>
        <v>2.0000000000000004E-2</v>
      </c>
      <c r="Q78" s="197">
        <v>0.02</v>
      </c>
      <c r="R78" s="198">
        <f>+P78-Q78</f>
        <v>0</v>
      </c>
      <c r="S78" s="194"/>
      <c r="T78" s="194"/>
      <c r="U78" s="194"/>
      <c r="V78" s="194"/>
      <c r="W78" s="194"/>
      <c r="X78" s="194"/>
      <c r="Y78" s="194"/>
      <c r="Z78" s="194"/>
      <c r="AA78" s="194"/>
      <c r="AB78" s="194"/>
      <c r="AC78" s="194"/>
      <c r="AD78" s="194"/>
    </row>
    <row r="79" spans="1:30" hidden="1" x14ac:dyDescent="0.3">
      <c r="A79" s="547"/>
      <c r="B79" s="566"/>
      <c r="C79" s="173" t="s">
        <v>63</v>
      </c>
      <c r="D79" s="172">
        <f>D53*$B$52/$P$52</f>
        <v>0</v>
      </c>
      <c r="E79" s="172">
        <f t="shared" si="13"/>
        <v>0</v>
      </c>
      <c r="F79" s="172">
        <f t="shared" si="13"/>
        <v>3.0000000000000005E-3</v>
      </c>
      <c r="G79" s="172">
        <f t="shared" si="13"/>
        <v>2.0000000000000005E-3</v>
      </c>
      <c r="H79" s="172">
        <f t="shared" si="13"/>
        <v>3.0000000000000005E-3</v>
      </c>
      <c r="I79" s="172">
        <f t="shared" si="13"/>
        <v>2.0000000000000005E-3</v>
      </c>
      <c r="J79" s="172">
        <f t="shared" si="13"/>
        <v>1.0000000000000002E-3</v>
      </c>
      <c r="K79" s="172">
        <f t="shared" si="13"/>
        <v>2.0000000000000005E-3</v>
      </c>
      <c r="L79" s="172">
        <f t="shared" si="13"/>
        <v>2.0000000000000005E-3</v>
      </c>
      <c r="M79" s="172">
        <f t="shared" si="13"/>
        <v>2.0000000000000005E-3</v>
      </c>
      <c r="N79" s="172">
        <f t="shared" si="13"/>
        <v>0</v>
      </c>
      <c r="O79" s="172">
        <f t="shared" si="13"/>
        <v>0</v>
      </c>
      <c r="P79" s="171">
        <f t="shared" si="5"/>
        <v>1.7000000000000005E-2</v>
      </c>
      <c r="Q79" s="199">
        <f>+P79</f>
        <v>1.7000000000000005E-2</v>
      </c>
      <c r="R79" s="198">
        <f>+P79-Q79</f>
        <v>0</v>
      </c>
      <c r="S79" s="194"/>
      <c r="T79" s="194"/>
      <c r="U79" s="194"/>
      <c r="V79" s="194"/>
      <c r="W79" s="194"/>
      <c r="X79" s="194"/>
      <c r="Y79" s="194"/>
      <c r="Z79" s="194"/>
      <c r="AA79" s="194"/>
      <c r="AB79" s="194"/>
      <c r="AC79" s="194"/>
      <c r="AD79" s="194"/>
    </row>
    <row r="80" spans="1:30" hidden="1" x14ac:dyDescent="0.3">
      <c r="A80" s="546" t="str">
        <f>A54</f>
        <v xml:space="preserve">15. Definir e implementar acciones de las fases III y IV de la Estrategia de Cuidado Menstrual dirigidas a mujeres y personas con experiencias menstruales en sus diferencias y diversidad, según priorización y pertinencia. </v>
      </c>
      <c r="B80" s="565">
        <f>B54</f>
        <v>0.02</v>
      </c>
      <c r="C80" s="176" t="s">
        <v>62</v>
      </c>
      <c r="D80" s="175">
        <f>D54*$B$54/$P$54</f>
        <v>0</v>
      </c>
      <c r="E80" s="175">
        <f t="shared" ref="E80:O81" si="14">E54*$B$54/$P$54</f>
        <v>0</v>
      </c>
      <c r="F80" s="175">
        <f t="shared" si="14"/>
        <v>0</v>
      </c>
      <c r="G80" s="175">
        <f t="shared" si="14"/>
        <v>2E-3</v>
      </c>
      <c r="H80" s="175">
        <f t="shared" si="14"/>
        <v>2E-3</v>
      </c>
      <c r="I80" s="175">
        <f t="shared" si="14"/>
        <v>4.0000000000000001E-3</v>
      </c>
      <c r="J80" s="175">
        <f t="shared" si="14"/>
        <v>4.0000000000000001E-3</v>
      </c>
      <c r="K80" s="175">
        <f t="shared" si="14"/>
        <v>2E-3</v>
      </c>
      <c r="L80" s="175">
        <f t="shared" si="14"/>
        <v>2E-3</v>
      </c>
      <c r="M80" s="175">
        <f t="shared" si="14"/>
        <v>4.0000000000000001E-3</v>
      </c>
      <c r="N80" s="175">
        <f t="shared" si="14"/>
        <v>0</v>
      </c>
      <c r="O80" s="175">
        <f t="shared" si="14"/>
        <v>0</v>
      </c>
      <c r="P80" s="174">
        <f t="shared" si="5"/>
        <v>0.02</v>
      </c>
      <c r="Q80" s="197">
        <v>0.02</v>
      </c>
      <c r="R80" s="198">
        <f>+P80-Q80</f>
        <v>0</v>
      </c>
      <c r="S80" s="194"/>
      <c r="T80" s="194"/>
      <c r="U80" s="194"/>
      <c r="V80" s="194"/>
      <c r="W80" s="194"/>
      <c r="X80" s="194"/>
      <c r="Y80" s="194"/>
      <c r="Z80" s="194"/>
      <c r="AA80" s="194"/>
      <c r="AB80" s="194"/>
      <c r="AC80" s="194"/>
      <c r="AD80" s="194"/>
    </row>
    <row r="81" spans="1:30" hidden="1" x14ac:dyDescent="0.3">
      <c r="A81" s="547"/>
      <c r="B81" s="566"/>
      <c r="C81" s="173" t="s">
        <v>63</v>
      </c>
      <c r="D81" s="172">
        <f>D55*$B$54/$P$54</f>
        <v>0</v>
      </c>
      <c r="E81" s="172">
        <f t="shared" si="14"/>
        <v>0</v>
      </c>
      <c r="F81" s="172">
        <f t="shared" si="14"/>
        <v>0</v>
      </c>
      <c r="G81" s="172">
        <f t="shared" si="14"/>
        <v>1E-3</v>
      </c>
      <c r="H81" s="172">
        <f t="shared" si="14"/>
        <v>3.0000000000000001E-3</v>
      </c>
      <c r="I81" s="172">
        <f t="shared" si="14"/>
        <v>4.0000000000000001E-3</v>
      </c>
      <c r="J81" s="172">
        <f t="shared" si="14"/>
        <v>4.0000000000000001E-3</v>
      </c>
      <c r="K81" s="172">
        <f t="shared" si="14"/>
        <v>2E-3</v>
      </c>
      <c r="L81" s="172">
        <f t="shared" si="14"/>
        <v>2E-3</v>
      </c>
      <c r="M81" s="172">
        <f t="shared" si="14"/>
        <v>4.0000000000000001E-3</v>
      </c>
      <c r="N81" s="172">
        <f t="shared" si="14"/>
        <v>0</v>
      </c>
      <c r="O81" s="172">
        <f t="shared" si="14"/>
        <v>0</v>
      </c>
      <c r="P81" s="171">
        <f t="shared" si="5"/>
        <v>0.02</v>
      </c>
      <c r="Q81" s="199">
        <f>+P81</f>
        <v>0.02</v>
      </c>
      <c r="R81" s="198">
        <f>+P81-Q81</f>
        <v>0</v>
      </c>
      <c r="S81" s="194"/>
      <c r="T81" s="194"/>
      <c r="U81" s="194"/>
      <c r="V81" s="194"/>
      <c r="W81" s="194"/>
      <c r="X81" s="194"/>
      <c r="Y81" s="194"/>
      <c r="Z81" s="194"/>
      <c r="AA81" s="194"/>
      <c r="AB81" s="194"/>
      <c r="AC81" s="194"/>
      <c r="AD81" s="194"/>
    </row>
    <row r="82" spans="1:30" hidden="1" x14ac:dyDescent="0.3">
      <c r="A82" s="546" t="str">
        <f>A56</f>
        <v>16. Diseñar y poner en acción el Plan Estratégico de Comunicaciones de la EDCM</v>
      </c>
      <c r="B82" s="565">
        <f>B56</f>
        <v>0.02</v>
      </c>
      <c r="C82" s="176" t="s">
        <v>62</v>
      </c>
      <c r="D82" s="175">
        <f>D56*$B$56/$P$56</f>
        <v>0</v>
      </c>
      <c r="E82" s="175">
        <f t="shared" ref="E82:O83" si="15">E56*$B$56/$P$56</f>
        <v>5.9999999999999984E-3</v>
      </c>
      <c r="F82" s="175">
        <f t="shared" si="15"/>
        <v>9.999999999999998E-4</v>
      </c>
      <c r="G82" s="175">
        <f t="shared" si="15"/>
        <v>2.9999999999999992E-3</v>
      </c>
      <c r="H82" s="175">
        <f t="shared" si="15"/>
        <v>2.9999999999999992E-3</v>
      </c>
      <c r="I82" s="175">
        <f t="shared" si="15"/>
        <v>1.9999999999999996E-3</v>
      </c>
      <c r="J82" s="175">
        <f t="shared" si="15"/>
        <v>9.999999999999998E-4</v>
      </c>
      <c r="K82" s="175">
        <f t="shared" si="15"/>
        <v>9.999999999999998E-4</v>
      </c>
      <c r="L82" s="175">
        <f t="shared" si="15"/>
        <v>9.999999999999998E-4</v>
      </c>
      <c r="M82" s="175">
        <f t="shared" si="15"/>
        <v>9.999999999999998E-4</v>
      </c>
      <c r="N82" s="175">
        <f t="shared" si="15"/>
        <v>5.9999999999999984E-4</v>
      </c>
      <c r="O82" s="175">
        <f t="shared" si="15"/>
        <v>3.9999999999999991E-4</v>
      </c>
      <c r="P82" s="174">
        <f t="shared" si="5"/>
        <v>0.02</v>
      </c>
      <c r="Q82" s="197"/>
      <c r="R82" s="198"/>
      <c r="S82" s="194"/>
      <c r="T82" s="194"/>
      <c r="U82" s="194"/>
      <c r="V82" s="194"/>
      <c r="W82" s="194"/>
      <c r="X82" s="194"/>
      <c r="Y82" s="194"/>
      <c r="Z82" s="194"/>
      <c r="AA82" s="194"/>
      <c r="AB82" s="194"/>
      <c r="AC82" s="194"/>
      <c r="AD82" s="194"/>
    </row>
    <row r="83" spans="1:30" hidden="1" x14ac:dyDescent="0.3">
      <c r="A83" s="547"/>
      <c r="B83" s="566"/>
      <c r="C83" s="173" t="s">
        <v>63</v>
      </c>
      <c r="D83" s="172">
        <f>D57*$B$56/$P$56</f>
        <v>0</v>
      </c>
      <c r="E83" s="172">
        <f t="shared" si="15"/>
        <v>0</v>
      </c>
      <c r="F83" s="172">
        <f t="shared" si="15"/>
        <v>0</v>
      </c>
      <c r="G83" s="172">
        <f t="shared" si="15"/>
        <v>2.9999999999999992E-3</v>
      </c>
      <c r="H83" s="172">
        <f t="shared" si="15"/>
        <v>7.9999999999999984E-3</v>
      </c>
      <c r="I83" s="172">
        <f t="shared" si="15"/>
        <v>2.9999999999999992E-3</v>
      </c>
      <c r="J83" s="172">
        <f t="shared" si="15"/>
        <v>1.4E-3</v>
      </c>
      <c r="K83" s="172">
        <f t="shared" si="15"/>
        <v>1.5999999999999996E-3</v>
      </c>
      <c r="L83" s="172">
        <f t="shared" si="15"/>
        <v>9.999999999999998E-4</v>
      </c>
      <c r="M83" s="172">
        <f t="shared" si="15"/>
        <v>9.999999999999998E-4</v>
      </c>
      <c r="N83" s="172">
        <f t="shared" si="15"/>
        <v>0</v>
      </c>
      <c r="O83" s="172">
        <f t="shared" si="15"/>
        <v>0</v>
      </c>
      <c r="P83" s="171">
        <f t="shared" si="5"/>
        <v>1.9E-2</v>
      </c>
      <c r="Q83" s="199"/>
      <c r="R83" s="198"/>
      <c r="S83" s="194"/>
      <c r="T83" s="194"/>
      <c r="U83" s="194"/>
      <c r="V83" s="194"/>
      <c r="W83" s="194"/>
      <c r="X83" s="194"/>
      <c r="Y83" s="194"/>
      <c r="Z83" s="194"/>
      <c r="AA83" s="194"/>
      <c r="AB83" s="194"/>
      <c r="AC83" s="194"/>
      <c r="AD83" s="194"/>
    </row>
    <row r="84" spans="1:30" hidden="1" x14ac:dyDescent="0.3">
      <c r="A84" s="196"/>
      <c r="B84" s="169"/>
      <c r="C84" s="170"/>
      <c r="D84" s="165">
        <f>D65+D67+D69+D71+D73+D75+D77+D79+D81+D83</f>
        <v>0</v>
      </c>
      <c r="E84" s="165">
        <f t="shared" ref="E84:O84" si="16">E65+E67+E69+E71+E73+E75+E77+E79+E81+E83</f>
        <v>1.0799999999999999E-2</v>
      </c>
      <c r="F84" s="165">
        <f t="shared" si="16"/>
        <v>1.9399999999999997E-2</v>
      </c>
      <c r="G84" s="165">
        <f t="shared" si="16"/>
        <v>2.7E-2</v>
      </c>
      <c r="H84" s="165">
        <f t="shared" si="16"/>
        <v>2.8599999999999993E-2</v>
      </c>
      <c r="I84" s="165">
        <f t="shared" si="16"/>
        <v>2.0399999999999998E-2</v>
      </c>
      <c r="J84" s="165">
        <f t="shared" si="16"/>
        <v>1.78E-2</v>
      </c>
      <c r="K84" s="165">
        <f t="shared" si="16"/>
        <v>1.7999999999999999E-2</v>
      </c>
      <c r="L84" s="165">
        <f t="shared" si="16"/>
        <v>1.6400000000000001E-2</v>
      </c>
      <c r="M84" s="165">
        <f t="shared" si="16"/>
        <v>2.0400000000000001E-2</v>
      </c>
      <c r="N84" s="165">
        <f t="shared" si="16"/>
        <v>0</v>
      </c>
      <c r="O84" s="165">
        <f t="shared" si="16"/>
        <v>0</v>
      </c>
      <c r="P84" s="165">
        <f>P65+P67+P69+P71+P73+P75+P77</f>
        <v>0.12280000000000001</v>
      </c>
      <c r="Q84" s="195"/>
      <c r="R84" s="198">
        <f t="shared" si="6"/>
        <v>0.12280000000000001</v>
      </c>
      <c r="S84" s="194"/>
      <c r="T84" s="194"/>
      <c r="U84" s="194"/>
      <c r="V84" s="194"/>
      <c r="W84" s="194"/>
      <c r="X84" s="194"/>
      <c r="Y84" s="194"/>
      <c r="Z84" s="194"/>
      <c r="AA84" s="194"/>
      <c r="AB84" s="194"/>
      <c r="AC84" s="194"/>
      <c r="AD84" s="194"/>
    </row>
    <row r="85" spans="1:30" hidden="1" x14ac:dyDescent="0.3">
      <c r="A85" s="197"/>
      <c r="B85" s="167"/>
      <c r="C85" s="164" t="s">
        <v>63</v>
      </c>
      <c r="D85" s="163">
        <f>D84*$W$17/$B$34</f>
        <v>0</v>
      </c>
      <c r="E85" s="163">
        <f t="shared" ref="E85:O85" si="17">E84*$W$17/$B$34</f>
        <v>4.8599999999999997E-2</v>
      </c>
      <c r="F85" s="163">
        <f t="shared" si="17"/>
        <v>8.7299999999999975E-2</v>
      </c>
      <c r="G85" s="163">
        <f t="shared" si="17"/>
        <v>0.12149999999999998</v>
      </c>
      <c r="H85" s="163">
        <f t="shared" si="17"/>
        <v>0.12869999999999998</v>
      </c>
      <c r="I85" s="163">
        <f t="shared" si="17"/>
        <v>9.1799999999999979E-2</v>
      </c>
      <c r="J85" s="163">
        <f t="shared" si="17"/>
        <v>8.0099999999999991E-2</v>
      </c>
      <c r="K85" s="163">
        <f t="shared" si="17"/>
        <v>8.0999999999999989E-2</v>
      </c>
      <c r="L85" s="163">
        <f t="shared" si="17"/>
        <v>7.3800000000000004E-2</v>
      </c>
      <c r="M85" s="163">
        <f t="shared" si="17"/>
        <v>9.1800000000000007E-2</v>
      </c>
      <c r="N85" s="163">
        <f t="shared" si="17"/>
        <v>0</v>
      </c>
      <c r="O85" s="163">
        <f t="shared" si="17"/>
        <v>0</v>
      </c>
      <c r="P85" s="162">
        <f>SUM(D85:O85)</f>
        <v>0.80459999999999987</v>
      </c>
      <c r="Q85" s="196"/>
      <c r="R85" s="195"/>
      <c r="S85" s="194"/>
      <c r="T85" s="194"/>
      <c r="U85" s="194"/>
      <c r="V85" s="194"/>
      <c r="W85" s="194"/>
      <c r="X85" s="194"/>
      <c r="Y85" s="194"/>
      <c r="Z85" s="194"/>
      <c r="AA85" s="194"/>
      <c r="AB85" s="194"/>
      <c r="AC85" s="194"/>
      <c r="AD85" s="194"/>
    </row>
    <row r="86" spans="1:30" hidden="1" x14ac:dyDescent="0.3">
      <c r="A86" s="196"/>
      <c r="B86" s="166"/>
      <c r="C86" s="166"/>
      <c r="D86" s="166"/>
      <c r="E86" s="166"/>
      <c r="F86" s="166"/>
      <c r="G86" s="166"/>
      <c r="H86" s="166"/>
      <c r="I86" s="166"/>
      <c r="J86" s="166"/>
      <c r="K86" s="166"/>
      <c r="L86" s="166"/>
      <c r="M86" s="166"/>
      <c r="N86" s="166"/>
      <c r="O86" s="166"/>
      <c r="P86" s="166"/>
      <c r="Q86" s="196"/>
      <c r="R86" s="196"/>
      <c r="S86" s="194"/>
      <c r="T86" s="194"/>
      <c r="U86" s="194"/>
      <c r="V86" s="194"/>
      <c r="W86" s="194"/>
      <c r="X86" s="194"/>
      <c r="Y86" s="194"/>
      <c r="Z86" s="194"/>
      <c r="AA86" s="194"/>
      <c r="AB86" s="194"/>
      <c r="AC86" s="194"/>
      <c r="AD86" s="194"/>
    </row>
    <row r="87" spans="1:30" hidden="1" x14ac:dyDescent="0.3">
      <c r="A87" s="197"/>
      <c r="B87" s="108"/>
      <c r="C87" s="108"/>
      <c r="D87" s="165">
        <f>+D64+D66+D68+D70+D72+D74+D76+D78+D80+D82</f>
        <v>0</v>
      </c>
      <c r="E87" s="165">
        <f t="shared" ref="E87:O87" si="18">+E64+E66+E68+E70+E72+E74+E76+E78+E80+E82</f>
        <v>2.3199999999999998E-2</v>
      </c>
      <c r="F87" s="165">
        <f t="shared" si="18"/>
        <v>1.5999999999999997E-2</v>
      </c>
      <c r="G87" s="165">
        <f t="shared" si="18"/>
        <v>2.4999999999999998E-2</v>
      </c>
      <c r="H87" s="165">
        <f t="shared" si="18"/>
        <v>2.06E-2</v>
      </c>
      <c r="I87" s="165">
        <f t="shared" si="18"/>
        <v>2.0399999999999998E-2</v>
      </c>
      <c r="J87" s="165">
        <f t="shared" si="18"/>
        <v>1.9400000000000001E-2</v>
      </c>
      <c r="K87" s="165">
        <f t="shared" si="18"/>
        <v>1.7399999999999999E-2</v>
      </c>
      <c r="L87" s="165">
        <f t="shared" si="18"/>
        <v>1.6400000000000001E-2</v>
      </c>
      <c r="M87" s="165">
        <f t="shared" si="18"/>
        <v>2.0400000000000001E-2</v>
      </c>
      <c r="N87" s="165">
        <f t="shared" si="18"/>
        <v>1.46E-2</v>
      </c>
      <c r="O87" s="165">
        <f t="shared" si="18"/>
        <v>6.6000000000000008E-3</v>
      </c>
      <c r="P87" s="165">
        <f>SUM(D87:O87)</f>
        <v>0.19999999999999998</v>
      </c>
      <c r="Q87" s="197"/>
      <c r="R87" s="197"/>
      <c r="S87" s="194"/>
      <c r="T87" s="194"/>
      <c r="U87" s="194"/>
      <c r="V87" s="194"/>
      <c r="W87" s="194"/>
      <c r="X87" s="194"/>
      <c r="Y87" s="194"/>
      <c r="Z87" s="194"/>
      <c r="AA87" s="194"/>
      <c r="AB87" s="194"/>
      <c r="AC87" s="194"/>
      <c r="AD87" s="194"/>
    </row>
    <row r="88" spans="1:30" hidden="1" x14ac:dyDescent="0.3">
      <c r="A88" s="197"/>
      <c r="B88" s="108"/>
      <c r="C88" s="164" t="s">
        <v>62</v>
      </c>
      <c r="D88" s="163">
        <f t="shared" ref="D88:O88" si="19">D87*$W$17/$B$34</f>
        <v>0</v>
      </c>
      <c r="E88" s="163">
        <f t="shared" si="19"/>
        <v>0.10439999999999999</v>
      </c>
      <c r="F88" s="163">
        <f t="shared" si="19"/>
        <v>7.1999999999999981E-2</v>
      </c>
      <c r="G88" s="163">
        <f t="shared" si="19"/>
        <v>0.11249999999999999</v>
      </c>
      <c r="H88" s="163">
        <f t="shared" si="19"/>
        <v>9.2700000000000005E-2</v>
      </c>
      <c r="I88" s="163">
        <f t="shared" si="19"/>
        <v>9.1799999999999979E-2</v>
      </c>
      <c r="J88" s="163">
        <f t="shared" si="19"/>
        <v>8.7299999999999989E-2</v>
      </c>
      <c r="K88" s="163">
        <f t="shared" si="19"/>
        <v>7.8299999999999995E-2</v>
      </c>
      <c r="L88" s="163">
        <f t="shared" si="19"/>
        <v>7.3800000000000004E-2</v>
      </c>
      <c r="M88" s="163">
        <f t="shared" si="19"/>
        <v>9.1800000000000007E-2</v>
      </c>
      <c r="N88" s="163">
        <f t="shared" si="19"/>
        <v>6.5699999999999995E-2</v>
      </c>
      <c r="O88" s="163">
        <f t="shared" si="19"/>
        <v>2.9700000000000004E-2</v>
      </c>
      <c r="P88" s="162">
        <f>SUM(D88:O88)</f>
        <v>0.89999999999999991</v>
      </c>
      <c r="Q88" s="197"/>
      <c r="R88" s="197"/>
      <c r="S88" s="194"/>
      <c r="T88" s="194"/>
      <c r="U88" s="194"/>
      <c r="V88" s="194"/>
      <c r="W88" s="194"/>
      <c r="X88" s="194"/>
      <c r="Y88" s="194"/>
      <c r="Z88" s="194"/>
      <c r="AA88" s="194"/>
      <c r="AB88" s="194"/>
      <c r="AC88" s="194"/>
      <c r="AD88" s="194"/>
    </row>
    <row r="89" spans="1:30" hidden="1" x14ac:dyDescent="0.3">
      <c r="A89" s="194"/>
      <c r="Q89" s="194"/>
      <c r="R89" s="194"/>
      <c r="S89" s="194"/>
      <c r="T89" s="194"/>
      <c r="U89" s="194"/>
      <c r="V89" s="194"/>
      <c r="W89" s="194"/>
      <c r="X89" s="194"/>
      <c r="Y89" s="194"/>
      <c r="Z89" s="194"/>
      <c r="AA89" s="194"/>
      <c r="AB89" s="194"/>
      <c r="AC89" s="194"/>
      <c r="AD89" s="194"/>
    </row>
    <row r="90" spans="1:30" hidden="1" x14ac:dyDescent="0.3">
      <c r="A90" s="194"/>
      <c r="Q90" s="194"/>
      <c r="R90" s="194"/>
      <c r="S90" s="194"/>
      <c r="T90" s="194"/>
      <c r="U90" s="194"/>
      <c r="V90" s="194"/>
      <c r="W90" s="194"/>
      <c r="X90" s="194"/>
      <c r="Y90" s="194"/>
      <c r="Z90" s="194"/>
      <c r="AA90" s="194"/>
      <c r="AB90" s="194"/>
      <c r="AC90" s="194"/>
      <c r="AD90" s="194"/>
    </row>
    <row r="91" spans="1:30" hidden="1" x14ac:dyDescent="0.3">
      <c r="A91" s="194"/>
      <c r="Q91" s="194"/>
      <c r="R91" s="194"/>
      <c r="S91" s="194"/>
      <c r="T91" s="194"/>
      <c r="U91" s="194"/>
      <c r="V91" s="194"/>
      <c r="W91" s="194"/>
      <c r="X91" s="194"/>
      <c r="Y91" s="194"/>
      <c r="Z91" s="194"/>
      <c r="AA91" s="194"/>
      <c r="AB91" s="194"/>
      <c r="AC91" s="194"/>
      <c r="AD91" s="194"/>
    </row>
    <row r="92" spans="1:30" hidden="1" x14ac:dyDescent="0.3">
      <c r="A92" s="194"/>
      <c r="Q92" s="194"/>
      <c r="R92" s="194"/>
      <c r="S92" s="194"/>
      <c r="T92" s="194"/>
      <c r="U92" s="194"/>
      <c r="V92" s="194"/>
      <c r="W92" s="194"/>
      <c r="X92" s="194"/>
      <c r="Y92" s="194"/>
      <c r="Z92" s="194"/>
      <c r="AA92" s="194"/>
      <c r="AB92" s="194"/>
      <c r="AC92" s="194"/>
      <c r="AD92" s="194"/>
    </row>
    <row r="93" spans="1:30" hidden="1" x14ac:dyDescent="0.3">
      <c r="A93" s="194"/>
      <c r="Q93" s="194"/>
      <c r="R93" s="194"/>
      <c r="S93" s="194"/>
      <c r="T93" s="194"/>
      <c r="U93" s="194"/>
      <c r="V93" s="194"/>
      <c r="W93" s="194"/>
      <c r="X93" s="194"/>
      <c r="Y93" s="194"/>
      <c r="Z93" s="194"/>
      <c r="AA93" s="194"/>
      <c r="AB93" s="194"/>
      <c r="AC93" s="194"/>
      <c r="AD93" s="194"/>
    </row>
    <row r="94" spans="1:30" hidden="1" x14ac:dyDescent="0.3">
      <c r="A94" s="194"/>
      <c r="Q94" s="194"/>
      <c r="R94" s="194"/>
      <c r="S94" s="194"/>
      <c r="T94" s="194"/>
      <c r="U94" s="194"/>
      <c r="V94" s="194"/>
      <c r="W94" s="194"/>
      <c r="X94" s="194"/>
      <c r="Y94" s="194"/>
      <c r="Z94" s="194"/>
      <c r="AA94" s="194"/>
      <c r="AB94" s="194"/>
      <c r="AC94" s="194"/>
      <c r="AD94" s="194"/>
    </row>
    <row r="95" spans="1:30" hidden="1" x14ac:dyDescent="0.3">
      <c r="A95" s="194"/>
      <c r="Q95" s="194"/>
      <c r="R95" s="194"/>
      <c r="S95" s="194"/>
      <c r="T95" s="194"/>
      <c r="U95" s="194"/>
      <c r="V95" s="194"/>
      <c r="W95" s="194"/>
      <c r="X95" s="194"/>
      <c r="Y95" s="194"/>
      <c r="Z95" s="194"/>
      <c r="AA95" s="194"/>
      <c r="AB95" s="194"/>
      <c r="AC95" s="194"/>
      <c r="AD95" s="194"/>
    </row>
    <row r="96" spans="1:30" x14ac:dyDescent="0.3">
      <c r="A96" s="194"/>
      <c r="Q96" s="194"/>
      <c r="R96" s="194"/>
      <c r="S96" s="194"/>
      <c r="T96" s="194"/>
      <c r="U96" s="194"/>
      <c r="V96" s="194"/>
      <c r="W96" s="194"/>
      <c r="X96" s="194"/>
      <c r="Y96" s="194"/>
      <c r="Z96" s="194"/>
      <c r="AA96" s="194"/>
      <c r="AB96" s="194"/>
      <c r="AC96" s="194"/>
      <c r="AD96" s="194"/>
    </row>
    <row r="97" spans="1:30" x14ac:dyDescent="0.3">
      <c r="A97" s="194"/>
      <c r="Q97" s="194"/>
      <c r="R97" s="194"/>
      <c r="S97" s="194"/>
      <c r="T97" s="194"/>
      <c r="U97" s="194"/>
      <c r="V97" s="194"/>
      <c r="W97" s="194"/>
      <c r="X97" s="194"/>
      <c r="Y97" s="194"/>
      <c r="Z97" s="194"/>
      <c r="AA97" s="194"/>
      <c r="AB97" s="194"/>
      <c r="AC97" s="194"/>
      <c r="AD97" s="194"/>
    </row>
    <row r="98" spans="1:30" x14ac:dyDescent="0.3">
      <c r="A98" s="194"/>
      <c r="Q98" s="194"/>
      <c r="R98" s="194"/>
      <c r="S98" s="194"/>
      <c r="T98" s="194"/>
      <c r="U98" s="194"/>
      <c r="V98" s="194"/>
      <c r="W98" s="194"/>
      <c r="X98" s="194"/>
      <c r="Y98" s="194"/>
      <c r="Z98" s="194"/>
      <c r="AA98" s="194"/>
      <c r="AB98" s="194"/>
      <c r="AC98" s="194"/>
      <c r="AD98" s="194"/>
    </row>
    <row r="99" spans="1:30" x14ac:dyDescent="0.3">
      <c r="A99" s="194"/>
      <c r="Q99" s="194"/>
      <c r="R99" s="194"/>
      <c r="S99" s="194"/>
      <c r="T99" s="194"/>
      <c r="U99" s="194"/>
      <c r="V99" s="194"/>
      <c r="W99" s="194"/>
      <c r="X99" s="194"/>
      <c r="Y99" s="194"/>
      <c r="Z99" s="194"/>
      <c r="AA99" s="194"/>
      <c r="AB99" s="194"/>
      <c r="AC99" s="194"/>
      <c r="AD99" s="194"/>
    </row>
    <row r="100" spans="1:30" x14ac:dyDescent="0.3">
      <c r="A100" s="194"/>
      <c r="Q100" s="194"/>
      <c r="R100" s="194"/>
      <c r="S100" s="194"/>
      <c r="T100" s="194"/>
      <c r="U100" s="194"/>
      <c r="V100" s="194"/>
      <c r="W100" s="194"/>
      <c r="X100" s="194"/>
      <c r="Y100" s="194"/>
      <c r="Z100" s="194"/>
      <c r="AA100" s="194"/>
      <c r="AB100" s="194"/>
      <c r="AC100" s="194"/>
      <c r="AD100" s="194"/>
    </row>
    <row r="101" spans="1:30" x14ac:dyDescent="0.3">
      <c r="A101" s="194"/>
      <c r="Q101" s="194"/>
      <c r="R101" s="194"/>
      <c r="S101" s="194"/>
      <c r="T101" s="194"/>
      <c r="U101" s="194"/>
      <c r="V101" s="194"/>
      <c r="W101" s="194"/>
      <c r="X101" s="194"/>
      <c r="Y101" s="194"/>
      <c r="Z101" s="194"/>
      <c r="AA101" s="194"/>
      <c r="AB101" s="194"/>
      <c r="AC101" s="194"/>
      <c r="AD101" s="194"/>
    </row>
    <row r="102" spans="1:30" x14ac:dyDescent="0.3">
      <c r="Q102" s="194"/>
      <c r="R102" s="194"/>
      <c r="S102" s="194"/>
      <c r="T102" s="194"/>
      <c r="U102" s="194"/>
      <c r="V102" s="194"/>
      <c r="W102" s="194"/>
      <c r="X102" s="194"/>
      <c r="Y102" s="194"/>
      <c r="Z102" s="194"/>
      <c r="AA102" s="194"/>
      <c r="AB102" s="194"/>
      <c r="AC102" s="194"/>
      <c r="AD102" s="194"/>
    </row>
    <row r="103" spans="1:30" x14ac:dyDescent="0.3">
      <c r="Q103" s="194"/>
      <c r="R103" s="194"/>
      <c r="S103" s="194"/>
      <c r="T103" s="194"/>
      <c r="U103" s="194"/>
      <c r="V103" s="194"/>
      <c r="W103" s="194"/>
      <c r="X103" s="194"/>
      <c r="Y103" s="194"/>
      <c r="Z103" s="194"/>
      <c r="AA103" s="194"/>
      <c r="AB103" s="194"/>
      <c r="AC103" s="194"/>
      <c r="AD103" s="194"/>
    </row>
    <row r="104" spans="1:30" x14ac:dyDescent="0.3">
      <c r="Q104" s="194"/>
      <c r="R104" s="194"/>
      <c r="S104" s="194"/>
      <c r="T104" s="194"/>
      <c r="U104" s="194"/>
      <c r="V104" s="194"/>
      <c r="W104" s="194"/>
      <c r="X104" s="194"/>
      <c r="Y104" s="194"/>
      <c r="Z104" s="194"/>
      <c r="AA104" s="194"/>
      <c r="AB104" s="194"/>
      <c r="AC104" s="194"/>
      <c r="AD104" s="194"/>
    </row>
    <row r="105" spans="1:30" x14ac:dyDescent="0.3">
      <c r="Q105" s="194"/>
      <c r="R105" s="194"/>
      <c r="S105" s="194"/>
      <c r="T105" s="194"/>
      <c r="U105" s="194"/>
      <c r="V105" s="194"/>
      <c r="W105" s="194"/>
      <c r="X105" s="194"/>
      <c r="Y105" s="194"/>
      <c r="Z105" s="194"/>
      <c r="AA105" s="194"/>
      <c r="AB105" s="194"/>
      <c r="AC105" s="194"/>
      <c r="AD105" s="194"/>
    </row>
    <row r="106" spans="1:30" x14ac:dyDescent="0.3">
      <c r="Q106" s="194"/>
      <c r="R106" s="194"/>
      <c r="S106" s="194"/>
      <c r="T106" s="194"/>
      <c r="U106" s="194"/>
      <c r="V106" s="194"/>
      <c r="W106" s="194"/>
      <c r="X106" s="194"/>
      <c r="Y106" s="194"/>
      <c r="Z106" s="194"/>
      <c r="AA106" s="194"/>
      <c r="AB106" s="194"/>
      <c r="AC106" s="194"/>
      <c r="AD106" s="194"/>
    </row>
    <row r="107" spans="1:30" x14ac:dyDescent="0.3">
      <c r="Q107" s="194"/>
      <c r="R107" s="194"/>
      <c r="S107" s="194"/>
      <c r="T107" s="194"/>
      <c r="U107" s="194"/>
      <c r="V107" s="194"/>
      <c r="W107" s="194"/>
      <c r="X107" s="194"/>
      <c r="Y107" s="194"/>
      <c r="Z107" s="194"/>
      <c r="AA107" s="194"/>
      <c r="AB107" s="194"/>
      <c r="AC107" s="194"/>
      <c r="AD107" s="194"/>
    </row>
    <row r="108" spans="1:30" x14ac:dyDescent="0.3">
      <c r="Q108" s="194"/>
      <c r="R108" s="194"/>
      <c r="S108" s="194"/>
      <c r="T108" s="194"/>
      <c r="U108" s="194"/>
      <c r="V108" s="194"/>
      <c r="W108" s="194"/>
      <c r="X108" s="194"/>
      <c r="Y108" s="194"/>
      <c r="Z108" s="194"/>
      <c r="AA108" s="194"/>
      <c r="AB108" s="194"/>
      <c r="AC108" s="194"/>
      <c r="AD108" s="194"/>
    </row>
    <row r="109" spans="1:30" x14ac:dyDescent="0.3">
      <c r="Q109" s="194"/>
      <c r="R109" s="194"/>
      <c r="S109" s="194"/>
      <c r="T109" s="194"/>
      <c r="U109" s="194"/>
      <c r="V109" s="194"/>
      <c r="W109" s="194"/>
      <c r="X109" s="194"/>
      <c r="Y109" s="194"/>
      <c r="Z109" s="194"/>
      <c r="AA109" s="194"/>
      <c r="AB109" s="194"/>
      <c r="AC109" s="194"/>
      <c r="AD109" s="194"/>
    </row>
    <row r="110" spans="1:30" x14ac:dyDescent="0.3">
      <c r="Q110" s="194"/>
      <c r="R110" s="194"/>
      <c r="S110" s="194"/>
      <c r="T110" s="194"/>
      <c r="U110" s="194"/>
      <c r="V110" s="194"/>
      <c r="W110" s="194"/>
      <c r="X110" s="194"/>
      <c r="Y110" s="194"/>
      <c r="Z110" s="194"/>
      <c r="AA110" s="194"/>
      <c r="AB110" s="194"/>
      <c r="AC110" s="194"/>
      <c r="AD110" s="194"/>
    </row>
    <row r="111" spans="1:30" x14ac:dyDescent="0.3">
      <c r="Q111" s="194"/>
      <c r="R111" s="194"/>
      <c r="S111" s="194"/>
      <c r="T111" s="194"/>
      <c r="U111" s="194"/>
      <c r="V111" s="194"/>
      <c r="W111" s="194"/>
      <c r="X111" s="194"/>
      <c r="Y111" s="194"/>
      <c r="Z111" s="194"/>
      <c r="AA111" s="194"/>
      <c r="AB111" s="194"/>
      <c r="AC111" s="194"/>
      <c r="AD111" s="194"/>
    </row>
    <row r="112" spans="1:30" x14ac:dyDescent="0.3">
      <c r="Q112" s="194"/>
      <c r="R112" s="194"/>
      <c r="S112" s="194"/>
      <c r="T112" s="194"/>
      <c r="U112" s="194"/>
      <c r="V112" s="194"/>
      <c r="W112" s="194"/>
      <c r="X112" s="194"/>
      <c r="Y112" s="194"/>
      <c r="Z112" s="194"/>
      <c r="AA112" s="194"/>
      <c r="AB112" s="194"/>
      <c r="AC112" s="194"/>
      <c r="AD112" s="194"/>
    </row>
    <row r="113" spans="17:30" x14ac:dyDescent="0.3">
      <c r="Q113" s="194"/>
      <c r="R113" s="194"/>
      <c r="S113" s="194"/>
      <c r="T113" s="194"/>
      <c r="U113" s="194"/>
      <c r="V113" s="194"/>
      <c r="W113" s="194"/>
      <c r="X113" s="194"/>
      <c r="Y113" s="194"/>
      <c r="Z113" s="194"/>
      <c r="AA113" s="194"/>
      <c r="AB113" s="194"/>
      <c r="AC113" s="194"/>
      <c r="AD113" s="194"/>
    </row>
    <row r="114" spans="17:30" x14ac:dyDescent="0.3">
      <c r="Q114" s="194"/>
      <c r="R114" s="194"/>
      <c r="S114" s="194"/>
      <c r="T114" s="194"/>
      <c r="U114" s="194"/>
      <c r="V114" s="194"/>
      <c r="W114" s="194"/>
      <c r="X114" s="194"/>
      <c r="Y114" s="194"/>
      <c r="Z114" s="194"/>
      <c r="AA114" s="194"/>
      <c r="AB114" s="194"/>
      <c r="AC114" s="194"/>
      <c r="AD114" s="194"/>
    </row>
    <row r="115" spans="17:30" x14ac:dyDescent="0.3">
      <c r="Q115" s="194"/>
      <c r="R115" s="194"/>
      <c r="S115" s="194"/>
      <c r="T115" s="194"/>
      <c r="U115" s="194"/>
      <c r="V115" s="194"/>
      <c r="W115" s="194"/>
      <c r="X115" s="194"/>
      <c r="Y115" s="194"/>
      <c r="Z115" s="194"/>
      <c r="AA115" s="194"/>
      <c r="AB115" s="194"/>
      <c r="AC115" s="194"/>
      <c r="AD115" s="194"/>
    </row>
    <row r="116" spans="17:30" x14ac:dyDescent="0.3">
      <c r="Q116" s="194"/>
      <c r="R116" s="194"/>
      <c r="S116" s="194"/>
      <c r="T116" s="194"/>
      <c r="U116" s="194"/>
      <c r="V116" s="194"/>
      <c r="W116" s="194"/>
      <c r="X116" s="194"/>
      <c r="Y116" s="194"/>
      <c r="Z116" s="194"/>
      <c r="AA116" s="194"/>
      <c r="AB116" s="194"/>
      <c r="AC116" s="194"/>
      <c r="AD116" s="194"/>
    </row>
    <row r="117" spans="17:30" x14ac:dyDescent="0.3">
      <c r="Q117" s="194"/>
      <c r="R117" s="194"/>
      <c r="S117" s="194"/>
      <c r="T117" s="194"/>
      <c r="U117" s="194"/>
      <c r="V117" s="194"/>
      <c r="W117" s="194"/>
      <c r="X117" s="194"/>
      <c r="Y117" s="194"/>
      <c r="Z117" s="194"/>
      <c r="AA117" s="194"/>
      <c r="AB117" s="194"/>
      <c r="AC117" s="194"/>
      <c r="AD117" s="194"/>
    </row>
    <row r="118" spans="17:30" x14ac:dyDescent="0.3">
      <c r="Q118" s="194"/>
      <c r="R118" s="194"/>
      <c r="S118" s="194"/>
      <c r="T118" s="194"/>
      <c r="U118" s="194"/>
      <c r="V118" s="194"/>
      <c r="W118" s="194"/>
      <c r="X118" s="194"/>
      <c r="Y118" s="194"/>
      <c r="Z118" s="194"/>
      <c r="AA118" s="194"/>
      <c r="AB118" s="194"/>
      <c r="AC118" s="194"/>
      <c r="AD118" s="194"/>
    </row>
    <row r="119" spans="17:30" x14ac:dyDescent="0.3">
      <c r="Q119" s="194"/>
      <c r="R119" s="194"/>
      <c r="S119" s="194"/>
      <c r="T119" s="194"/>
      <c r="U119" s="194"/>
      <c r="V119" s="194"/>
      <c r="W119" s="194"/>
      <c r="X119" s="194"/>
      <c r="Y119" s="194"/>
      <c r="Z119" s="194"/>
      <c r="AA119" s="194"/>
      <c r="AB119" s="194"/>
      <c r="AC119" s="194"/>
      <c r="AD119" s="194"/>
    </row>
    <row r="120" spans="17:30" x14ac:dyDescent="0.3">
      <c r="Q120" s="194"/>
      <c r="R120" s="194"/>
      <c r="S120" s="194"/>
      <c r="T120" s="194"/>
      <c r="U120" s="194"/>
      <c r="V120" s="194"/>
      <c r="W120" s="194"/>
      <c r="X120" s="194"/>
      <c r="Y120" s="194"/>
      <c r="Z120" s="194"/>
      <c r="AA120" s="194"/>
      <c r="AB120" s="194"/>
      <c r="AC120" s="194"/>
      <c r="AD120" s="194"/>
    </row>
    <row r="121" spans="17:30" x14ac:dyDescent="0.3">
      <c r="Q121" s="194"/>
      <c r="R121" s="194"/>
      <c r="S121" s="194"/>
      <c r="T121" s="194"/>
      <c r="U121" s="194"/>
      <c r="V121" s="194"/>
      <c r="W121" s="194"/>
      <c r="X121" s="194"/>
      <c r="Y121" s="194"/>
      <c r="Z121" s="194"/>
      <c r="AA121" s="194"/>
      <c r="AB121" s="194"/>
      <c r="AC121" s="194"/>
      <c r="AD121" s="194"/>
    </row>
    <row r="122" spans="17:30" x14ac:dyDescent="0.3">
      <c r="Q122" s="194"/>
      <c r="R122" s="194"/>
      <c r="S122" s="194"/>
      <c r="T122" s="194"/>
      <c r="U122" s="194"/>
      <c r="V122" s="194"/>
      <c r="W122" s="194"/>
      <c r="X122" s="194"/>
      <c r="Y122" s="194"/>
      <c r="Z122" s="194"/>
      <c r="AA122" s="194"/>
      <c r="AB122" s="194"/>
      <c r="AC122" s="194"/>
      <c r="AD122" s="194"/>
    </row>
    <row r="123" spans="17:30" x14ac:dyDescent="0.3">
      <c r="Q123" s="194"/>
      <c r="R123" s="194"/>
      <c r="S123" s="194"/>
      <c r="T123" s="194"/>
      <c r="U123" s="194"/>
      <c r="V123" s="194"/>
      <c r="W123" s="194"/>
      <c r="X123" s="194"/>
      <c r="Y123" s="194"/>
      <c r="Z123" s="194"/>
      <c r="AA123" s="194"/>
      <c r="AB123" s="194"/>
      <c r="AC123" s="194"/>
      <c r="AD123" s="194"/>
    </row>
    <row r="124" spans="17:30" x14ac:dyDescent="0.3">
      <c r="Q124" s="194"/>
      <c r="R124" s="194"/>
      <c r="S124" s="194"/>
      <c r="T124" s="194"/>
      <c r="U124" s="194"/>
      <c r="V124" s="194"/>
      <c r="W124" s="194"/>
      <c r="X124" s="194"/>
      <c r="Y124" s="194"/>
      <c r="Z124" s="194"/>
      <c r="AA124" s="194"/>
      <c r="AB124" s="194"/>
      <c r="AC124" s="194"/>
      <c r="AD124" s="194"/>
    </row>
    <row r="125" spans="17:30" x14ac:dyDescent="0.3">
      <c r="Q125" s="194"/>
      <c r="R125" s="194"/>
      <c r="S125" s="194"/>
      <c r="T125" s="194"/>
      <c r="U125" s="194"/>
      <c r="V125" s="194"/>
      <c r="W125" s="194"/>
      <c r="X125" s="194"/>
      <c r="Y125" s="194"/>
      <c r="Z125" s="194"/>
      <c r="AA125" s="194"/>
      <c r="AB125" s="194"/>
      <c r="AC125" s="194"/>
      <c r="AD125" s="194"/>
    </row>
    <row r="126" spans="17:30" x14ac:dyDescent="0.3">
      <c r="Q126" s="194"/>
      <c r="R126" s="194"/>
      <c r="S126" s="194"/>
      <c r="T126" s="194"/>
      <c r="U126" s="194"/>
      <c r="V126" s="194"/>
      <c r="W126" s="194"/>
      <c r="X126" s="194"/>
      <c r="Y126" s="194"/>
      <c r="Z126" s="194"/>
      <c r="AA126" s="194"/>
      <c r="AB126" s="194"/>
      <c r="AC126" s="194"/>
      <c r="AD126" s="194"/>
    </row>
    <row r="127" spans="17:30" x14ac:dyDescent="0.3">
      <c r="Q127" s="194"/>
      <c r="R127" s="194"/>
      <c r="S127" s="194"/>
      <c r="T127" s="194"/>
      <c r="U127" s="194"/>
      <c r="V127" s="194"/>
      <c r="W127" s="194"/>
      <c r="X127" s="194"/>
      <c r="Y127" s="194"/>
      <c r="Z127" s="194"/>
      <c r="AA127" s="194"/>
      <c r="AB127" s="194"/>
      <c r="AC127" s="194"/>
      <c r="AD127" s="194"/>
    </row>
    <row r="128" spans="17:30" x14ac:dyDescent="0.3">
      <c r="Q128" s="194"/>
      <c r="R128" s="194"/>
      <c r="S128" s="194"/>
      <c r="T128" s="194"/>
      <c r="U128" s="194"/>
      <c r="V128" s="194"/>
      <c r="W128" s="194"/>
      <c r="X128" s="194"/>
      <c r="Y128" s="194"/>
      <c r="Z128" s="194"/>
      <c r="AA128" s="194"/>
      <c r="AB128" s="194"/>
      <c r="AC128" s="194"/>
      <c r="AD128" s="194"/>
    </row>
    <row r="129" spans="17:30" x14ac:dyDescent="0.3">
      <c r="Q129" s="194"/>
      <c r="R129" s="194"/>
      <c r="S129" s="194"/>
      <c r="T129" s="194"/>
      <c r="U129" s="194"/>
      <c r="V129" s="194"/>
      <c r="W129" s="194"/>
      <c r="X129" s="194"/>
      <c r="Y129" s="194"/>
      <c r="Z129" s="194"/>
      <c r="AA129" s="194"/>
      <c r="AB129" s="194"/>
      <c r="AC129" s="194"/>
      <c r="AD129" s="194"/>
    </row>
    <row r="130" spans="17:30" x14ac:dyDescent="0.3">
      <c r="Q130" s="194"/>
      <c r="R130" s="194"/>
      <c r="S130" s="194"/>
      <c r="T130" s="194"/>
      <c r="U130" s="194"/>
      <c r="V130" s="194"/>
      <c r="W130" s="194"/>
      <c r="X130" s="194"/>
      <c r="Y130" s="194"/>
      <c r="Z130" s="194"/>
      <c r="AA130" s="194"/>
      <c r="AB130" s="194"/>
      <c r="AC130" s="194"/>
      <c r="AD130" s="194"/>
    </row>
    <row r="131" spans="17:30" x14ac:dyDescent="0.3">
      <c r="Q131" s="194"/>
      <c r="R131" s="194"/>
      <c r="S131" s="194"/>
      <c r="T131" s="194"/>
      <c r="U131" s="194"/>
      <c r="V131" s="194"/>
      <c r="W131" s="194"/>
      <c r="X131" s="194"/>
      <c r="Y131" s="194"/>
      <c r="Z131" s="194"/>
      <c r="AA131" s="194"/>
      <c r="AB131" s="194"/>
      <c r="AC131" s="194"/>
      <c r="AD131" s="194"/>
    </row>
    <row r="132" spans="17:30" x14ac:dyDescent="0.3">
      <c r="Q132" s="194"/>
      <c r="R132" s="194"/>
      <c r="S132" s="194"/>
      <c r="T132" s="194"/>
      <c r="U132" s="194"/>
      <c r="V132" s="194"/>
      <c r="W132" s="194"/>
      <c r="X132" s="194"/>
      <c r="Y132" s="194"/>
      <c r="Z132" s="194"/>
      <c r="AA132" s="194"/>
      <c r="AB132" s="194"/>
      <c r="AC132" s="194"/>
      <c r="AD132" s="194"/>
    </row>
    <row r="133" spans="17:30" x14ac:dyDescent="0.3">
      <c r="Q133" s="194"/>
      <c r="R133" s="194"/>
      <c r="S133" s="194"/>
      <c r="T133" s="194"/>
      <c r="U133" s="194"/>
      <c r="V133" s="194"/>
      <c r="W133" s="194"/>
      <c r="X133" s="194"/>
      <c r="Y133" s="194"/>
      <c r="Z133" s="194"/>
      <c r="AA133" s="194"/>
      <c r="AB133" s="194"/>
      <c r="AC133" s="194"/>
      <c r="AD133" s="194"/>
    </row>
    <row r="134" spans="17:30" x14ac:dyDescent="0.3">
      <c r="Q134" s="194"/>
      <c r="R134" s="194"/>
      <c r="S134" s="194"/>
      <c r="T134" s="194"/>
      <c r="U134" s="194"/>
      <c r="V134" s="194"/>
      <c r="W134" s="194"/>
      <c r="X134" s="194"/>
      <c r="Y134" s="194"/>
      <c r="Z134" s="194"/>
      <c r="AA134" s="194"/>
      <c r="AB134" s="194"/>
      <c r="AC134" s="194"/>
      <c r="AD134" s="194"/>
    </row>
    <row r="135" spans="17:30" x14ac:dyDescent="0.3">
      <c r="Q135" s="194"/>
      <c r="R135" s="194"/>
      <c r="S135" s="194"/>
      <c r="T135" s="194"/>
      <c r="U135" s="194"/>
      <c r="V135" s="194"/>
      <c r="W135" s="194"/>
      <c r="X135" s="194"/>
      <c r="Y135" s="194"/>
      <c r="Z135" s="194"/>
      <c r="AA135" s="194"/>
      <c r="AB135" s="194"/>
      <c r="AC135" s="194"/>
      <c r="AD135" s="194"/>
    </row>
    <row r="136" spans="17:30" x14ac:dyDescent="0.3">
      <c r="Q136" s="194"/>
      <c r="R136" s="194"/>
      <c r="S136" s="194"/>
      <c r="T136" s="194"/>
      <c r="U136" s="194"/>
      <c r="V136" s="194"/>
      <c r="W136" s="194"/>
      <c r="X136" s="194"/>
      <c r="Y136" s="194"/>
      <c r="Z136" s="194"/>
      <c r="AA136" s="194"/>
      <c r="AB136" s="194"/>
      <c r="AC136" s="194"/>
      <c r="AD136" s="194"/>
    </row>
    <row r="137" spans="17:30" x14ac:dyDescent="0.3">
      <c r="Q137" s="194"/>
      <c r="R137" s="194"/>
      <c r="S137" s="194"/>
      <c r="T137" s="194"/>
      <c r="U137" s="194"/>
      <c r="V137" s="194"/>
      <c r="W137" s="194"/>
      <c r="X137" s="194"/>
      <c r="Y137" s="194"/>
      <c r="Z137" s="194"/>
      <c r="AA137" s="194"/>
      <c r="AB137" s="194"/>
      <c r="AC137" s="194"/>
      <c r="AD137" s="194"/>
    </row>
    <row r="138" spans="17:30" x14ac:dyDescent="0.3">
      <c r="Q138" s="194"/>
      <c r="R138" s="194"/>
      <c r="S138" s="194"/>
      <c r="T138" s="194"/>
      <c r="U138" s="194"/>
      <c r="V138" s="194"/>
      <c r="W138" s="194"/>
      <c r="X138" s="194"/>
      <c r="Y138" s="194"/>
      <c r="Z138" s="194"/>
      <c r="AA138" s="194"/>
      <c r="AB138" s="194"/>
      <c r="AC138" s="194"/>
      <c r="AD138" s="194"/>
    </row>
    <row r="139" spans="17:30" x14ac:dyDescent="0.3">
      <c r="Q139" s="194"/>
      <c r="R139" s="194"/>
      <c r="S139" s="194"/>
      <c r="T139" s="194"/>
      <c r="U139" s="194"/>
      <c r="V139" s="194"/>
      <c r="W139" s="194"/>
      <c r="X139" s="194"/>
      <c r="Y139" s="194"/>
      <c r="Z139" s="194"/>
      <c r="AA139" s="194"/>
      <c r="AB139" s="194"/>
      <c r="AC139" s="194"/>
      <c r="AD139" s="194"/>
    </row>
    <row r="140" spans="17:30" x14ac:dyDescent="0.3">
      <c r="Q140" s="194"/>
      <c r="R140" s="194"/>
      <c r="S140" s="194"/>
      <c r="T140" s="194"/>
      <c r="U140" s="194"/>
      <c r="V140" s="194"/>
      <c r="W140" s="194"/>
      <c r="X140" s="194"/>
      <c r="Y140" s="194"/>
      <c r="Z140" s="194"/>
      <c r="AA140" s="194"/>
      <c r="AB140" s="194"/>
      <c r="AC140" s="194"/>
      <c r="AD140" s="194"/>
    </row>
    <row r="141" spans="17:30" x14ac:dyDescent="0.3">
      <c r="Q141" s="194"/>
      <c r="R141" s="194"/>
      <c r="S141" s="194"/>
      <c r="T141" s="194"/>
      <c r="U141" s="194"/>
      <c r="V141" s="194"/>
      <c r="W141" s="194"/>
      <c r="X141" s="194"/>
      <c r="Y141" s="194"/>
      <c r="Z141" s="194"/>
      <c r="AA141" s="194"/>
      <c r="AB141" s="194"/>
      <c r="AC141" s="194"/>
      <c r="AD141" s="194"/>
    </row>
    <row r="142" spans="17:30" x14ac:dyDescent="0.3">
      <c r="Q142" s="194"/>
      <c r="R142" s="194"/>
      <c r="S142" s="194"/>
      <c r="T142" s="194"/>
      <c r="U142" s="194"/>
      <c r="V142" s="194"/>
      <c r="W142" s="194"/>
      <c r="X142" s="194"/>
      <c r="Y142" s="194"/>
      <c r="Z142" s="194"/>
      <c r="AA142" s="194"/>
      <c r="AB142" s="194"/>
      <c r="AC142" s="194"/>
      <c r="AD142" s="194"/>
    </row>
    <row r="143" spans="17:30" x14ac:dyDescent="0.3">
      <c r="Q143" s="194"/>
      <c r="R143" s="194"/>
      <c r="S143" s="194"/>
      <c r="T143" s="194"/>
      <c r="U143" s="194"/>
      <c r="V143" s="194"/>
      <c r="W143" s="194"/>
      <c r="X143" s="194"/>
      <c r="Y143" s="194"/>
      <c r="Z143" s="194"/>
      <c r="AA143" s="194"/>
      <c r="AB143" s="194"/>
      <c r="AC143" s="194"/>
      <c r="AD143" s="194"/>
    </row>
    <row r="144" spans="17:30" x14ac:dyDescent="0.3">
      <c r="Q144" s="194"/>
      <c r="R144" s="194"/>
      <c r="S144" s="194"/>
      <c r="T144" s="194"/>
      <c r="U144" s="194"/>
      <c r="V144" s="194"/>
      <c r="W144" s="194"/>
      <c r="X144" s="194"/>
      <c r="Y144" s="194"/>
      <c r="Z144" s="194"/>
      <c r="AA144" s="194"/>
      <c r="AB144" s="194"/>
      <c r="AC144" s="194"/>
      <c r="AD144" s="194"/>
    </row>
    <row r="145" spans="17:30" x14ac:dyDescent="0.3">
      <c r="Q145" s="194"/>
      <c r="R145" s="194"/>
      <c r="S145" s="194"/>
      <c r="T145" s="194"/>
      <c r="U145" s="194"/>
      <c r="V145" s="194"/>
      <c r="W145" s="194"/>
      <c r="X145" s="194"/>
      <c r="Y145" s="194"/>
      <c r="Z145" s="194"/>
      <c r="AA145" s="194"/>
      <c r="AB145" s="194"/>
      <c r="AC145" s="194"/>
      <c r="AD145" s="194"/>
    </row>
    <row r="146" spans="17:30" x14ac:dyDescent="0.3">
      <c r="Q146" s="194"/>
      <c r="R146" s="194"/>
      <c r="S146" s="194"/>
      <c r="T146" s="194"/>
      <c r="U146" s="194"/>
      <c r="V146" s="194"/>
      <c r="W146" s="194"/>
      <c r="X146" s="194"/>
      <c r="Y146" s="194"/>
      <c r="Z146" s="194"/>
      <c r="AA146" s="194"/>
      <c r="AB146" s="194"/>
      <c r="AC146" s="194"/>
      <c r="AD146" s="194"/>
    </row>
    <row r="147" spans="17:30" x14ac:dyDescent="0.3">
      <c r="Q147" s="194"/>
      <c r="R147" s="194"/>
      <c r="S147" s="194"/>
      <c r="T147" s="194"/>
      <c r="U147" s="194"/>
      <c r="V147" s="194"/>
      <c r="W147" s="194"/>
      <c r="X147" s="194"/>
      <c r="Y147" s="194"/>
      <c r="Z147" s="194"/>
      <c r="AA147" s="194"/>
      <c r="AB147" s="194"/>
      <c r="AC147" s="194"/>
      <c r="AD147" s="194"/>
    </row>
    <row r="148" spans="17:30" x14ac:dyDescent="0.3">
      <c r="Q148" s="194"/>
      <c r="R148" s="194"/>
      <c r="S148" s="194"/>
      <c r="T148" s="194"/>
      <c r="U148" s="194"/>
      <c r="V148" s="194"/>
      <c r="W148" s="194"/>
      <c r="X148" s="194"/>
      <c r="Y148" s="194"/>
      <c r="Z148" s="194"/>
      <c r="AA148" s="194"/>
      <c r="AB148" s="194"/>
      <c r="AC148" s="194"/>
      <c r="AD148" s="194"/>
    </row>
    <row r="149" spans="17:30" x14ac:dyDescent="0.3">
      <c r="Q149" s="194"/>
      <c r="R149" s="194"/>
      <c r="S149" s="194"/>
      <c r="T149" s="194"/>
      <c r="U149" s="194"/>
      <c r="V149" s="194"/>
      <c r="W149" s="194"/>
      <c r="X149" s="194"/>
      <c r="Y149" s="194"/>
      <c r="Z149" s="194"/>
      <c r="AA149" s="194"/>
      <c r="AB149" s="194"/>
      <c r="AC149" s="194"/>
      <c r="AD149" s="194"/>
    </row>
    <row r="150" spans="17:30" x14ac:dyDescent="0.3">
      <c r="Q150" s="194"/>
      <c r="R150" s="194"/>
      <c r="S150" s="194"/>
      <c r="T150" s="194"/>
      <c r="U150" s="194"/>
      <c r="V150" s="194"/>
      <c r="W150" s="194"/>
      <c r="X150" s="194"/>
      <c r="Y150" s="194"/>
      <c r="Z150" s="194"/>
      <c r="AA150" s="194"/>
      <c r="AB150" s="194"/>
      <c r="AC150" s="194"/>
      <c r="AD150" s="194"/>
    </row>
    <row r="151" spans="17:30" x14ac:dyDescent="0.3">
      <c r="Q151" s="194"/>
      <c r="R151" s="194"/>
      <c r="S151" s="194"/>
      <c r="T151" s="194"/>
      <c r="U151" s="194"/>
      <c r="V151" s="194"/>
      <c r="W151" s="194"/>
      <c r="X151" s="194"/>
      <c r="Y151" s="194"/>
      <c r="Z151" s="194"/>
      <c r="AA151" s="194"/>
      <c r="AB151" s="194"/>
      <c r="AC151" s="194"/>
      <c r="AD151" s="194"/>
    </row>
    <row r="152" spans="17:30" x14ac:dyDescent="0.3">
      <c r="Q152" s="194"/>
      <c r="R152" s="194"/>
      <c r="S152" s="194"/>
      <c r="T152" s="194"/>
      <c r="U152" s="194"/>
      <c r="V152" s="194"/>
      <c r="W152" s="194"/>
      <c r="X152" s="194"/>
      <c r="Y152" s="194"/>
      <c r="Z152" s="194"/>
      <c r="AA152" s="194"/>
      <c r="AB152" s="194"/>
      <c r="AC152" s="194"/>
      <c r="AD152" s="194"/>
    </row>
    <row r="153" spans="17:30" x14ac:dyDescent="0.3">
      <c r="Q153" s="194"/>
      <c r="R153" s="194"/>
      <c r="S153" s="194"/>
      <c r="T153" s="194"/>
      <c r="U153" s="194"/>
      <c r="V153" s="194"/>
      <c r="W153" s="194"/>
      <c r="X153" s="194"/>
      <c r="Y153" s="194"/>
      <c r="Z153" s="194"/>
      <c r="AA153" s="194"/>
      <c r="AB153" s="194"/>
      <c r="AC153" s="194"/>
      <c r="AD153" s="194"/>
    </row>
    <row r="154" spans="17:30" x14ac:dyDescent="0.3">
      <c r="Q154" s="194"/>
      <c r="R154" s="194"/>
      <c r="S154" s="194"/>
      <c r="T154" s="194"/>
      <c r="U154" s="194"/>
      <c r="V154" s="194"/>
      <c r="W154" s="194"/>
      <c r="X154" s="194"/>
      <c r="Y154" s="194"/>
      <c r="Z154" s="194"/>
      <c r="AA154" s="194"/>
      <c r="AB154" s="194"/>
      <c r="AC154" s="194"/>
      <c r="AD154" s="194"/>
    </row>
    <row r="155" spans="17:30" x14ac:dyDescent="0.3">
      <c r="Q155" s="194"/>
      <c r="R155" s="194"/>
      <c r="S155" s="194"/>
      <c r="T155" s="194"/>
      <c r="U155" s="194"/>
      <c r="V155" s="194"/>
      <c r="W155" s="194"/>
      <c r="X155" s="194"/>
      <c r="Y155" s="194"/>
      <c r="Z155" s="194"/>
      <c r="AA155" s="194"/>
      <c r="AB155" s="194"/>
      <c r="AC155" s="194"/>
      <c r="AD155" s="194"/>
    </row>
    <row r="156" spans="17:30" x14ac:dyDescent="0.3">
      <c r="Q156" s="194"/>
      <c r="R156" s="194"/>
      <c r="S156" s="194"/>
      <c r="T156" s="194"/>
      <c r="U156" s="194"/>
      <c r="V156" s="194"/>
      <c r="W156" s="194"/>
      <c r="X156" s="194"/>
      <c r="Y156" s="194"/>
      <c r="Z156" s="194"/>
      <c r="AA156" s="194"/>
      <c r="AB156" s="194"/>
      <c r="AC156" s="194"/>
      <c r="AD156" s="194"/>
    </row>
    <row r="157" spans="17:30" x14ac:dyDescent="0.3">
      <c r="Q157" s="194"/>
      <c r="R157" s="194"/>
      <c r="S157" s="194"/>
      <c r="T157" s="194"/>
      <c r="U157" s="194"/>
      <c r="V157" s="194"/>
      <c r="W157" s="194"/>
      <c r="X157" s="194"/>
      <c r="Y157" s="194"/>
      <c r="Z157" s="194"/>
      <c r="AA157" s="194"/>
      <c r="AB157" s="194"/>
      <c r="AC157" s="194"/>
      <c r="AD157" s="194"/>
    </row>
    <row r="158" spans="17:30" x14ac:dyDescent="0.3">
      <c r="Q158" s="194"/>
      <c r="R158" s="194"/>
      <c r="S158" s="194"/>
      <c r="T158" s="194"/>
      <c r="U158" s="194"/>
      <c r="V158" s="194"/>
      <c r="W158" s="194"/>
      <c r="X158" s="194"/>
      <c r="Y158" s="194"/>
      <c r="Z158" s="194"/>
      <c r="AA158" s="194"/>
      <c r="AB158" s="194"/>
      <c r="AC158" s="194"/>
      <c r="AD158" s="194"/>
    </row>
    <row r="159" spans="17:30" x14ac:dyDescent="0.3">
      <c r="Q159" s="194"/>
      <c r="R159" s="194"/>
      <c r="S159" s="194"/>
      <c r="T159" s="194"/>
      <c r="U159" s="194"/>
      <c r="V159" s="194"/>
      <c r="W159" s="194"/>
      <c r="X159" s="194"/>
      <c r="Y159" s="194"/>
      <c r="Z159" s="194"/>
      <c r="AA159" s="194"/>
      <c r="AB159" s="194"/>
      <c r="AC159" s="194"/>
      <c r="AD159" s="194"/>
    </row>
    <row r="160" spans="17:30" x14ac:dyDescent="0.3">
      <c r="Q160" s="194"/>
      <c r="R160" s="194"/>
      <c r="S160" s="194"/>
      <c r="T160" s="194"/>
      <c r="U160" s="194"/>
      <c r="V160" s="194"/>
      <c r="W160" s="194"/>
      <c r="X160" s="194"/>
      <c r="Y160" s="194"/>
      <c r="Z160" s="194"/>
      <c r="AA160" s="194"/>
      <c r="AB160" s="194"/>
      <c r="AC160" s="194"/>
      <c r="AD160" s="194"/>
    </row>
    <row r="161" spans="17:30" x14ac:dyDescent="0.3">
      <c r="Q161" s="194"/>
      <c r="R161" s="194"/>
      <c r="S161" s="194"/>
      <c r="T161" s="194"/>
      <c r="U161" s="194"/>
      <c r="V161" s="194"/>
      <c r="W161" s="194"/>
      <c r="X161" s="194"/>
      <c r="Y161" s="194"/>
      <c r="Z161" s="194"/>
      <c r="AA161" s="194"/>
      <c r="AB161" s="194"/>
      <c r="AC161" s="194"/>
      <c r="AD161" s="194"/>
    </row>
    <row r="162" spans="17:30" x14ac:dyDescent="0.3">
      <c r="Q162" s="194"/>
      <c r="R162" s="194"/>
      <c r="S162" s="194"/>
      <c r="T162" s="194"/>
      <c r="U162" s="194"/>
      <c r="V162" s="194"/>
      <c r="W162" s="194"/>
      <c r="X162" s="194"/>
      <c r="Y162" s="194"/>
      <c r="Z162" s="194"/>
      <c r="AA162" s="194"/>
      <c r="AB162" s="194"/>
      <c r="AC162" s="194"/>
      <c r="AD162" s="194"/>
    </row>
    <row r="163" spans="17:30" x14ac:dyDescent="0.3">
      <c r="Q163" s="194"/>
      <c r="R163" s="194"/>
      <c r="S163" s="194"/>
      <c r="T163" s="194"/>
      <c r="U163" s="194"/>
      <c r="V163" s="194"/>
      <c r="W163" s="194"/>
      <c r="X163" s="194"/>
      <c r="Y163" s="194"/>
      <c r="Z163" s="194"/>
      <c r="AA163" s="194"/>
      <c r="AB163" s="194"/>
      <c r="AC163" s="194"/>
      <c r="AD163" s="194"/>
    </row>
    <row r="164" spans="17:30" x14ac:dyDescent="0.3">
      <c r="Q164" s="194"/>
      <c r="R164" s="194"/>
      <c r="S164" s="194"/>
      <c r="T164" s="194"/>
      <c r="U164" s="194"/>
      <c r="V164" s="194"/>
      <c r="W164" s="194"/>
      <c r="X164" s="194"/>
      <c r="Y164" s="194"/>
      <c r="Z164" s="194"/>
      <c r="AA164" s="194"/>
      <c r="AB164" s="194"/>
      <c r="AC164" s="194"/>
      <c r="AD164" s="194"/>
    </row>
    <row r="165" spans="17:30" x14ac:dyDescent="0.3">
      <c r="Q165" s="194"/>
      <c r="R165" s="194"/>
      <c r="S165" s="194"/>
      <c r="T165" s="194"/>
      <c r="U165" s="194"/>
      <c r="V165" s="194"/>
      <c r="W165" s="194"/>
      <c r="X165" s="194"/>
      <c r="Y165" s="194"/>
      <c r="Z165" s="194"/>
      <c r="AA165" s="194"/>
      <c r="AB165" s="194"/>
      <c r="AC165" s="194"/>
      <c r="AD165" s="194"/>
    </row>
    <row r="166" spans="17:30" x14ac:dyDescent="0.3">
      <c r="Q166" s="194"/>
      <c r="R166" s="194"/>
      <c r="S166" s="194"/>
      <c r="T166" s="194"/>
      <c r="U166" s="194"/>
      <c r="V166" s="194"/>
      <c r="W166" s="194"/>
      <c r="X166" s="194"/>
      <c r="Y166" s="194"/>
      <c r="Z166" s="194"/>
      <c r="AA166" s="194"/>
      <c r="AB166" s="194"/>
      <c r="AC166" s="194"/>
      <c r="AD166" s="194"/>
    </row>
    <row r="167" spans="17:30" x14ac:dyDescent="0.3">
      <c r="Q167" s="194"/>
      <c r="R167" s="194"/>
      <c r="S167" s="194"/>
      <c r="T167" s="194"/>
      <c r="U167" s="194"/>
      <c r="V167" s="194"/>
      <c r="W167" s="194"/>
      <c r="X167" s="194"/>
      <c r="Y167" s="194"/>
      <c r="Z167" s="194"/>
      <c r="AA167" s="194"/>
      <c r="AB167" s="194"/>
      <c r="AC167" s="194"/>
      <c r="AD167" s="194"/>
    </row>
    <row r="168" spans="17:30" x14ac:dyDescent="0.3">
      <c r="Q168" s="194"/>
      <c r="R168" s="194"/>
      <c r="S168" s="194"/>
      <c r="T168" s="194"/>
      <c r="U168" s="194"/>
      <c r="V168" s="194"/>
      <c r="W168" s="194"/>
      <c r="X168" s="194"/>
      <c r="Y168" s="194"/>
      <c r="Z168" s="194"/>
      <c r="AA168" s="194"/>
      <c r="AB168" s="194"/>
      <c r="AC168" s="194"/>
      <c r="AD168" s="194"/>
    </row>
    <row r="169" spans="17:30" x14ac:dyDescent="0.3">
      <c r="Q169" s="194"/>
      <c r="R169" s="194"/>
      <c r="S169" s="194"/>
      <c r="T169" s="194"/>
      <c r="U169" s="194"/>
      <c r="V169" s="194"/>
      <c r="W169" s="194"/>
      <c r="X169" s="194"/>
      <c r="Y169" s="194"/>
      <c r="Z169" s="194"/>
      <c r="AA169" s="194"/>
      <c r="AB169" s="194"/>
      <c r="AC169" s="194"/>
      <c r="AD169" s="194"/>
    </row>
    <row r="170" spans="17:30" x14ac:dyDescent="0.3">
      <c r="Q170" s="194"/>
      <c r="R170" s="194"/>
      <c r="S170" s="194"/>
      <c r="T170" s="194"/>
      <c r="U170" s="194"/>
      <c r="V170" s="194"/>
      <c r="W170" s="194"/>
      <c r="X170" s="194"/>
      <c r="Y170" s="194"/>
      <c r="Z170" s="194"/>
      <c r="AA170" s="194"/>
      <c r="AB170" s="194"/>
      <c r="AC170" s="194"/>
      <c r="AD170" s="194"/>
    </row>
    <row r="171" spans="17:30" x14ac:dyDescent="0.3">
      <c r="Q171" s="194"/>
      <c r="R171" s="194"/>
      <c r="S171" s="194"/>
      <c r="T171" s="194"/>
      <c r="U171" s="194"/>
      <c r="V171" s="194"/>
      <c r="W171" s="194"/>
      <c r="X171" s="194"/>
      <c r="Y171" s="194"/>
      <c r="Z171" s="194"/>
      <c r="AA171" s="194"/>
      <c r="AB171" s="194"/>
      <c r="AC171" s="194"/>
      <c r="AD171" s="194"/>
    </row>
    <row r="172" spans="17:30" x14ac:dyDescent="0.3">
      <c r="Q172" s="194"/>
      <c r="R172" s="194"/>
      <c r="S172" s="194"/>
      <c r="T172" s="194"/>
      <c r="U172" s="194"/>
      <c r="V172" s="194"/>
      <c r="W172" s="194"/>
      <c r="X172" s="194"/>
      <c r="Y172" s="194"/>
      <c r="Z172" s="194"/>
      <c r="AA172" s="194"/>
      <c r="AB172" s="194"/>
      <c r="AC172" s="194"/>
      <c r="AD172" s="194"/>
    </row>
    <row r="173" spans="17:30" x14ac:dyDescent="0.3">
      <c r="Q173" s="194"/>
      <c r="R173" s="194"/>
      <c r="S173" s="194"/>
      <c r="T173" s="194"/>
      <c r="U173" s="194"/>
      <c r="V173" s="194"/>
      <c r="W173" s="194"/>
      <c r="X173" s="194"/>
      <c r="Y173" s="194"/>
      <c r="Z173" s="194"/>
      <c r="AA173" s="194"/>
      <c r="AB173" s="194"/>
      <c r="AC173" s="194"/>
      <c r="AD173" s="194"/>
    </row>
    <row r="174" spans="17:30" x14ac:dyDescent="0.3">
      <c r="Q174" s="194"/>
      <c r="R174" s="194"/>
      <c r="S174" s="194"/>
      <c r="T174" s="194"/>
      <c r="U174" s="194"/>
      <c r="V174" s="194"/>
      <c r="W174" s="194"/>
      <c r="X174" s="194"/>
      <c r="Y174" s="194"/>
      <c r="Z174" s="194"/>
      <c r="AA174" s="194"/>
      <c r="AB174" s="194"/>
      <c r="AC174" s="194"/>
      <c r="AD174" s="194"/>
    </row>
    <row r="175" spans="17:30" x14ac:dyDescent="0.3">
      <c r="Q175" s="194"/>
      <c r="R175" s="194"/>
      <c r="S175" s="194"/>
      <c r="T175" s="194"/>
      <c r="U175" s="194"/>
      <c r="V175" s="194"/>
      <c r="W175" s="194"/>
      <c r="X175" s="194"/>
      <c r="Y175" s="194"/>
      <c r="Z175" s="194"/>
      <c r="AA175" s="194"/>
      <c r="AB175" s="194"/>
      <c r="AC175" s="194"/>
      <c r="AD175" s="194"/>
    </row>
    <row r="176" spans="17:30" x14ac:dyDescent="0.3">
      <c r="Q176" s="194"/>
      <c r="R176" s="194"/>
      <c r="S176" s="194"/>
      <c r="T176" s="194"/>
      <c r="U176" s="194"/>
      <c r="V176" s="194"/>
      <c r="W176" s="194"/>
      <c r="X176" s="194"/>
      <c r="Y176" s="194"/>
      <c r="Z176" s="194"/>
      <c r="AA176" s="194"/>
      <c r="AB176" s="194"/>
      <c r="AC176" s="194"/>
      <c r="AD176" s="194"/>
    </row>
    <row r="177" spans="17:30" x14ac:dyDescent="0.3">
      <c r="Q177" s="194"/>
      <c r="R177" s="194"/>
      <c r="S177" s="194"/>
      <c r="T177" s="194"/>
      <c r="U177" s="194"/>
      <c r="V177" s="194"/>
      <c r="W177" s="194"/>
      <c r="X177" s="194"/>
      <c r="Y177" s="194"/>
      <c r="Z177" s="194"/>
      <c r="AA177" s="194"/>
      <c r="AB177" s="194"/>
      <c r="AC177" s="194"/>
      <c r="AD177" s="194"/>
    </row>
    <row r="178" spans="17:30" x14ac:dyDescent="0.3">
      <c r="Q178" s="194"/>
      <c r="R178" s="194"/>
      <c r="S178" s="194"/>
      <c r="T178" s="194"/>
      <c r="U178" s="194"/>
      <c r="V178" s="194"/>
      <c r="W178" s="194"/>
      <c r="X178" s="194"/>
      <c r="Y178" s="194"/>
      <c r="Z178" s="194"/>
      <c r="AA178" s="194"/>
      <c r="AB178" s="194"/>
      <c r="AC178" s="194"/>
      <c r="AD178" s="194"/>
    </row>
    <row r="179" spans="17:30" x14ac:dyDescent="0.3">
      <c r="Q179" s="194"/>
      <c r="R179" s="194"/>
      <c r="S179" s="194"/>
      <c r="T179" s="194"/>
      <c r="U179" s="194"/>
      <c r="V179" s="194"/>
      <c r="W179" s="194"/>
      <c r="X179" s="194"/>
      <c r="Y179" s="194"/>
      <c r="Z179" s="194"/>
      <c r="AA179" s="194"/>
      <c r="AB179" s="194"/>
      <c r="AC179" s="194"/>
      <c r="AD179" s="194"/>
    </row>
    <row r="180" spans="17:30" x14ac:dyDescent="0.3">
      <c r="Q180" s="194"/>
      <c r="R180" s="194"/>
      <c r="S180" s="194"/>
      <c r="T180" s="194"/>
      <c r="U180" s="194"/>
      <c r="V180" s="194"/>
      <c r="W180" s="194"/>
      <c r="X180" s="194"/>
      <c r="Y180" s="194"/>
      <c r="Z180" s="194"/>
      <c r="AA180" s="194"/>
      <c r="AB180" s="194"/>
      <c r="AC180" s="194"/>
      <c r="AD180" s="194"/>
    </row>
    <row r="181" spans="17:30" x14ac:dyDescent="0.3">
      <c r="Q181" s="194"/>
      <c r="R181" s="194"/>
      <c r="S181" s="194"/>
      <c r="T181" s="194"/>
      <c r="U181" s="194"/>
      <c r="V181" s="194"/>
      <c r="W181" s="194"/>
      <c r="X181" s="194"/>
      <c r="Y181" s="194"/>
      <c r="Z181" s="194"/>
      <c r="AA181" s="194"/>
      <c r="AB181" s="194"/>
      <c r="AC181" s="194"/>
      <c r="AD181" s="194"/>
    </row>
    <row r="182" spans="17:30" x14ac:dyDescent="0.3">
      <c r="Q182" s="194"/>
      <c r="R182" s="194"/>
      <c r="S182" s="194"/>
      <c r="T182" s="194"/>
      <c r="U182" s="194"/>
      <c r="V182" s="194"/>
      <c r="W182" s="194"/>
      <c r="X182" s="194"/>
      <c r="Y182" s="194"/>
      <c r="Z182" s="194"/>
      <c r="AA182" s="194"/>
      <c r="AB182" s="194"/>
      <c r="AC182" s="194"/>
      <c r="AD182" s="194"/>
    </row>
    <row r="183" spans="17:30" x14ac:dyDescent="0.3">
      <c r="Q183" s="194"/>
      <c r="R183" s="194"/>
      <c r="S183" s="194"/>
      <c r="T183" s="194"/>
      <c r="U183" s="194"/>
      <c r="V183" s="194"/>
      <c r="W183" s="194"/>
      <c r="X183" s="194"/>
      <c r="Y183" s="194"/>
      <c r="Z183" s="194"/>
      <c r="AA183" s="194"/>
      <c r="AB183" s="194"/>
      <c r="AC183" s="194"/>
      <c r="AD183" s="194"/>
    </row>
    <row r="184" spans="17:30" x14ac:dyDescent="0.3">
      <c r="Q184" s="194"/>
      <c r="R184" s="194"/>
      <c r="S184" s="194"/>
      <c r="T184" s="194"/>
      <c r="U184" s="194"/>
      <c r="V184" s="194"/>
      <c r="W184" s="194"/>
      <c r="X184" s="194"/>
      <c r="Y184" s="194"/>
      <c r="Z184" s="194"/>
      <c r="AA184" s="194"/>
      <c r="AB184" s="194"/>
      <c r="AC184" s="194"/>
      <c r="AD184" s="194"/>
    </row>
    <row r="185" spans="17:30" x14ac:dyDescent="0.3">
      <c r="Q185" s="194"/>
      <c r="R185" s="194"/>
      <c r="S185" s="194"/>
      <c r="T185" s="194"/>
      <c r="U185" s="194"/>
      <c r="V185" s="194"/>
      <c r="W185" s="194"/>
      <c r="X185" s="194"/>
      <c r="Y185" s="194"/>
      <c r="Z185" s="194"/>
      <c r="AA185" s="194"/>
      <c r="AB185" s="194"/>
      <c r="AC185" s="194"/>
      <c r="AD185" s="194"/>
    </row>
    <row r="186" spans="17:30" x14ac:dyDescent="0.3">
      <c r="Q186" s="194"/>
      <c r="R186" s="194"/>
      <c r="S186" s="194"/>
      <c r="T186" s="194"/>
      <c r="U186" s="194"/>
      <c r="V186" s="194"/>
      <c r="W186" s="194"/>
      <c r="X186" s="194"/>
      <c r="Y186" s="194"/>
      <c r="Z186" s="194"/>
      <c r="AA186" s="194"/>
      <c r="AB186" s="194"/>
      <c r="AC186" s="194"/>
      <c r="AD186" s="194"/>
    </row>
    <row r="187" spans="17:30" x14ac:dyDescent="0.3">
      <c r="Q187" s="194"/>
      <c r="R187" s="194"/>
      <c r="S187" s="194"/>
      <c r="T187" s="194"/>
      <c r="U187" s="194"/>
      <c r="V187" s="194"/>
      <c r="W187" s="194"/>
      <c r="X187" s="194"/>
      <c r="Y187" s="194"/>
      <c r="Z187" s="194"/>
      <c r="AA187" s="194"/>
      <c r="AB187" s="194"/>
      <c r="AC187" s="194"/>
      <c r="AD187" s="194"/>
    </row>
    <row r="188" spans="17:30" x14ac:dyDescent="0.3">
      <c r="Q188" s="194"/>
      <c r="R188" s="194"/>
      <c r="S188" s="194"/>
      <c r="T188" s="194"/>
      <c r="U188" s="194"/>
      <c r="V188" s="194"/>
      <c r="W188" s="194"/>
      <c r="X188" s="194"/>
      <c r="Y188" s="194"/>
      <c r="Z188" s="194"/>
      <c r="AA188" s="194"/>
      <c r="AB188" s="194"/>
      <c r="AC188" s="194"/>
      <c r="AD188" s="194"/>
    </row>
    <row r="189" spans="17:30" x14ac:dyDescent="0.3">
      <c r="Q189" s="194"/>
      <c r="R189" s="194"/>
      <c r="S189" s="194"/>
      <c r="T189" s="194"/>
      <c r="U189" s="194"/>
      <c r="V189" s="194"/>
      <c r="W189" s="194"/>
      <c r="X189" s="194"/>
      <c r="Y189" s="194"/>
      <c r="Z189" s="194"/>
      <c r="AA189" s="194"/>
      <c r="AB189" s="194"/>
      <c r="AC189" s="194"/>
      <c r="AD189" s="194"/>
    </row>
    <row r="190" spans="17:30" x14ac:dyDescent="0.3">
      <c r="Q190" s="194"/>
      <c r="R190" s="194"/>
      <c r="S190" s="194"/>
      <c r="T190" s="194"/>
      <c r="U190" s="194"/>
      <c r="V190" s="194"/>
      <c r="W190" s="194"/>
      <c r="X190" s="194"/>
      <c r="Y190" s="194"/>
      <c r="Z190" s="194"/>
      <c r="AA190" s="194"/>
      <c r="AB190" s="194"/>
      <c r="AC190" s="194"/>
      <c r="AD190" s="194"/>
    </row>
    <row r="191" spans="17:30" x14ac:dyDescent="0.3">
      <c r="Q191" s="194"/>
      <c r="R191" s="194"/>
      <c r="S191" s="194"/>
      <c r="T191" s="194"/>
      <c r="U191" s="194"/>
      <c r="V191" s="194"/>
      <c r="W191" s="194"/>
      <c r="X191" s="194"/>
      <c r="Y191" s="194"/>
      <c r="Z191" s="194"/>
      <c r="AA191" s="194"/>
      <c r="AB191" s="194"/>
      <c r="AC191" s="194"/>
      <c r="AD191" s="194"/>
    </row>
    <row r="192" spans="17:30" x14ac:dyDescent="0.3">
      <c r="Q192" s="194"/>
      <c r="R192" s="194"/>
      <c r="S192" s="194"/>
      <c r="T192" s="194"/>
      <c r="U192" s="194"/>
      <c r="V192" s="194"/>
      <c r="W192" s="194"/>
      <c r="X192" s="194"/>
      <c r="Y192" s="194"/>
      <c r="Z192" s="194"/>
      <c r="AA192" s="194"/>
      <c r="AB192" s="194"/>
      <c r="AC192" s="194"/>
      <c r="AD192" s="194"/>
    </row>
    <row r="193" spans="17:30" x14ac:dyDescent="0.3">
      <c r="Q193" s="194"/>
      <c r="R193" s="194"/>
      <c r="S193" s="194"/>
      <c r="T193" s="194"/>
      <c r="U193" s="194"/>
      <c r="V193" s="194"/>
      <c r="W193" s="194"/>
      <c r="X193" s="194"/>
      <c r="Y193" s="194"/>
      <c r="Z193" s="194"/>
      <c r="AA193" s="194"/>
      <c r="AB193" s="194"/>
      <c r="AC193" s="194"/>
      <c r="AD193" s="194"/>
    </row>
    <row r="194" spans="17:30" x14ac:dyDescent="0.3">
      <c r="Q194" s="194"/>
      <c r="R194" s="194"/>
      <c r="S194" s="194"/>
      <c r="T194" s="194"/>
      <c r="U194" s="194"/>
      <c r="V194" s="194"/>
      <c r="W194" s="194"/>
      <c r="X194" s="194"/>
      <c r="Y194" s="194"/>
      <c r="Z194" s="194"/>
      <c r="AA194" s="194"/>
      <c r="AB194" s="194"/>
      <c r="AC194" s="194"/>
      <c r="AD194" s="194"/>
    </row>
    <row r="195" spans="17:30" x14ac:dyDescent="0.3">
      <c r="Q195" s="194"/>
      <c r="R195" s="194"/>
      <c r="S195" s="194"/>
      <c r="T195" s="194"/>
      <c r="U195" s="194"/>
      <c r="V195" s="194"/>
      <c r="W195" s="194"/>
      <c r="X195" s="194"/>
      <c r="Y195" s="194"/>
      <c r="Z195" s="194"/>
      <c r="AA195" s="194"/>
      <c r="AB195" s="194"/>
      <c r="AC195" s="194"/>
      <c r="AD195" s="194"/>
    </row>
    <row r="196" spans="17:30" x14ac:dyDescent="0.3">
      <c r="Q196" s="194"/>
      <c r="R196" s="194"/>
      <c r="S196" s="194"/>
      <c r="T196" s="194"/>
      <c r="U196" s="194"/>
      <c r="V196" s="194"/>
      <c r="W196" s="194"/>
      <c r="X196" s="194"/>
      <c r="Y196" s="194"/>
      <c r="Z196" s="194"/>
      <c r="AA196" s="194"/>
      <c r="AB196" s="194"/>
      <c r="AC196" s="194"/>
      <c r="AD196" s="194"/>
    </row>
    <row r="197" spans="17:30" x14ac:dyDescent="0.3">
      <c r="Q197" s="194"/>
      <c r="R197" s="194"/>
      <c r="S197" s="194"/>
      <c r="T197" s="194"/>
      <c r="U197" s="194"/>
      <c r="V197" s="194"/>
      <c r="W197" s="194"/>
      <c r="X197" s="194"/>
      <c r="Y197" s="194"/>
      <c r="Z197" s="194"/>
      <c r="AA197" s="194"/>
      <c r="AB197" s="194"/>
      <c r="AC197" s="194"/>
      <c r="AD197" s="194"/>
    </row>
    <row r="198" spans="17:30" x14ac:dyDescent="0.3">
      <c r="Q198" s="194"/>
      <c r="R198" s="194"/>
      <c r="S198" s="194"/>
      <c r="T198" s="194"/>
      <c r="U198" s="194"/>
      <c r="V198" s="194"/>
      <c r="W198" s="194"/>
      <c r="X198" s="194"/>
      <c r="Y198" s="194"/>
      <c r="Z198" s="194"/>
      <c r="AA198" s="194"/>
      <c r="AB198" s="194"/>
      <c r="AC198" s="194"/>
      <c r="AD198" s="194"/>
    </row>
    <row r="199" spans="17:30" x14ac:dyDescent="0.3">
      <c r="Q199" s="194"/>
      <c r="R199" s="194"/>
      <c r="S199" s="194"/>
      <c r="T199" s="194"/>
      <c r="U199" s="194"/>
      <c r="V199" s="194"/>
      <c r="W199" s="194"/>
      <c r="X199" s="194"/>
      <c r="Y199" s="194"/>
      <c r="Z199" s="194"/>
      <c r="AA199" s="194"/>
      <c r="AB199" s="194"/>
      <c r="AC199" s="194"/>
      <c r="AD199" s="194"/>
    </row>
    <row r="200" spans="17:30" x14ac:dyDescent="0.3">
      <c r="Q200" s="194"/>
      <c r="R200" s="194"/>
      <c r="S200" s="194"/>
      <c r="T200" s="194"/>
      <c r="U200" s="194"/>
      <c r="V200" s="194"/>
      <c r="W200" s="194"/>
      <c r="X200" s="194"/>
      <c r="Y200" s="194"/>
      <c r="Z200" s="194"/>
      <c r="AA200" s="194"/>
      <c r="AB200" s="194"/>
      <c r="AC200" s="194"/>
      <c r="AD200" s="194"/>
    </row>
    <row r="201" spans="17:30" x14ac:dyDescent="0.3">
      <c r="Q201" s="194"/>
      <c r="R201" s="194"/>
      <c r="S201" s="194"/>
      <c r="T201" s="194"/>
      <c r="U201" s="194"/>
      <c r="V201" s="194"/>
      <c r="W201" s="194"/>
      <c r="X201" s="194"/>
      <c r="Y201" s="194"/>
      <c r="Z201" s="194"/>
      <c r="AA201" s="194"/>
      <c r="AB201" s="194"/>
      <c r="AC201" s="194"/>
      <c r="AD201" s="194"/>
    </row>
    <row r="202" spans="17:30" x14ac:dyDescent="0.3">
      <c r="Q202" s="194"/>
      <c r="R202" s="194"/>
      <c r="S202" s="194"/>
      <c r="T202" s="194"/>
      <c r="U202" s="194"/>
      <c r="V202" s="194"/>
      <c r="W202" s="194"/>
      <c r="X202" s="194"/>
      <c r="Y202" s="194"/>
      <c r="Z202" s="194"/>
      <c r="AA202" s="194"/>
      <c r="AB202" s="194"/>
      <c r="AC202" s="194"/>
      <c r="AD202" s="194"/>
    </row>
    <row r="203" spans="17:30" x14ac:dyDescent="0.3">
      <c r="Q203" s="194"/>
      <c r="R203" s="194"/>
      <c r="S203" s="194"/>
      <c r="T203" s="194"/>
      <c r="U203" s="194"/>
      <c r="V203" s="194"/>
      <c r="W203" s="194"/>
      <c r="X203" s="194"/>
      <c r="Y203" s="194"/>
      <c r="Z203" s="194"/>
      <c r="AA203" s="194"/>
      <c r="AB203" s="194"/>
      <c r="AC203" s="194"/>
      <c r="AD203" s="194"/>
    </row>
    <row r="204" spans="17:30" x14ac:dyDescent="0.3">
      <c r="Q204" s="194"/>
      <c r="R204" s="194"/>
      <c r="S204" s="194"/>
      <c r="T204" s="194"/>
      <c r="U204" s="194"/>
      <c r="V204" s="194"/>
      <c r="W204" s="194"/>
      <c r="X204" s="194"/>
      <c r="Y204" s="194"/>
      <c r="Z204" s="194"/>
      <c r="AA204" s="194"/>
      <c r="AB204" s="194"/>
      <c r="AC204" s="194"/>
      <c r="AD204" s="194"/>
    </row>
    <row r="205" spans="17:30" x14ac:dyDescent="0.3">
      <c r="Q205" s="194"/>
      <c r="R205" s="194"/>
      <c r="S205" s="194"/>
      <c r="T205" s="194"/>
      <c r="U205" s="194"/>
      <c r="V205" s="194"/>
      <c r="W205" s="194"/>
      <c r="X205" s="194"/>
      <c r="Y205" s="194"/>
      <c r="Z205" s="194"/>
      <c r="AA205" s="194"/>
      <c r="AB205" s="194"/>
      <c r="AC205" s="194"/>
      <c r="AD205" s="194"/>
    </row>
    <row r="206" spans="17:30" x14ac:dyDescent="0.3">
      <c r="Q206" s="194"/>
      <c r="R206" s="194"/>
      <c r="S206" s="194"/>
      <c r="T206" s="194"/>
      <c r="U206" s="194"/>
      <c r="V206" s="194"/>
      <c r="W206" s="194"/>
      <c r="X206" s="194"/>
      <c r="Y206" s="194"/>
      <c r="Z206" s="194"/>
      <c r="AA206" s="194"/>
      <c r="AB206" s="194"/>
      <c r="AC206" s="194"/>
      <c r="AD206" s="194"/>
    </row>
    <row r="207" spans="17:30" x14ac:dyDescent="0.3">
      <c r="Q207" s="194"/>
      <c r="R207" s="194"/>
      <c r="S207" s="194"/>
      <c r="T207" s="194"/>
      <c r="U207" s="194"/>
      <c r="V207" s="194"/>
      <c r="W207" s="194"/>
      <c r="X207" s="194"/>
      <c r="Y207" s="194"/>
      <c r="Z207" s="194"/>
      <c r="AA207" s="194"/>
      <c r="AB207" s="194"/>
      <c r="AC207" s="194"/>
      <c r="AD207" s="194"/>
    </row>
    <row r="208" spans="17:30" x14ac:dyDescent="0.3">
      <c r="Q208" s="194"/>
      <c r="R208" s="194"/>
      <c r="S208" s="194"/>
      <c r="T208" s="194"/>
      <c r="U208" s="194"/>
      <c r="V208" s="194"/>
      <c r="W208" s="194"/>
      <c r="X208" s="194"/>
      <c r="Y208" s="194"/>
      <c r="Z208" s="194"/>
      <c r="AA208" s="194"/>
      <c r="AB208" s="194"/>
      <c r="AC208" s="194"/>
      <c r="AD208" s="194"/>
    </row>
    <row r="209" spans="17:30" x14ac:dyDescent="0.3">
      <c r="Q209" s="194"/>
      <c r="R209" s="194"/>
      <c r="S209" s="194"/>
      <c r="T209" s="194"/>
      <c r="U209" s="194"/>
      <c r="V209" s="194"/>
      <c r="W209" s="194"/>
      <c r="X209" s="194"/>
      <c r="Y209" s="194"/>
      <c r="Z209" s="194"/>
      <c r="AA209" s="194"/>
      <c r="AB209" s="194"/>
      <c r="AC209" s="194"/>
      <c r="AD209" s="194"/>
    </row>
    <row r="210" spans="17:30" x14ac:dyDescent="0.3">
      <c r="Q210" s="194"/>
      <c r="R210" s="194"/>
      <c r="S210" s="194"/>
      <c r="T210" s="194"/>
      <c r="U210" s="194"/>
      <c r="V210" s="194"/>
      <c r="W210" s="194"/>
      <c r="X210" s="194"/>
      <c r="Y210" s="194"/>
      <c r="Z210" s="194"/>
      <c r="AA210" s="194"/>
      <c r="AB210" s="194"/>
      <c r="AC210" s="194"/>
      <c r="AD210" s="194"/>
    </row>
    <row r="211" spans="17:30" x14ac:dyDescent="0.3">
      <c r="Q211" s="194"/>
      <c r="R211" s="194"/>
      <c r="S211" s="194"/>
      <c r="T211" s="194"/>
      <c r="U211" s="194"/>
      <c r="V211" s="194"/>
      <c r="W211" s="194"/>
      <c r="X211" s="194"/>
      <c r="Y211" s="194"/>
      <c r="Z211" s="194"/>
      <c r="AA211" s="194"/>
      <c r="AB211" s="194"/>
      <c r="AC211" s="194"/>
      <c r="AD211" s="194"/>
    </row>
    <row r="212" spans="17:30" x14ac:dyDescent="0.3">
      <c r="Q212" s="194"/>
      <c r="R212" s="194"/>
      <c r="S212" s="194"/>
      <c r="T212" s="194"/>
      <c r="U212" s="194"/>
      <c r="V212" s="194"/>
      <c r="W212" s="194"/>
      <c r="X212" s="194"/>
      <c r="Y212" s="194"/>
      <c r="Z212" s="194"/>
      <c r="AA212" s="194"/>
      <c r="AB212" s="194"/>
      <c r="AC212" s="194"/>
      <c r="AD212" s="194"/>
    </row>
    <row r="213" spans="17:30" x14ac:dyDescent="0.3">
      <c r="Q213" s="194"/>
      <c r="R213" s="194"/>
      <c r="S213" s="194"/>
      <c r="T213" s="194"/>
      <c r="U213" s="194"/>
      <c r="V213" s="194"/>
      <c r="W213" s="194"/>
      <c r="X213" s="194"/>
      <c r="Y213" s="194"/>
      <c r="Z213" s="194"/>
      <c r="AA213" s="194"/>
      <c r="AB213" s="194"/>
      <c r="AC213" s="194"/>
      <c r="AD213" s="194"/>
    </row>
    <row r="214" spans="17:30" x14ac:dyDescent="0.3">
      <c r="Q214" s="194"/>
      <c r="R214" s="194"/>
      <c r="S214" s="194"/>
      <c r="T214" s="194"/>
      <c r="U214" s="194"/>
      <c r="V214" s="194"/>
      <c r="W214" s="194"/>
      <c r="X214" s="194"/>
      <c r="Y214" s="194"/>
      <c r="Z214" s="194"/>
      <c r="AA214" s="194"/>
      <c r="AB214" s="194"/>
      <c r="AC214" s="194"/>
      <c r="AD214" s="194"/>
    </row>
    <row r="215" spans="17:30" x14ac:dyDescent="0.3">
      <c r="Q215" s="194"/>
      <c r="R215" s="194"/>
      <c r="S215" s="194"/>
      <c r="T215" s="194"/>
      <c r="U215" s="194"/>
      <c r="V215" s="194"/>
      <c r="W215" s="194"/>
      <c r="X215" s="194"/>
      <c r="Y215" s="194"/>
      <c r="Z215" s="194"/>
      <c r="AA215" s="194"/>
      <c r="AB215" s="194"/>
      <c r="AC215" s="194"/>
      <c r="AD215" s="194"/>
    </row>
    <row r="216" spans="17:30" x14ac:dyDescent="0.3">
      <c r="Q216" s="194"/>
      <c r="R216" s="194"/>
      <c r="S216" s="194"/>
      <c r="T216" s="194"/>
      <c r="U216" s="194"/>
      <c r="V216" s="194"/>
      <c r="W216" s="194"/>
      <c r="X216" s="194"/>
      <c r="Y216" s="194"/>
      <c r="Z216" s="194"/>
      <c r="AA216" s="194"/>
      <c r="AB216" s="194"/>
      <c r="AC216" s="194"/>
      <c r="AD216" s="194"/>
    </row>
    <row r="217" spans="17:30" x14ac:dyDescent="0.3">
      <c r="Q217" s="194"/>
      <c r="R217" s="194"/>
      <c r="S217" s="194"/>
      <c r="T217" s="194"/>
      <c r="U217" s="194"/>
      <c r="V217" s="194"/>
      <c r="W217" s="194"/>
      <c r="X217" s="194"/>
      <c r="Y217" s="194"/>
      <c r="Z217" s="194"/>
      <c r="AA217" s="194"/>
      <c r="AB217" s="194"/>
      <c r="AC217" s="194"/>
      <c r="AD217" s="194"/>
    </row>
    <row r="218" spans="17:30" x14ac:dyDescent="0.3">
      <c r="Q218" s="194"/>
      <c r="R218" s="194"/>
      <c r="S218" s="194"/>
      <c r="T218" s="194"/>
      <c r="U218" s="194"/>
      <c r="V218" s="194"/>
      <c r="W218" s="194"/>
      <c r="X218" s="194"/>
      <c r="Y218" s="194"/>
      <c r="Z218" s="194"/>
      <c r="AA218" s="194"/>
      <c r="AB218" s="194"/>
      <c r="AC218" s="194"/>
      <c r="AD218" s="194"/>
    </row>
    <row r="219" spans="17:30" x14ac:dyDescent="0.3">
      <c r="Q219" s="194"/>
      <c r="R219" s="194"/>
      <c r="S219" s="194"/>
      <c r="T219" s="194"/>
      <c r="U219" s="194"/>
      <c r="V219" s="194"/>
      <c r="W219" s="194"/>
      <c r="X219" s="194"/>
      <c r="Y219" s="194"/>
      <c r="Z219" s="194"/>
      <c r="AA219" s="194"/>
      <c r="AB219" s="194"/>
      <c r="AC219" s="194"/>
      <c r="AD219" s="194"/>
    </row>
    <row r="220" spans="17:30" x14ac:dyDescent="0.3">
      <c r="Q220" s="194"/>
      <c r="R220" s="194"/>
      <c r="S220" s="194"/>
      <c r="T220" s="194"/>
      <c r="U220" s="194"/>
      <c r="V220" s="194"/>
      <c r="W220" s="194"/>
      <c r="X220" s="194"/>
      <c r="Y220" s="194"/>
      <c r="Z220" s="194"/>
      <c r="AA220" s="194"/>
      <c r="AB220" s="194"/>
      <c r="AC220" s="194"/>
      <c r="AD220" s="194"/>
    </row>
    <row r="221" spans="17:30" x14ac:dyDescent="0.3">
      <c r="Q221" s="194"/>
      <c r="R221" s="194"/>
      <c r="S221" s="194"/>
      <c r="T221" s="194"/>
      <c r="U221" s="194"/>
      <c r="V221" s="194"/>
      <c r="W221" s="194"/>
      <c r="X221" s="194"/>
      <c r="Y221" s="194"/>
      <c r="Z221" s="194"/>
      <c r="AA221" s="194"/>
      <c r="AB221" s="194"/>
      <c r="AC221" s="194"/>
      <c r="AD221" s="194"/>
    </row>
    <row r="222" spans="17:30" x14ac:dyDescent="0.3">
      <c r="Q222" s="194"/>
      <c r="R222" s="194"/>
      <c r="S222" s="194"/>
      <c r="T222" s="194"/>
      <c r="U222" s="194"/>
      <c r="V222" s="194"/>
      <c r="W222" s="194"/>
      <c r="X222" s="194"/>
      <c r="Y222" s="194"/>
      <c r="Z222" s="194"/>
      <c r="AA222" s="194"/>
      <c r="AB222" s="194"/>
      <c r="AC222" s="194"/>
      <c r="AD222" s="194"/>
    </row>
    <row r="223" spans="17:30" x14ac:dyDescent="0.3">
      <c r="Q223" s="194"/>
      <c r="R223" s="194"/>
      <c r="S223" s="194"/>
      <c r="T223" s="194"/>
      <c r="U223" s="194"/>
      <c r="V223" s="194"/>
      <c r="W223" s="194"/>
      <c r="X223" s="194"/>
      <c r="Y223" s="194"/>
      <c r="Z223" s="194"/>
      <c r="AA223" s="194"/>
      <c r="AB223" s="194"/>
      <c r="AC223" s="194"/>
      <c r="AD223" s="194"/>
    </row>
    <row r="224" spans="17:30" x14ac:dyDescent="0.3">
      <c r="Q224" s="194"/>
      <c r="R224" s="194"/>
      <c r="S224" s="194"/>
      <c r="T224" s="194"/>
      <c r="U224" s="194"/>
      <c r="V224" s="194"/>
      <c r="W224" s="194"/>
      <c r="X224" s="194"/>
      <c r="Y224" s="194"/>
      <c r="Z224" s="194"/>
      <c r="AA224" s="194"/>
      <c r="AB224" s="194"/>
      <c r="AC224" s="194"/>
      <c r="AD224" s="194"/>
    </row>
    <row r="225" spans="17:30" x14ac:dyDescent="0.3">
      <c r="Q225" s="194"/>
      <c r="R225" s="194"/>
      <c r="S225" s="194"/>
      <c r="T225" s="194"/>
      <c r="U225" s="194"/>
      <c r="V225" s="194"/>
      <c r="W225" s="194"/>
      <c r="X225" s="194"/>
      <c r="Y225" s="194"/>
      <c r="Z225" s="194"/>
      <c r="AA225" s="194"/>
      <c r="AB225" s="194"/>
      <c r="AC225" s="194"/>
      <c r="AD225" s="194"/>
    </row>
    <row r="226" spans="17:30" x14ac:dyDescent="0.3">
      <c r="Q226" s="194"/>
      <c r="R226" s="194"/>
      <c r="S226" s="194"/>
      <c r="T226" s="194"/>
      <c r="U226" s="194"/>
      <c r="V226" s="194"/>
      <c r="W226" s="194"/>
      <c r="X226" s="194"/>
      <c r="Y226" s="194"/>
      <c r="Z226" s="194"/>
      <c r="AA226" s="194"/>
      <c r="AB226" s="194"/>
      <c r="AC226" s="194"/>
      <c r="AD226" s="194"/>
    </row>
    <row r="227" spans="17:30" x14ac:dyDescent="0.3">
      <c r="Q227" s="194"/>
      <c r="R227" s="194"/>
      <c r="S227" s="194"/>
      <c r="T227" s="194"/>
      <c r="U227" s="194"/>
      <c r="V227" s="194"/>
      <c r="W227" s="194"/>
      <c r="X227" s="194"/>
      <c r="Y227" s="194"/>
      <c r="Z227" s="194"/>
      <c r="AA227" s="194"/>
      <c r="AB227" s="194"/>
      <c r="AC227" s="194"/>
      <c r="AD227" s="194"/>
    </row>
    <row r="228" spans="17:30" x14ac:dyDescent="0.3">
      <c r="Q228" s="194"/>
      <c r="R228" s="194"/>
      <c r="S228" s="194"/>
      <c r="T228" s="194"/>
      <c r="U228" s="194"/>
      <c r="V228" s="194"/>
      <c r="W228" s="194"/>
      <c r="X228" s="194"/>
      <c r="Y228" s="194"/>
      <c r="Z228" s="194"/>
      <c r="AA228" s="194"/>
      <c r="AB228" s="194"/>
      <c r="AC228" s="194"/>
      <c r="AD228" s="194"/>
    </row>
    <row r="229" spans="17:30" x14ac:dyDescent="0.3">
      <c r="Q229" s="194"/>
      <c r="R229" s="194"/>
      <c r="S229" s="194"/>
      <c r="T229" s="194"/>
      <c r="U229" s="194"/>
      <c r="V229" s="194"/>
      <c r="W229" s="194"/>
      <c r="X229" s="194"/>
      <c r="Y229" s="194"/>
      <c r="Z229" s="194"/>
      <c r="AA229" s="194"/>
      <c r="AB229" s="194"/>
      <c r="AC229" s="194"/>
      <c r="AD229" s="194"/>
    </row>
    <row r="230" spans="17:30" x14ac:dyDescent="0.3">
      <c r="Q230" s="194"/>
      <c r="R230" s="194"/>
      <c r="S230" s="194"/>
      <c r="T230" s="194"/>
      <c r="U230" s="194"/>
      <c r="V230" s="194"/>
      <c r="W230" s="194"/>
      <c r="X230" s="194"/>
      <c r="Y230" s="194"/>
      <c r="Z230" s="194"/>
      <c r="AA230" s="194"/>
      <c r="AB230" s="194"/>
      <c r="AC230" s="194"/>
      <c r="AD230" s="194"/>
    </row>
    <row r="231" spans="17:30" x14ac:dyDescent="0.3">
      <c r="Q231" s="194"/>
      <c r="R231" s="194"/>
      <c r="S231" s="194"/>
      <c r="T231" s="194"/>
      <c r="U231" s="194"/>
      <c r="V231" s="194"/>
      <c r="W231" s="194"/>
      <c r="X231" s="194"/>
      <c r="Y231" s="194"/>
      <c r="Z231" s="194"/>
      <c r="AA231" s="194"/>
      <c r="AB231" s="194"/>
      <c r="AC231" s="194"/>
      <c r="AD231" s="194"/>
    </row>
    <row r="232" spans="17:30" x14ac:dyDescent="0.3">
      <c r="Q232" s="194"/>
      <c r="R232" s="194"/>
      <c r="S232" s="194"/>
      <c r="T232" s="194"/>
      <c r="U232" s="194"/>
      <c r="V232" s="194"/>
      <c r="W232" s="194"/>
      <c r="X232" s="194"/>
      <c r="Y232" s="194"/>
      <c r="Z232" s="194"/>
      <c r="AA232" s="194"/>
      <c r="AB232" s="194"/>
      <c r="AC232" s="194"/>
      <c r="AD232" s="194"/>
    </row>
    <row r="233" spans="17:30" x14ac:dyDescent="0.3">
      <c r="Q233" s="194"/>
      <c r="R233" s="194"/>
      <c r="S233" s="194"/>
      <c r="T233" s="194"/>
      <c r="U233" s="194"/>
      <c r="V233" s="194"/>
      <c r="W233" s="194"/>
      <c r="X233" s="194"/>
      <c r="Y233" s="194"/>
      <c r="Z233" s="194"/>
      <c r="AA233" s="194"/>
      <c r="AB233" s="194"/>
      <c r="AC233" s="194"/>
      <c r="AD233" s="194"/>
    </row>
    <row r="234" spans="17:30" x14ac:dyDescent="0.3">
      <c r="Q234" s="194"/>
      <c r="R234" s="194"/>
      <c r="S234" s="194"/>
      <c r="T234" s="194"/>
      <c r="U234" s="194"/>
      <c r="V234" s="194"/>
      <c r="W234" s="194"/>
      <c r="X234" s="194"/>
      <c r="Y234" s="194"/>
      <c r="Z234" s="194"/>
      <c r="AA234" s="194"/>
      <c r="AB234" s="194"/>
      <c r="AC234" s="194"/>
      <c r="AD234" s="194"/>
    </row>
    <row r="235" spans="17:30" x14ac:dyDescent="0.3">
      <c r="Q235" s="194"/>
      <c r="R235" s="194"/>
      <c r="S235" s="194"/>
      <c r="T235" s="194"/>
      <c r="U235" s="194"/>
      <c r="V235" s="194"/>
      <c r="W235" s="194"/>
      <c r="X235" s="194"/>
      <c r="Y235" s="194"/>
      <c r="Z235" s="194"/>
      <c r="AA235" s="194"/>
      <c r="AB235" s="194"/>
      <c r="AC235" s="194"/>
      <c r="AD235" s="194"/>
    </row>
    <row r="236" spans="17:30" x14ac:dyDescent="0.3">
      <c r="Q236" s="194"/>
      <c r="R236" s="194"/>
      <c r="S236" s="194"/>
      <c r="T236" s="194"/>
      <c r="U236" s="194"/>
      <c r="V236" s="194"/>
      <c r="W236" s="194"/>
      <c r="X236" s="194"/>
      <c r="Y236" s="194"/>
      <c r="Z236" s="194"/>
      <c r="AA236" s="194"/>
      <c r="AB236" s="194"/>
      <c r="AC236" s="194"/>
      <c r="AD236" s="194"/>
    </row>
    <row r="237" spans="17:30" x14ac:dyDescent="0.3">
      <c r="Q237" s="194"/>
      <c r="R237" s="194"/>
      <c r="S237" s="194"/>
      <c r="T237" s="194"/>
      <c r="U237" s="194"/>
      <c r="V237" s="194"/>
      <c r="W237" s="194"/>
      <c r="X237" s="194"/>
      <c r="Y237" s="194"/>
      <c r="Z237" s="194"/>
      <c r="AA237" s="194"/>
      <c r="AB237" s="194"/>
      <c r="AC237" s="194"/>
      <c r="AD237" s="194"/>
    </row>
    <row r="238" spans="17:30" x14ac:dyDescent="0.3">
      <c r="Q238" s="194"/>
      <c r="R238" s="194"/>
      <c r="S238" s="194"/>
      <c r="T238" s="194"/>
      <c r="U238" s="194"/>
      <c r="V238" s="194"/>
      <c r="W238" s="194"/>
      <c r="X238" s="194"/>
      <c r="Y238" s="194"/>
      <c r="Z238" s="194"/>
      <c r="AA238" s="194"/>
      <c r="AB238" s="194"/>
      <c r="AC238" s="194"/>
      <c r="AD238" s="194"/>
    </row>
    <row r="239" spans="17:30" x14ac:dyDescent="0.3">
      <c r="Q239" s="194"/>
      <c r="R239" s="194"/>
      <c r="S239" s="194"/>
      <c r="T239" s="194"/>
      <c r="U239" s="194"/>
      <c r="V239" s="194"/>
      <c r="W239" s="194"/>
      <c r="X239" s="194"/>
      <c r="Y239" s="194"/>
      <c r="Z239" s="194"/>
      <c r="AA239" s="194"/>
      <c r="AB239" s="194"/>
      <c r="AC239" s="194"/>
      <c r="AD239" s="194"/>
    </row>
    <row r="240" spans="17:30" x14ac:dyDescent="0.3">
      <c r="Q240" s="194"/>
      <c r="R240" s="194"/>
      <c r="S240" s="194"/>
      <c r="T240" s="194"/>
      <c r="U240" s="194"/>
      <c r="V240" s="194"/>
      <c r="W240" s="194"/>
      <c r="X240" s="194"/>
      <c r="Y240" s="194"/>
      <c r="Z240" s="194"/>
      <c r="AA240" s="194"/>
      <c r="AB240" s="194"/>
      <c r="AC240" s="194"/>
      <c r="AD240" s="194"/>
    </row>
    <row r="241" spans="17:30" x14ac:dyDescent="0.3">
      <c r="Q241" s="194"/>
      <c r="R241" s="194"/>
      <c r="S241" s="194"/>
      <c r="T241" s="194"/>
      <c r="U241" s="194"/>
      <c r="V241" s="194"/>
      <c r="W241" s="194"/>
      <c r="X241" s="194"/>
      <c r="Y241" s="194"/>
      <c r="Z241" s="194"/>
      <c r="AA241" s="194"/>
      <c r="AB241" s="194"/>
      <c r="AC241" s="194"/>
      <c r="AD241" s="194"/>
    </row>
    <row r="242" spans="17:30" x14ac:dyDescent="0.3">
      <c r="Q242" s="194"/>
      <c r="R242" s="194"/>
      <c r="S242" s="194"/>
      <c r="T242" s="194"/>
      <c r="U242" s="194"/>
      <c r="V242" s="194"/>
      <c r="W242" s="194"/>
      <c r="X242" s="194"/>
      <c r="Y242" s="194"/>
      <c r="Z242" s="194"/>
      <c r="AA242" s="194"/>
      <c r="AB242" s="194"/>
      <c r="AC242" s="194"/>
      <c r="AD242" s="194"/>
    </row>
    <row r="243" spans="17:30" x14ac:dyDescent="0.3">
      <c r="Q243" s="194"/>
      <c r="R243" s="194"/>
      <c r="S243" s="194"/>
      <c r="T243" s="194"/>
      <c r="U243" s="194"/>
      <c r="V243" s="194"/>
      <c r="W243" s="194"/>
      <c r="X243" s="194"/>
      <c r="Y243" s="194"/>
      <c r="Z243" s="194"/>
      <c r="AA243" s="194"/>
      <c r="AB243" s="194"/>
      <c r="AC243" s="194"/>
      <c r="AD243" s="194"/>
    </row>
    <row r="244" spans="17:30" x14ac:dyDescent="0.3">
      <c r="Q244" s="194"/>
      <c r="R244" s="194"/>
      <c r="S244" s="194"/>
      <c r="T244" s="194"/>
      <c r="U244" s="194"/>
      <c r="V244" s="194"/>
      <c r="W244" s="194"/>
      <c r="X244" s="194"/>
      <c r="Y244" s="194"/>
      <c r="Z244" s="194"/>
      <c r="AA244" s="194"/>
      <c r="AB244" s="194"/>
      <c r="AC244" s="194"/>
      <c r="AD244" s="194"/>
    </row>
    <row r="245" spans="17:30" x14ac:dyDescent="0.3">
      <c r="Q245" s="194"/>
      <c r="R245" s="194"/>
      <c r="S245" s="194"/>
      <c r="T245" s="194"/>
      <c r="U245" s="194"/>
      <c r="V245" s="194"/>
      <c r="W245" s="194"/>
      <c r="X245" s="194"/>
      <c r="Y245" s="194"/>
      <c r="Z245" s="194"/>
      <c r="AA245" s="194"/>
      <c r="AB245" s="194"/>
      <c r="AC245" s="194"/>
      <c r="AD245" s="194"/>
    </row>
    <row r="246" spans="17:30" x14ac:dyDescent="0.3">
      <c r="Q246" s="194"/>
      <c r="R246" s="194"/>
      <c r="S246" s="194"/>
      <c r="T246" s="194"/>
      <c r="U246" s="194"/>
      <c r="V246" s="194"/>
      <c r="W246" s="194"/>
      <c r="X246" s="194"/>
      <c r="Y246" s="194"/>
      <c r="Z246" s="194"/>
      <c r="AA246" s="194"/>
      <c r="AB246" s="194"/>
      <c r="AC246" s="194"/>
      <c r="AD246" s="194"/>
    </row>
    <row r="247" spans="17:30" x14ac:dyDescent="0.3">
      <c r="Q247" s="194"/>
      <c r="R247" s="194"/>
      <c r="S247" s="194"/>
      <c r="T247" s="194"/>
      <c r="U247" s="194"/>
      <c r="V247" s="194"/>
      <c r="W247" s="194"/>
      <c r="X247" s="194"/>
      <c r="Y247" s="194"/>
      <c r="Z247" s="194"/>
      <c r="AA247" s="194"/>
      <c r="AB247" s="194"/>
      <c r="AC247" s="194"/>
      <c r="AD247" s="194"/>
    </row>
    <row r="248" spans="17:30" x14ac:dyDescent="0.3">
      <c r="Q248" s="194"/>
      <c r="R248" s="194"/>
      <c r="S248" s="194"/>
      <c r="T248" s="194"/>
      <c r="U248" s="194"/>
      <c r="V248" s="194"/>
      <c r="W248" s="194"/>
      <c r="X248" s="194"/>
      <c r="Y248" s="194"/>
      <c r="Z248" s="194"/>
      <c r="AA248" s="194"/>
      <c r="AB248" s="194"/>
      <c r="AC248" s="194"/>
      <c r="AD248" s="194"/>
    </row>
    <row r="249" spans="17:30" x14ac:dyDescent="0.3">
      <c r="Q249" s="194"/>
      <c r="R249" s="194"/>
      <c r="S249" s="194"/>
      <c r="T249" s="194"/>
      <c r="U249" s="194"/>
      <c r="V249" s="194"/>
      <c r="W249" s="194"/>
      <c r="X249" s="194"/>
      <c r="Y249" s="194"/>
      <c r="Z249" s="194"/>
      <c r="AA249" s="194"/>
      <c r="AB249" s="194"/>
      <c r="AC249" s="194"/>
      <c r="AD249" s="194"/>
    </row>
    <row r="250" spans="17:30" x14ac:dyDescent="0.3">
      <c r="Q250" s="194"/>
      <c r="R250" s="194"/>
      <c r="S250" s="194"/>
      <c r="T250" s="194"/>
      <c r="U250" s="194"/>
      <c r="V250" s="194"/>
      <c r="W250" s="194"/>
      <c r="X250" s="194"/>
      <c r="Y250" s="194"/>
      <c r="Z250" s="194"/>
      <c r="AA250" s="194"/>
      <c r="AB250" s="194"/>
      <c r="AC250" s="194"/>
      <c r="AD250" s="194"/>
    </row>
    <row r="251" spans="17:30" x14ac:dyDescent="0.3">
      <c r="Q251" s="194"/>
      <c r="R251" s="194"/>
      <c r="S251" s="194"/>
      <c r="T251" s="194"/>
      <c r="U251" s="194"/>
      <c r="V251" s="194"/>
      <c r="W251" s="194"/>
      <c r="X251" s="194"/>
      <c r="Y251" s="194"/>
      <c r="Z251" s="194"/>
      <c r="AA251" s="194"/>
      <c r="AB251" s="194"/>
      <c r="AC251" s="194"/>
      <c r="AD251" s="194"/>
    </row>
    <row r="252" spans="17:30" x14ac:dyDescent="0.3">
      <c r="Q252" s="194"/>
      <c r="R252" s="194"/>
      <c r="S252" s="194"/>
      <c r="T252" s="194"/>
      <c r="U252" s="194"/>
      <c r="V252" s="194"/>
      <c r="W252" s="194"/>
      <c r="X252" s="194"/>
      <c r="Y252" s="194"/>
      <c r="Z252" s="194"/>
      <c r="AA252" s="194"/>
      <c r="AB252" s="194"/>
      <c r="AC252" s="194"/>
      <c r="AD252" s="194"/>
    </row>
    <row r="253" spans="17:30" x14ac:dyDescent="0.3">
      <c r="Q253" s="194"/>
      <c r="R253" s="194"/>
      <c r="S253" s="194"/>
      <c r="T253" s="194"/>
      <c r="U253" s="194"/>
      <c r="V253" s="194"/>
      <c r="W253" s="194"/>
      <c r="X253" s="194"/>
      <c r="Y253" s="194"/>
      <c r="Z253" s="194"/>
      <c r="AA253" s="194"/>
      <c r="AB253" s="194"/>
      <c r="AC253" s="194"/>
      <c r="AD253" s="194"/>
    </row>
    <row r="254" spans="17:30" x14ac:dyDescent="0.3">
      <c r="Q254" s="194"/>
      <c r="R254" s="194"/>
      <c r="S254" s="194"/>
      <c r="T254" s="194"/>
      <c r="U254" s="194"/>
      <c r="V254" s="194"/>
      <c r="W254" s="194"/>
      <c r="X254" s="194"/>
      <c r="Y254" s="194"/>
      <c r="Z254" s="194"/>
      <c r="AA254" s="194"/>
      <c r="AB254" s="194"/>
      <c r="AC254" s="194"/>
      <c r="AD254" s="194"/>
    </row>
    <row r="255" spans="17:30" x14ac:dyDescent="0.3">
      <c r="Q255" s="194"/>
      <c r="R255" s="194"/>
      <c r="S255" s="194"/>
      <c r="T255" s="194"/>
      <c r="U255" s="194"/>
      <c r="V255" s="194"/>
      <c r="W255" s="194"/>
      <c r="X255" s="194"/>
      <c r="Y255" s="194"/>
      <c r="Z255" s="194"/>
      <c r="AA255" s="194"/>
      <c r="AB255" s="194"/>
      <c r="AC255" s="194"/>
      <c r="AD255" s="194"/>
    </row>
    <row r="256" spans="17:30" x14ac:dyDescent="0.3">
      <c r="Q256" s="194"/>
      <c r="R256" s="194"/>
      <c r="S256" s="194"/>
      <c r="T256" s="194"/>
      <c r="U256" s="194"/>
      <c r="V256" s="194"/>
      <c r="W256" s="194"/>
      <c r="X256" s="194"/>
      <c r="Y256" s="194"/>
      <c r="Z256" s="194"/>
      <c r="AA256" s="194"/>
      <c r="AB256" s="194"/>
      <c r="AC256" s="194"/>
      <c r="AD256" s="194"/>
    </row>
    <row r="257" spans="17:30" x14ac:dyDescent="0.3">
      <c r="Q257" s="194"/>
      <c r="R257" s="194"/>
      <c r="S257" s="194"/>
      <c r="T257" s="194"/>
      <c r="U257" s="194"/>
      <c r="V257" s="194"/>
      <c r="W257" s="194"/>
      <c r="X257" s="194"/>
      <c r="Y257" s="194"/>
      <c r="Z257" s="194"/>
      <c r="AA257" s="194"/>
      <c r="AB257" s="194"/>
      <c r="AC257" s="194"/>
      <c r="AD257" s="194"/>
    </row>
    <row r="258" spans="17:30" x14ac:dyDescent="0.3">
      <c r="Q258" s="194"/>
      <c r="R258" s="194"/>
      <c r="S258" s="194"/>
      <c r="T258" s="194"/>
      <c r="U258" s="194"/>
      <c r="V258" s="194"/>
      <c r="W258" s="194"/>
      <c r="X258" s="194"/>
      <c r="Y258" s="194"/>
      <c r="Z258" s="194"/>
      <c r="AA258" s="194"/>
      <c r="AB258" s="194"/>
      <c r="AC258" s="194"/>
      <c r="AD258" s="194"/>
    </row>
    <row r="259" spans="17:30" x14ac:dyDescent="0.3">
      <c r="Q259" s="194"/>
      <c r="R259" s="194"/>
      <c r="S259" s="194"/>
      <c r="T259" s="194"/>
      <c r="U259" s="194"/>
      <c r="V259" s="194"/>
      <c r="W259" s="194"/>
      <c r="X259" s="194"/>
      <c r="Y259" s="194"/>
      <c r="Z259" s="194"/>
      <c r="AA259" s="194"/>
      <c r="AB259" s="194"/>
      <c r="AC259" s="194"/>
      <c r="AD259" s="194"/>
    </row>
    <row r="260" spans="17:30" x14ac:dyDescent="0.3">
      <c r="Q260" s="194"/>
      <c r="R260" s="194"/>
      <c r="S260" s="194"/>
      <c r="T260" s="194"/>
      <c r="U260" s="194"/>
      <c r="V260" s="194"/>
      <c r="W260" s="194"/>
      <c r="X260" s="194"/>
      <c r="Y260" s="194"/>
      <c r="Z260" s="194"/>
      <c r="AA260" s="194"/>
      <c r="AB260" s="194"/>
      <c r="AC260" s="194"/>
      <c r="AD260" s="194"/>
    </row>
    <row r="261" spans="17:30" x14ac:dyDescent="0.3">
      <c r="Q261" s="194"/>
      <c r="R261" s="194"/>
      <c r="S261" s="194"/>
      <c r="T261" s="194"/>
      <c r="U261" s="194"/>
      <c r="V261" s="194"/>
      <c r="W261" s="194"/>
      <c r="X261" s="194"/>
      <c r="Y261" s="194"/>
      <c r="Z261" s="194"/>
      <c r="AA261" s="194"/>
      <c r="AB261" s="194"/>
      <c r="AC261" s="194"/>
      <c r="AD261" s="194"/>
    </row>
    <row r="262" spans="17:30" x14ac:dyDescent="0.3">
      <c r="Q262" s="194"/>
      <c r="R262" s="194"/>
      <c r="S262" s="194"/>
      <c r="T262" s="194"/>
      <c r="U262" s="194"/>
      <c r="V262" s="194"/>
      <c r="W262" s="194"/>
      <c r="X262" s="194"/>
      <c r="Y262" s="194"/>
      <c r="Z262" s="194"/>
      <c r="AA262" s="194"/>
      <c r="AB262" s="194"/>
      <c r="AC262" s="194"/>
      <c r="AD262" s="194"/>
    </row>
    <row r="263" spans="17:30" x14ac:dyDescent="0.3">
      <c r="Q263" s="194"/>
      <c r="R263" s="194"/>
      <c r="S263" s="194"/>
      <c r="T263" s="194"/>
      <c r="U263" s="194"/>
      <c r="V263" s="194"/>
      <c r="W263" s="194"/>
      <c r="X263" s="194"/>
      <c r="Y263" s="194"/>
      <c r="Z263" s="194"/>
      <c r="AA263" s="194"/>
      <c r="AB263" s="194"/>
      <c r="AC263" s="194"/>
      <c r="AD263" s="194"/>
    </row>
    <row r="264" spans="17:30" x14ac:dyDescent="0.3">
      <c r="Q264" s="194"/>
      <c r="R264" s="194"/>
      <c r="S264" s="194"/>
      <c r="T264" s="194"/>
      <c r="U264" s="194"/>
      <c r="V264" s="194"/>
      <c r="W264" s="194"/>
      <c r="X264" s="194"/>
      <c r="Y264" s="194"/>
      <c r="Z264" s="194"/>
      <c r="AA264" s="194"/>
      <c r="AB264" s="194"/>
      <c r="AC264" s="194"/>
      <c r="AD264" s="194"/>
    </row>
    <row r="265" spans="17:30" x14ac:dyDescent="0.3">
      <c r="Q265" s="194"/>
      <c r="R265" s="194"/>
      <c r="S265" s="194"/>
      <c r="T265" s="194"/>
      <c r="U265" s="194"/>
      <c r="V265" s="194"/>
      <c r="W265" s="194"/>
      <c r="X265" s="194"/>
      <c r="Y265" s="194"/>
      <c r="Z265" s="194"/>
      <c r="AA265" s="194"/>
      <c r="AB265" s="194"/>
      <c r="AC265" s="194"/>
      <c r="AD265" s="194"/>
    </row>
    <row r="266" spans="17:30" x14ac:dyDescent="0.3">
      <c r="Q266" s="194"/>
      <c r="R266" s="194"/>
      <c r="S266" s="194"/>
      <c r="T266" s="194"/>
      <c r="U266" s="194"/>
      <c r="V266" s="194"/>
      <c r="W266" s="194"/>
      <c r="X266" s="194"/>
      <c r="Y266" s="194"/>
      <c r="Z266" s="194"/>
      <c r="AA266" s="194"/>
      <c r="AB266" s="194"/>
      <c r="AC266" s="194"/>
      <c r="AD266" s="194"/>
    </row>
    <row r="267" spans="17:30" x14ac:dyDescent="0.3">
      <c r="Q267" s="194"/>
      <c r="R267" s="194"/>
      <c r="S267" s="194"/>
      <c r="T267" s="194"/>
      <c r="U267" s="194"/>
      <c r="V267" s="194"/>
      <c r="W267" s="194"/>
      <c r="X267" s="194"/>
      <c r="Y267" s="194"/>
      <c r="Z267" s="194"/>
      <c r="AA267" s="194"/>
      <c r="AB267" s="194"/>
      <c r="AC267" s="194"/>
      <c r="AD267" s="194"/>
    </row>
    <row r="268" spans="17:30" x14ac:dyDescent="0.3">
      <c r="Q268" s="194"/>
      <c r="R268" s="194"/>
      <c r="S268" s="194"/>
      <c r="T268" s="194"/>
      <c r="U268" s="194"/>
      <c r="V268" s="194"/>
      <c r="W268" s="194"/>
      <c r="X268" s="194"/>
      <c r="Y268" s="194"/>
      <c r="Z268" s="194"/>
      <c r="AA268" s="194"/>
      <c r="AB268" s="194"/>
      <c r="AC268" s="194"/>
      <c r="AD268" s="194"/>
    </row>
    <row r="269" spans="17:30" x14ac:dyDescent="0.3">
      <c r="Q269" s="194"/>
      <c r="R269" s="194"/>
      <c r="S269" s="194"/>
      <c r="T269" s="194"/>
      <c r="U269" s="194"/>
      <c r="V269" s="194"/>
      <c r="W269" s="194"/>
      <c r="X269" s="194"/>
      <c r="Y269" s="194"/>
      <c r="Z269" s="194"/>
      <c r="AA269" s="194"/>
      <c r="AB269" s="194"/>
      <c r="AC269" s="194"/>
      <c r="AD269" s="194"/>
    </row>
    <row r="270" spans="17:30" x14ac:dyDescent="0.3">
      <c r="Q270" s="194"/>
      <c r="R270" s="194"/>
      <c r="S270" s="194"/>
      <c r="T270" s="194"/>
      <c r="U270" s="194"/>
      <c r="V270" s="194"/>
      <c r="W270" s="194"/>
      <c r="X270" s="194"/>
      <c r="Y270" s="194"/>
      <c r="Z270" s="194"/>
      <c r="AA270" s="194"/>
      <c r="AB270" s="194"/>
      <c r="AC270" s="194"/>
      <c r="AD270" s="194"/>
    </row>
    <row r="271" spans="17:30" x14ac:dyDescent="0.3">
      <c r="Q271" s="194"/>
      <c r="R271" s="194"/>
      <c r="S271" s="194"/>
      <c r="T271" s="194"/>
      <c r="U271" s="194"/>
      <c r="V271" s="194"/>
      <c r="W271" s="194"/>
      <c r="X271" s="194"/>
      <c r="Y271" s="194"/>
      <c r="Z271" s="194"/>
      <c r="AA271" s="194"/>
      <c r="AB271" s="194"/>
      <c r="AC271" s="194"/>
      <c r="AD271" s="194"/>
    </row>
    <row r="272" spans="17:30" x14ac:dyDescent="0.3">
      <c r="Q272" s="194"/>
      <c r="R272" s="194"/>
      <c r="S272" s="194"/>
      <c r="T272" s="194"/>
      <c r="U272" s="194"/>
      <c r="V272" s="194"/>
      <c r="W272" s="194"/>
      <c r="X272" s="194"/>
      <c r="Y272" s="194"/>
      <c r="Z272" s="194"/>
      <c r="AA272" s="194"/>
      <c r="AB272" s="194"/>
      <c r="AC272" s="194"/>
      <c r="AD272" s="194"/>
    </row>
    <row r="273" spans="17:30" x14ac:dyDescent="0.3">
      <c r="Q273" s="194"/>
      <c r="R273" s="194"/>
      <c r="S273" s="194"/>
      <c r="T273" s="194"/>
      <c r="U273" s="194"/>
      <c r="V273" s="194"/>
      <c r="W273" s="194"/>
      <c r="X273" s="194"/>
      <c r="Y273" s="194"/>
      <c r="Z273" s="194"/>
      <c r="AA273" s="194"/>
      <c r="AB273" s="194"/>
      <c r="AC273" s="194"/>
      <c r="AD273" s="194"/>
    </row>
    <row r="274" spans="17:30" x14ac:dyDescent="0.3">
      <c r="Q274" s="194"/>
      <c r="R274" s="194"/>
      <c r="S274" s="194"/>
      <c r="T274" s="194"/>
      <c r="U274" s="194"/>
      <c r="V274" s="194"/>
      <c r="W274" s="194"/>
      <c r="X274" s="194"/>
      <c r="Y274" s="194"/>
      <c r="Z274" s="194"/>
      <c r="AA274" s="194"/>
      <c r="AB274" s="194"/>
      <c r="AC274" s="194"/>
      <c r="AD274" s="194"/>
    </row>
    <row r="275" spans="17:30" x14ac:dyDescent="0.3">
      <c r="Q275" s="194"/>
      <c r="R275" s="194"/>
      <c r="S275" s="194"/>
      <c r="T275" s="194"/>
      <c r="U275" s="194"/>
      <c r="V275" s="194"/>
      <c r="W275" s="194"/>
      <c r="X275" s="194"/>
      <c r="Y275" s="194"/>
      <c r="Z275" s="194"/>
      <c r="AA275" s="194"/>
      <c r="AB275" s="194"/>
      <c r="AC275" s="194"/>
      <c r="AD275" s="194"/>
    </row>
    <row r="276" spans="17:30" x14ac:dyDescent="0.3">
      <c r="Q276" s="194"/>
      <c r="R276" s="194"/>
      <c r="S276" s="194"/>
      <c r="T276" s="194"/>
      <c r="U276" s="194"/>
      <c r="V276" s="194"/>
      <c r="W276" s="194"/>
      <c r="X276" s="194"/>
      <c r="Y276" s="194"/>
      <c r="Z276" s="194"/>
      <c r="AA276" s="194"/>
      <c r="AB276" s="194"/>
      <c r="AC276" s="194"/>
      <c r="AD276" s="194"/>
    </row>
    <row r="277" spans="17:30" x14ac:dyDescent="0.3">
      <c r="Q277" s="194"/>
      <c r="R277" s="194"/>
      <c r="S277" s="194"/>
      <c r="T277" s="194"/>
      <c r="U277" s="194"/>
      <c r="V277" s="194"/>
      <c r="W277" s="194"/>
      <c r="X277" s="194"/>
      <c r="Y277" s="194"/>
      <c r="Z277" s="194"/>
      <c r="AA277" s="194"/>
      <c r="AB277" s="194"/>
      <c r="AC277" s="194"/>
      <c r="AD277" s="194"/>
    </row>
    <row r="278" spans="17:30" x14ac:dyDescent="0.3">
      <c r="Q278" s="194"/>
      <c r="R278" s="194"/>
      <c r="S278" s="194"/>
      <c r="T278" s="194"/>
      <c r="U278" s="194"/>
      <c r="V278" s="194"/>
      <c r="W278" s="194"/>
      <c r="X278" s="194"/>
      <c r="Y278" s="194"/>
      <c r="Z278" s="194"/>
      <c r="AA278" s="194"/>
      <c r="AB278" s="194"/>
      <c r="AC278" s="194"/>
      <c r="AD278" s="194"/>
    </row>
    <row r="279" spans="17:30" x14ac:dyDescent="0.3">
      <c r="Q279" s="194"/>
      <c r="R279" s="194"/>
      <c r="S279" s="194"/>
      <c r="T279" s="194"/>
      <c r="U279" s="194"/>
      <c r="V279" s="194"/>
      <c r="W279" s="194"/>
      <c r="X279" s="194"/>
      <c r="Y279" s="194"/>
      <c r="Z279" s="194"/>
      <c r="AA279" s="194"/>
      <c r="AB279" s="194"/>
      <c r="AC279" s="194"/>
      <c r="AD279" s="194"/>
    </row>
    <row r="280" spans="17:30" x14ac:dyDescent="0.3">
      <c r="Q280" s="194"/>
      <c r="R280" s="194"/>
      <c r="S280" s="194"/>
      <c r="T280" s="194"/>
      <c r="U280" s="194"/>
      <c r="V280" s="194"/>
      <c r="W280" s="194"/>
      <c r="X280" s="194"/>
      <c r="Y280" s="194"/>
      <c r="Z280" s="194"/>
      <c r="AA280" s="194"/>
      <c r="AB280" s="194"/>
      <c r="AC280" s="194"/>
      <c r="AD280" s="194"/>
    </row>
    <row r="281" spans="17:30" x14ac:dyDescent="0.3">
      <c r="Q281" s="194"/>
      <c r="R281" s="194"/>
      <c r="S281" s="194"/>
      <c r="T281" s="194"/>
      <c r="U281" s="194"/>
      <c r="V281" s="194"/>
      <c r="W281" s="194"/>
      <c r="X281" s="194"/>
      <c r="Y281" s="194"/>
      <c r="Z281" s="194"/>
      <c r="AA281" s="194"/>
      <c r="AB281" s="194"/>
      <c r="AC281" s="194"/>
      <c r="AD281" s="194"/>
    </row>
    <row r="282" spans="17:30" x14ac:dyDescent="0.3">
      <c r="Q282" s="194"/>
      <c r="R282" s="194"/>
      <c r="S282" s="194"/>
      <c r="T282" s="194"/>
      <c r="U282" s="194"/>
      <c r="V282" s="194"/>
      <c r="W282" s="194"/>
      <c r="X282" s="194"/>
      <c r="Y282" s="194"/>
      <c r="Z282" s="194"/>
      <c r="AA282" s="194"/>
      <c r="AB282" s="194"/>
      <c r="AC282" s="194"/>
      <c r="AD282" s="194"/>
    </row>
    <row r="283" spans="17:30" x14ac:dyDescent="0.3">
      <c r="Q283" s="194"/>
      <c r="R283" s="194"/>
      <c r="S283" s="194"/>
      <c r="T283" s="194"/>
      <c r="U283" s="194"/>
      <c r="V283" s="194"/>
      <c r="W283" s="194"/>
      <c r="X283" s="194"/>
      <c r="Y283" s="194"/>
      <c r="Z283" s="194"/>
      <c r="AA283" s="194"/>
      <c r="AB283" s="194"/>
      <c r="AC283" s="194"/>
      <c r="AD283" s="194"/>
    </row>
    <row r="284" spans="17:30" x14ac:dyDescent="0.3">
      <c r="Q284" s="194"/>
      <c r="R284" s="194"/>
      <c r="S284" s="194"/>
      <c r="T284" s="194"/>
      <c r="U284" s="194"/>
      <c r="V284" s="194"/>
      <c r="W284" s="194"/>
      <c r="X284" s="194"/>
      <c r="Y284" s="194"/>
      <c r="Z284" s="194"/>
      <c r="AA284" s="194"/>
      <c r="AB284" s="194"/>
      <c r="AC284" s="194"/>
      <c r="AD284" s="194"/>
    </row>
    <row r="285" spans="17:30" x14ac:dyDescent="0.3">
      <c r="Q285" s="194"/>
      <c r="R285" s="194"/>
      <c r="S285" s="194"/>
      <c r="T285" s="194"/>
      <c r="U285" s="194"/>
      <c r="V285" s="194"/>
      <c r="W285" s="194"/>
      <c r="X285" s="194"/>
      <c r="Y285" s="194"/>
      <c r="Z285" s="194"/>
      <c r="AA285" s="194"/>
      <c r="AB285" s="194"/>
      <c r="AC285" s="194"/>
      <c r="AD285" s="194"/>
    </row>
    <row r="286" spans="17:30" x14ac:dyDescent="0.3">
      <c r="Q286" s="194"/>
      <c r="R286" s="194"/>
      <c r="S286" s="194"/>
      <c r="T286" s="194"/>
      <c r="U286" s="194"/>
      <c r="V286" s="194"/>
      <c r="W286" s="194"/>
      <c r="X286" s="194"/>
      <c r="Y286" s="194"/>
      <c r="Z286" s="194"/>
      <c r="AA286" s="194"/>
      <c r="AB286" s="194"/>
      <c r="AC286" s="194"/>
      <c r="AD286" s="194"/>
    </row>
    <row r="287" spans="17:30" x14ac:dyDescent="0.3">
      <c r="Q287" s="194"/>
      <c r="R287" s="194"/>
      <c r="S287" s="194"/>
      <c r="T287" s="194"/>
      <c r="U287" s="194"/>
      <c r="V287" s="194"/>
      <c r="W287" s="194"/>
      <c r="X287" s="194"/>
      <c r="Y287" s="194"/>
      <c r="Z287" s="194"/>
      <c r="AA287" s="194"/>
      <c r="AB287" s="194"/>
      <c r="AC287" s="194"/>
      <c r="AD287" s="194"/>
    </row>
    <row r="288" spans="17:30" x14ac:dyDescent="0.3">
      <c r="Q288" s="194"/>
      <c r="R288" s="194"/>
      <c r="S288" s="194"/>
      <c r="T288" s="194"/>
      <c r="U288" s="194"/>
      <c r="V288" s="194"/>
      <c r="W288" s="194"/>
      <c r="X288" s="194"/>
      <c r="Y288" s="194"/>
      <c r="Z288" s="194"/>
      <c r="AA288" s="194"/>
      <c r="AB288" s="194"/>
      <c r="AC288" s="194"/>
      <c r="AD288" s="194"/>
    </row>
    <row r="289" spans="17:30" x14ac:dyDescent="0.3">
      <c r="Q289" s="194"/>
      <c r="R289" s="194"/>
      <c r="S289" s="194"/>
      <c r="T289" s="194"/>
      <c r="U289" s="194"/>
      <c r="V289" s="194"/>
      <c r="W289" s="194"/>
      <c r="X289" s="194"/>
      <c r="Y289" s="194"/>
      <c r="Z289" s="194"/>
      <c r="AA289" s="194"/>
      <c r="AB289" s="194"/>
      <c r="AC289" s="194"/>
      <c r="AD289" s="194"/>
    </row>
    <row r="290" spans="17:30" x14ac:dyDescent="0.3">
      <c r="Q290" s="194"/>
      <c r="R290" s="194"/>
      <c r="S290" s="194"/>
      <c r="T290" s="194"/>
      <c r="U290" s="194"/>
      <c r="V290" s="194"/>
      <c r="W290" s="194"/>
      <c r="X290" s="194"/>
      <c r="Y290" s="194"/>
      <c r="Z290" s="194"/>
      <c r="AA290" s="194"/>
      <c r="AB290" s="194"/>
      <c r="AC290" s="194"/>
      <c r="AD290" s="194"/>
    </row>
    <row r="291" spans="17:30" x14ac:dyDescent="0.3">
      <c r="Q291" s="194"/>
      <c r="R291" s="194"/>
      <c r="S291" s="194"/>
      <c r="T291" s="194"/>
      <c r="U291" s="194"/>
      <c r="V291" s="194"/>
      <c r="W291" s="194"/>
      <c r="X291" s="194"/>
      <c r="Y291" s="194"/>
      <c r="Z291" s="194"/>
      <c r="AA291" s="194"/>
      <c r="AB291" s="194"/>
      <c r="AC291" s="194"/>
      <c r="AD291" s="194"/>
    </row>
    <row r="292" spans="17:30" x14ac:dyDescent="0.3">
      <c r="Q292" s="194"/>
      <c r="R292" s="194"/>
      <c r="S292" s="194"/>
      <c r="T292" s="194"/>
      <c r="U292" s="194"/>
      <c r="V292" s="194"/>
      <c r="W292" s="194"/>
      <c r="X292" s="194"/>
      <c r="Y292" s="194"/>
      <c r="Z292" s="194"/>
      <c r="AA292" s="194"/>
      <c r="AB292" s="194"/>
      <c r="AC292" s="194"/>
      <c r="AD292" s="194"/>
    </row>
    <row r="293" spans="17:30" x14ac:dyDescent="0.3">
      <c r="Q293" s="194"/>
      <c r="R293" s="194"/>
      <c r="S293" s="194"/>
      <c r="T293" s="194"/>
      <c r="U293" s="194"/>
      <c r="V293" s="194"/>
      <c r="W293" s="194"/>
      <c r="X293" s="194"/>
      <c r="Y293" s="194"/>
      <c r="Z293" s="194"/>
      <c r="AA293" s="194"/>
      <c r="AB293" s="194"/>
      <c r="AC293" s="194"/>
      <c r="AD293" s="194"/>
    </row>
    <row r="294" spans="17:30" x14ac:dyDescent="0.3">
      <c r="Q294" s="194"/>
      <c r="R294" s="194"/>
      <c r="S294" s="194"/>
      <c r="T294" s="194"/>
      <c r="U294" s="194"/>
      <c r="V294" s="194"/>
      <c r="W294" s="194"/>
      <c r="X294" s="194"/>
      <c r="Y294" s="194"/>
      <c r="Z294" s="194"/>
      <c r="AA294" s="194"/>
      <c r="AB294" s="194"/>
      <c r="AC294" s="194"/>
      <c r="AD294" s="194"/>
    </row>
    <row r="295" spans="17:30" x14ac:dyDescent="0.3">
      <c r="Q295" s="194"/>
      <c r="R295" s="194"/>
      <c r="S295" s="194"/>
      <c r="T295" s="194"/>
      <c r="U295" s="194"/>
      <c r="V295" s="194"/>
      <c r="W295" s="194"/>
      <c r="X295" s="194"/>
      <c r="Y295" s="194"/>
      <c r="Z295" s="194"/>
      <c r="AA295" s="194"/>
      <c r="AB295" s="194"/>
      <c r="AC295" s="194"/>
      <c r="AD295" s="194"/>
    </row>
    <row r="296" spans="17:30" x14ac:dyDescent="0.3">
      <c r="Q296" s="194"/>
      <c r="R296" s="194"/>
      <c r="S296" s="194"/>
      <c r="T296" s="194"/>
      <c r="U296" s="194"/>
      <c r="V296" s="194"/>
      <c r="W296" s="194"/>
      <c r="X296" s="194"/>
      <c r="Y296" s="194"/>
      <c r="Z296" s="194"/>
      <c r="AA296" s="194"/>
      <c r="AB296" s="194"/>
      <c r="AC296" s="194"/>
      <c r="AD296" s="194"/>
    </row>
    <row r="297" spans="17:30" x14ac:dyDescent="0.3">
      <c r="Q297" s="194"/>
      <c r="R297" s="194"/>
      <c r="S297" s="194"/>
      <c r="T297" s="194"/>
      <c r="U297" s="194"/>
      <c r="V297" s="194"/>
      <c r="W297" s="194"/>
      <c r="X297" s="194"/>
      <c r="Y297" s="194"/>
      <c r="Z297" s="194"/>
      <c r="AA297" s="194"/>
      <c r="AB297" s="194"/>
      <c r="AC297" s="194"/>
      <c r="AD297" s="194"/>
    </row>
    <row r="298" spans="17:30" x14ac:dyDescent="0.3">
      <c r="Q298" s="194"/>
      <c r="R298" s="194"/>
      <c r="S298" s="194"/>
      <c r="T298" s="194"/>
      <c r="U298" s="194"/>
      <c r="V298" s="194"/>
      <c r="W298" s="194"/>
      <c r="X298" s="194"/>
      <c r="Y298" s="194"/>
      <c r="Z298" s="194"/>
      <c r="AA298" s="194"/>
      <c r="AB298" s="194"/>
      <c r="AC298" s="194"/>
      <c r="AD298" s="194"/>
    </row>
    <row r="299" spans="17:30" x14ac:dyDescent="0.3">
      <c r="Q299" s="194"/>
      <c r="R299" s="194"/>
      <c r="S299" s="194"/>
      <c r="T299" s="194"/>
      <c r="U299" s="194"/>
      <c r="V299" s="194"/>
      <c r="W299" s="194"/>
      <c r="X299" s="194"/>
      <c r="Y299" s="194"/>
      <c r="Z299" s="194"/>
      <c r="AA299" s="194"/>
      <c r="AB299" s="194"/>
      <c r="AC299" s="194"/>
      <c r="AD299" s="194"/>
    </row>
    <row r="300" spans="17:30" x14ac:dyDescent="0.3">
      <c r="Q300" s="194"/>
      <c r="R300" s="194"/>
      <c r="S300" s="194"/>
      <c r="T300" s="194"/>
      <c r="U300" s="194"/>
      <c r="V300" s="194"/>
      <c r="W300" s="194"/>
      <c r="X300" s="194"/>
      <c r="Y300" s="194"/>
      <c r="Z300" s="194"/>
      <c r="AA300" s="194"/>
      <c r="AB300" s="194"/>
      <c r="AC300" s="194"/>
      <c r="AD300" s="194"/>
    </row>
    <row r="301" spans="17:30" x14ac:dyDescent="0.3">
      <c r="Q301" s="194"/>
      <c r="R301" s="194"/>
      <c r="S301" s="194"/>
      <c r="T301" s="194"/>
      <c r="U301" s="194"/>
      <c r="V301" s="194"/>
      <c r="W301" s="194"/>
      <c r="X301" s="194"/>
      <c r="Y301" s="194"/>
      <c r="Z301" s="194"/>
      <c r="AA301" s="194"/>
      <c r="AB301" s="194"/>
      <c r="AC301" s="194"/>
      <c r="AD301" s="194"/>
    </row>
    <row r="302" spans="17:30" x14ac:dyDescent="0.3">
      <c r="Q302" s="194"/>
      <c r="R302" s="194"/>
      <c r="S302" s="194"/>
      <c r="T302" s="194"/>
      <c r="U302" s="194"/>
      <c r="V302" s="194"/>
      <c r="W302" s="194"/>
      <c r="X302" s="194"/>
      <c r="Y302" s="194"/>
      <c r="Z302" s="194"/>
      <c r="AA302" s="194"/>
      <c r="AB302" s="194"/>
      <c r="AC302" s="194"/>
      <c r="AD302" s="194"/>
    </row>
    <row r="303" spans="17:30" x14ac:dyDescent="0.3">
      <c r="Q303" s="194"/>
      <c r="R303" s="194"/>
      <c r="S303" s="194"/>
      <c r="T303" s="194"/>
      <c r="U303" s="194"/>
      <c r="V303" s="194"/>
      <c r="W303" s="194"/>
      <c r="X303" s="194"/>
      <c r="Y303" s="194"/>
      <c r="Z303" s="194"/>
      <c r="AA303" s="194"/>
      <c r="AB303" s="194"/>
      <c r="AC303" s="194"/>
      <c r="AD303" s="194"/>
    </row>
  </sheetData>
  <mergeCells count="123">
    <mergeCell ref="A80:A81"/>
    <mergeCell ref="B80:B81"/>
    <mergeCell ref="A82:A83"/>
    <mergeCell ref="B82:B83"/>
    <mergeCell ref="A74:A75"/>
    <mergeCell ref="B74:B75"/>
    <mergeCell ref="A76:A77"/>
    <mergeCell ref="B76:B77"/>
    <mergeCell ref="A78:A79"/>
    <mergeCell ref="B78:B79"/>
    <mergeCell ref="A68:A69"/>
    <mergeCell ref="B68:B69"/>
    <mergeCell ref="A70:A71"/>
    <mergeCell ref="B70:B71"/>
    <mergeCell ref="A72:A73"/>
    <mergeCell ref="B72:B73"/>
    <mergeCell ref="A62:A63"/>
    <mergeCell ref="B62:B63"/>
    <mergeCell ref="C62:P62"/>
    <mergeCell ref="A64:A65"/>
    <mergeCell ref="B64:B65"/>
    <mergeCell ref="A66:A67"/>
    <mergeCell ref="B66:B67"/>
    <mergeCell ref="B46:B47"/>
    <mergeCell ref="B48:B49"/>
    <mergeCell ref="B50:B51"/>
    <mergeCell ref="B52:B53"/>
    <mergeCell ref="B54:B55"/>
    <mergeCell ref="B44:B45"/>
    <mergeCell ref="A44:A45"/>
    <mergeCell ref="Q44:AD45"/>
    <mergeCell ref="A40:A41"/>
    <mergeCell ref="Q40:AD41"/>
    <mergeCell ref="A42:A43"/>
    <mergeCell ref="Q42:AD43"/>
    <mergeCell ref="B40:B41"/>
    <mergeCell ref="B42:B43"/>
    <mergeCell ref="A46:A47"/>
    <mergeCell ref="Q46:AD47"/>
    <mergeCell ref="A48:A49"/>
    <mergeCell ref="Q48:AD49"/>
    <mergeCell ref="A36:A37"/>
    <mergeCell ref="B36:B37"/>
    <mergeCell ref="C36:P36"/>
    <mergeCell ref="Q36:AD36"/>
    <mergeCell ref="Q37:AD37"/>
    <mergeCell ref="A38:A39"/>
    <mergeCell ref="Q38:AD39"/>
    <mergeCell ref="B38:B39"/>
    <mergeCell ref="W33:Z33"/>
    <mergeCell ref="AA33:AD33"/>
    <mergeCell ref="A34:A35"/>
    <mergeCell ref="B34:B35"/>
    <mergeCell ref="Q34:S35"/>
    <mergeCell ref="T34:V35"/>
    <mergeCell ref="W34:Z35"/>
    <mergeCell ref="AA34:AD35"/>
    <mergeCell ref="B30:C30"/>
    <mergeCell ref="Q30:AD30"/>
    <mergeCell ref="A31:AD31"/>
    <mergeCell ref="A32:A33"/>
    <mergeCell ref="B32:B33"/>
    <mergeCell ref="C32:C33"/>
    <mergeCell ref="D32:P32"/>
    <mergeCell ref="Q32:AD32"/>
    <mergeCell ref="Q33:S33"/>
    <mergeCell ref="T33:V33"/>
    <mergeCell ref="A24:B24"/>
    <mergeCell ref="A25:B25"/>
    <mergeCell ref="A27:AD27"/>
    <mergeCell ref="A28:A29"/>
    <mergeCell ref="B28:C29"/>
    <mergeCell ref="D28:O28"/>
    <mergeCell ref="P28:P29"/>
    <mergeCell ref="Q28:AD29"/>
    <mergeCell ref="AC17:AD17"/>
    <mergeCell ref="A19:AD19"/>
    <mergeCell ref="C20:P20"/>
    <mergeCell ref="Q20:AD20"/>
    <mergeCell ref="A22:B22"/>
    <mergeCell ref="A23:B23"/>
    <mergeCell ref="C16:AB16"/>
    <mergeCell ref="A17:B17"/>
    <mergeCell ref="C17:Q17"/>
    <mergeCell ref="R17:V17"/>
    <mergeCell ref="W17:X17"/>
    <mergeCell ref="Y17:AB17"/>
    <mergeCell ref="A15:B15"/>
    <mergeCell ref="C15:K15"/>
    <mergeCell ref="L15:Q15"/>
    <mergeCell ref="R15:X15"/>
    <mergeCell ref="Y15:Z15"/>
    <mergeCell ref="AA15:AD15"/>
    <mergeCell ref="M9:N9"/>
    <mergeCell ref="O9:P9"/>
    <mergeCell ref="A11:B13"/>
    <mergeCell ref="C11:AD13"/>
    <mergeCell ref="A7:B9"/>
    <mergeCell ref="C7:C9"/>
    <mergeCell ref="D7:H9"/>
    <mergeCell ref="A1:A4"/>
    <mergeCell ref="B1:AA1"/>
    <mergeCell ref="AB1:AD1"/>
    <mergeCell ref="B2:AA2"/>
    <mergeCell ref="AB2:AD2"/>
    <mergeCell ref="B3:AA4"/>
    <mergeCell ref="AB3:AD3"/>
    <mergeCell ref="AB4:AD4"/>
    <mergeCell ref="I7:J9"/>
    <mergeCell ref="K7:L9"/>
    <mergeCell ref="M7:N7"/>
    <mergeCell ref="O7:P7"/>
    <mergeCell ref="M8:N8"/>
    <mergeCell ref="O8:P8"/>
    <mergeCell ref="A56:A57"/>
    <mergeCell ref="Q56:AD57"/>
    <mergeCell ref="B56:B57"/>
    <mergeCell ref="A50:A51"/>
    <mergeCell ref="Q50:AD51"/>
    <mergeCell ref="A52:A53"/>
    <mergeCell ref="Q52:AD53"/>
    <mergeCell ref="A54:A55"/>
    <mergeCell ref="Q54:AD55"/>
  </mergeCells>
  <phoneticPr fontId="66" type="noConversion"/>
  <dataValidations count="3">
    <dataValidation type="list" allowBlank="1" showInputMessage="1" showErrorMessage="1" sqref="C7:C9" xr:uid="{00000000-0002-0000-0200-000000000000}">
      <formula1>$C$21:$N$21</formula1>
    </dataValidation>
    <dataValidation type="textLength" operator="lessThanOrEqual" allowBlank="1" showInputMessage="1" showErrorMessage="1" errorTitle="Máximo 2.000 caracteres" error="Máximo 2.000 caracteres" promptTitle="2.000 caracteres" sqref="Q30:AD30" xr:uid="{00000000-0002-0000-0200-000001000000}">
      <formula1>2000</formula1>
    </dataValidation>
    <dataValidation type="textLength" operator="lessThanOrEqual" allowBlank="1" showInputMessage="1" showErrorMessage="1" errorTitle="Máximo 2.000 caracteres" error="Máximo 2.000 caracteres" sqref="AA34 Q34 W34 Q38:AD49" xr:uid="{00000000-0002-0000-0200-000002000000}">
      <formula1>2000</formula1>
    </dataValidation>
  </dataValidations>
  <printOptions horizontalCentered="1"/>
  <pageMargins left="0.19685039370078741" right="0.19685039370078741" top="0.19685039370078741" bottom="0.19685039370078741" header="0" footer="0"/>
  <pageSetup paperSize="9" scale="19" orientation="landscape" r:id="rId1"/>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7" tint="0.39997558519241921"/>
    <pageSetUpPr fitToPage="1"/>
  </sheetPr>
  <dimension ref="A1:AO303"/>
  <sheetViews>
    <sheetView showGridLines="0" view="pageBreakPreview" topLeftCell="Q21" zoomScale="60" zoomScaleNormal="60" workbookViewId="0">
      <selection activeCell="Z26" sqref="Z26"/>
    </sheetView>
  </sheetViews>
  <sheetFormatPr baseColWidth="10" defaultColWidth="10.6640625" defaultRowHeight="14.4" x14ac:dyDescent="0.3"/>
  <cols>
    <col min="1" max="1" width="38.44140625" style="50" customWidth="1"/>
    <col min="2" max="2" width="15.44140625" style="50" customWidth="1"/>
    <col min="3" max="3" width="20.6640625" style="50" customWidth="1"/>
    <col min="4" max="4" width="28" style="50" customWidth="1"/>
    <col min="5" max="14" width="20.6640625" style="50" customWidth="1"/>
    <col min="15" max="15" width="18.44140625" style="50" customWidth="1"/>
    <col min="16" max="16" width="18.109375" style="50" customWidth="1"/>
    <col min="17" max="17" width="21.33203125" style="50" customWidth="1"/>
    <col min="18" max="18" width="22.44140625" style="50" customWidth="1"/>
    <col min="19" max="21" width="18.109375" style="50" customWidth="1"/>
    <col min="22" max="22" width="23.5546875" style="50" customWidth="1"/>
    <col min="23" max="24" width="20.6640625" style="50" customWidth="1"/>
    <col min="25" max="25" width="20.44140625" style="50" customWidth="1"/>
    <col min="26" max="26" width="19.5546875" style="50" customWidth="1"/>
    <col min="27" max="27" width="18.109375" style="50" customWidth="1"/>
    <col min="28" max="28" width="22.6640625" style="50" customWidth="1"/>
    <col min="29" max="29" width="20.88671875" style="50" customWidth="1"/>
    <col min="30" max="30" width="19.44140625" style="50" customWidth="1"/>
    <col min="31" max="31" width="6.33203125" style="50" bestFit="1" customWidth="1"/>
    <col min="32" max="32" width="22.6640625" style="50" customWidth="1"/>
    <col min="33" max="33" width="18.44140625" style="50" bestFit="1" customWidth="1"/>
    <col min="34" max="34" width="8.44140625" style="50" customWidth="1"/>
    <col min="35" max="35" width="18.44140625" style="50" bestFit="1" customWidth="1"/>
    <col min="36" max="36" width="5.6640625" style="50" customWidth="1"/>
    <col min="37" max="37" width="18.44140625" style="50" bestFit="1" customWidth="1"/>
    <col min="38" max="38" width="4.6640625" style="50" customWidth="1"/>
    <col min="39" max="39" width="23" style="50" bestFit="1" customWidth="1"/>
    <col min="40" max="40" width="10.6640625" style="50"/>
    <col min="41" max="41" width="18.44140625" style="50" bestFit="1" customWidth="1"/>
    <col min="42" max="42" width="16.109375" style="50" customWidth="1"/>
    <col min="43" max="16384" width="10.6640625" style="50"/>
  </cols>
  <sheetData>
    <row r="1" spans="1:33" ht="32.25" customHeight="1" thickBot="1" x14ac:dyDescent="0.35">
      <c r="A1" s="503"/>
      <c r="B1" s="506" t="s">
        <v>0</v>
      </c>
      <c r="C1" s="507"/>
      <c r="D1" s="507"/>
      <c r="E1" s="507"/>
      <c r="F1" s="507"/>
      <c r="G1" s="507"/>
      <c r="H1" s="507"/>
      <c r="I1" s="507"/>
      <c r="J1" s="507"/>
      <c r="K1" s="507"/>
      <c r="L1" s="507"/>
      <c r="M1" s="507"/>
      <c r="N1" s="507"/>
      <c r="O1" s="507"/>
      <c r="P1" s="507"/>
      <c r="Q1" s="507"/>
      <c r="R1" s="507"/>
      <c r="S1" s="507"/>
      <c r="T1" s="507"/>
      <c r="U1" s="507"/>
      <c r="V1" s="507"/>
      <c r="W1" s="507"/>
      <c r="X1" s="507"/>
      <c r="Y1" s="507"/>
      <c r="Z1" s="507"/>
      <c r="AA1" s="508"/>
      <c r="AB1" s="509" t="s">
        <v>1</v>
      </c>
      <c r="AC1" s="510"/>
      <c r="AD1" s="511"/>
    </row>
    <row r="2" spans="1:33" ht="30.75" customHeight="1" thickBot="1" x14ac:dyDescent="0.35">
      <c r="A2" s="504"/>
      <c r="B2" s="506" t="s">
        <v>2</v>
      </c>
      <c r="C2" s="507"/>
      <c r="D2" s="507"/>
      <c r="E2" s="507"/>
      <c r="F2" s="507"/>
      <c r="G2" s="507"/>
      <c r="H2" s="507"/>
      <c r="I2" s="507"/>
      <c r="J2" s="507"/>
      <c r="K2" s="507"/>
      <c r="L2" s="507"/>
      <c r="M2" s="507"/>
      <c r="N2" s="507"/>
      <c r="O2" s="507"/>
      <c r="P2" s="507"/>
      <c r="Q2" s="507"/>
      <c r="R2" s="507"/>
      <c r="S2" s="507"/>
      <c r="T2" s="507"/>
      <c r="U2" s="507"/>
      <c r="V2" s="507"/>
      <c r="W2" s="507"/>
      <c r="X2" s="507"/>
      <c r="Y2" s="507"/>
      <c r="Z2" s="507"/>
      <c r="AA2" s="508"/>
      <c r="AB2" s="512" t="s">
        <v>3</v>
      </c>
      <c r="AC2" s="513"/>
      <c r="AD2" s="514"/>
    </row>
    <row r="3" spans="1:33" ht="24" customHeight="1" x14ac:dyDescent="0.3">
      <c r="A3" s="504"/>
      <c r="B3" s="764" t="s">
        <v>4</v>
      </c>
      <c r="C3" s="460"/>
      <c r="D3" s="460"/>
      <c r="E3" s="460"/>
      <c r="F3" s="460"/>
      <c r="G3" s="460"/>
      <c r="H3" s="460"/>
      <c r="I3" s="460"/>
      <c r="J3" s="460"/>
      <c r="K3" s="460"/>
      <c r="L3" s="460"/>
      <c r="M3" s="460"/>
      <c r="N3" s="460"/>
      <c r="O3" s="460"/>
      <c r="P3" s="460"/>
      <c r="Q3" s="460"/>
      <c r="R3" s="460"/>
      <c r="S3" s="460"/>
      <c r="T3" s="460"/>
      <c r="U3" s="460"/>
      <c r="V3" s="460"/>
      <c r="W3" s="460"/>
      <c r="X3" s="460"/>
      <c r="Y3" s="460"/>
      <c r="Z3" s="460"/>
      <c r="AA3" s="461"/>
      <c r="AB3" s="512" t="s">
        <v>5</v>
      </c>
      <c r="AC3" s="513"/>
      <c r="AD3" s="514"/>
    </row>
    <row r="4" spans="1:33" ht="21.75" customHeight="1" thickBot="1" x14ac:dyDescent="0.35">
      <c r="A4" s="505"/>
      <c r="B4" s="765"/>
      <c r="C4" s="766"/>
      <c r="D4" s="766"/>
      <c r="E4" s="766"/>
      <c r="F4" s="766"/>
      <c r="G4" s="766"/>
      <c r="H4" s="766"/>
      <c r="I4" s="766"/>
      <c r="J4" s="766"/>
      <c r="K4" s="766"/>
      <c r="L4" s="766"/>
      <c r="M4" s="766"/>
      <c r="N4" s="766"/>
      <c r="O4" s="766"/>
      <c r="P4" s="766"/>
      <c r="Q4" s="766"/>
      <c r="R4" s="766"/>
      <c r="S4" s="766"/>
      <c r="T4" s="766"/>
      <c r="U4" s="766"/>
      <c r="V4" s="766"/>
      <c r="W4" s="766"/>
      <c r="X4" s="766"/>
      <c r="Y4" s="766"/>
      <c r="Z4" s="766"/>
      <c r="AA4" s="767"/>
      <c r="AB4" s="524" t="s">
        <v>6</v>
      </c>
      <c r="AC4" s="525"/>
      <c r="AD4" s="526"/>
    </row>
    <row r="5" spans="1:33" ht="9" customHeight="1" thickBot="1" x14ac:dyDescent="0.35">
      <c r="A5" s="239"/>
      <c r="B5" s="240"/>
      <c r="C5" s="241"/>
      <c r="D5" s="242"/>
      <c r="E5" s="242"/>
      <c r="F5" s="242"/>
      <c r="G5" s="242"/>
      <c r="H5" s="242"/>
      <c r="I5" s="242"/>
      <c r="J5" s="242"/>
      <c r="K5" s="242"/>
      <c r="L5" s="242"/>
      <c r="M5" s="242"/>
      <c r="N5" s="242"/>
      <c r="O5" s="242"/>
      <c r="P5" s="242"/>
      <c r="Q5" s="242"/>
      <c r="R5" s="242"/>
      <c r="S5" s="242"/>
      <c r="T5" s="242"/>
      <c r="U5" s="242"/>
      <c r="V5" s="242"/>
      <c r="W5" s="242"/>
      <c r="X5" s="242"/>
      <c r="Y5" s="242"/>
      <c r="Z5" s="243"/>
      <c r="AA5" s="242"/>
      <c r="AB5" s="244"/>
      <c r="AC5" s="245"/>
      <c r="AD5" s="246"/>
    </row>
    <row r="6" spans="1:33" ht="9" customHeight="1" thickBot="1" x14ac:dyDescent="0.35">
      <c r="A6" s="247"/>
      <c r="B6" s="242"/>
      <c r="C6" s="242"/>
      <c r="D6" s="242"/>
      <c r="E6" s="242"/>
      <c r="F6" s="242"/>
      <c r="G6" s="242"/>
      <c r="H6" s="242"/>
      <c r="I6" s="242"/>
      <c r="J6" s="242"/>
      <c r="K6" s="242"/>
      <c r="L6" s="242"/>
      <c r="M6" s="242"/>
      <c r="N6" s="242"/>
      <c r="O6" s="242"/>
      <c r="P6" s="242"/>
      <c r="Q6" s="242"/>
      <c r="R6" s="242"/>
      <c r="S6" s="242"/>
      <c r="T6" s="242"/>
      <c r="U6" s="242"/>
      <c r="V6" s="242"/>
      <c r="W6" s="242"/>
      <c r="X6" s="242"/>
      <c r="Y6" s="242"/>
      <c r="Z6" s="243"/>
      <c r="AA6" s="242"/>
      <c r="AB6" s="242"/>
      <c r="AC6" s="248"/>
      <c r="AD6" s="249"/>
    </row>
    <row r="7" spans="1:33" ht="15.6" x14ac:dyDescent="0.3">
      <c r="A7" s="467" t="s">
        <v>7</v>
      </c>
      <c r="B7" s="468"/>
      <c r="C7" s="473" t="s">
        <v>38</v>
      </c>
      <c r="D7" s="527" t="s">
        <v>9</v>
      </c>
      <c r="E7" s="528"/>
      <c r="F7" s="528"/>
      <c r="G7" s="528"/>
      <c r="H7" s="529"/>
      <c r="I7" s="536">
        <v>45232</v>
      </c>
      <c r="J7" s="537"/>
      <c r="K7" s="527" t="s">
        <v>10</v>
      </c>
      <c r="L7" s="529"/>
      <c r="M7" s="465" t="s">
        <v>11</v>
      </c>
      <c r="N7" s="466"/>
      <c r="O7" s="768"/>
      <c r="P7" s="769"/>
      <c r="Q7" s="250"/>
      <c r="R7" s="250"/>
      <c r="S7" s="250"/>
      <c r="T7" s="250"/>
      <c r="U7" s="250"/>
      <c r="V7" s="250"/>
      <c r="W7" s="250"/>
      <c r="X7" s="250"/>
      <c r="Y7" s="250"/>
      <c r="Z7" s="251"/>
      <c r="AA7" s="250"/>
      <c r="AB7" s="250"/>
      <c r="AC7" s="252"/>
      <c r="AD7" s="253"/>
      <c r="AE7" s="194"/>
      <c r="AF7" s="194"/>
      <c r="AG7" s="194"/>
    </row>
    <row r="8" spans="1:33" ht="15.6" x14ac:dyDescent="0.3">
      <c r="A8" s="469"/>
      <c r="B8" s="470"/>
      <c r="C8" s="474"/>
      <c r="D8" s="530"/>
      <c r="E8" s="531"/>
      <c r="F8" s="531"/>
      <c r="G8" s="531"/>
      <c r="H8" s="532"/>
      <c r="I8" s="538"/>
      <c r="J8" s="539"/>
      <c r="K8" s="530"/>
      <c r="L8" s="532"/>
      <c r="M8" s="544" t="s">
        <v>12</v>
      </c>
      <c r="N8" s="545"/>
      <c r="O8" s="463"/>
      <c r="P8" s="464"/>
      <c r="Q8" s="250"/>
      <c r="R8" s="250"/>
      <c r="S8" s="250"/>
      <c r="T8" s="250"/>
      <c r="U8" s="250"/>
      <c r="V8" s="250"/>
      <c r="W8" s="250"/>
      <c r="X8" s="250"/>
      <c r="Y8" s="250"/>
      <c r="Z8" s="251"/>
      <c r="AA8" s="250"/>
      <c r="AB8" s="250"/>
      <c r="AC8" s="252"/>
      <c r="AD8" s="253"/>
      <c r="AE8" s="194"/>
      <c r="AF8" s="194"/>
      <c r="AG8" s="194"/>
    </row>
    <row r="9" spans="1:33" ht="16.2" thickBot="1" x14ac:dyDescent="0.35">
      <c r="A9" s="471"/>
      <c r="B9" s="472"/>
      <c r="C9" s="475"/>
      <c r="D9" s="533"/>
      <c r="E9" s="534"/>
      <c r="F9" s="534"/>
      <c r="G9" s="534"/>
      <c r="H9" s="535"/>
      <c r="I9" s="540"/>
      <c r="J9" s="541"/>
      <c r="K9" s="533"/>
      <c r="L9" s="535"/>
      <c r="M9" s="484" t="s">
        <v>13</v>
      </c>
      <c r="N9" s="485"/>
      <c r="O9" s="486" t="s">
        <v>14</v>
      </c>
      <c r="P9" s="487"/>
      <c r="Q9" s="250"/>
      <c r="R9" s="250"/>
      <c r="S9" s="250"/>
      <c r="T9" s="250"/>
      <c r="U9" s="250"/>
      <c r="V9" s="250"/>
      <c r="W9" s="250"/>
      <c r="X9" s="250"/>
      <c r="Y9" s="250"/>
      <c r="Z9" s="251"/>
      <c r="AA9" s="250"/>
      <c r="AB9" s="250"/>
      <c r="AC9" s="252"/>
      <c r="AD9" s="253"/>
      <c r="AE9" s="194"/>
      <c r="AF9" s="194"/>
      <c r="AG9" s="194"/>
    </row>
    <row r="10" spans="1:33" ht="15" customHeight="1" thickBot="1" x14ac:dyDescent="0.35">
      <c r="A10" s="254"/>
      <c r="B10" s="255"/>
      <c r="C10" s="255"/>
      <c r="D10" s="256"/>
      <c r="E10" s="256"/>
      <c r="F10" s="256"/>
      <c r="G10" s="256"/>
      <c r="H10" s="256"/>
      <c r="I10" s="257"/>
      <c r="J10" s="257"/>
      <c r="K10" s="256"/>
      <c r="L10" s="256"/>
      <c r="M10" s="258"/>
      <c r="N10" s="258"/>
      <c r="O10" s="259"/>
      <c r="P10" s="259"/>
      <c r="Q10" s="255"/>
      <c r="R10" s="255"/>
      <c r="S10" s="255"/>
      <c r="T10" s="255"/>
      <c r="U10" s="255"/>
      <c r="V10" s="255"/>
      <c r="W10" s="255"/>
      <c r="X10" s="255"/>
      <c r="Y10" s="255"/>
      <c r="Z10" s="260"/>
      <c r="AA10" s="255"/>
      <c r="AB10" s="255"/>
      <c r="AC10" s="261"/>
      <c r="AD10" s="262"/>
    </row>
    <row r="11" spans="1:33" ht="15" customHeight="1" x14ac:dyDescent="0.3">
      <c r="A11" s="467" t="s">
        <v>15</v>
      </c>
      <c r="B11" s="468"/>
      <c r="C11" s="488" t="s">
        <v>16</v>
      </c>
      <c r="D11" s="489"/>
      <c r="E11" s="489"/>
      <c r="F11" s="489"/>
      <c r="G11" s="489"/>
      <c r="H11" s="489"/>
      <c r="I11" s="489"/>
      <c r="J11" s="489"/>
      <c r="K11" s="489"/>
      <c r="L11" s="489"/>
      <c r="M11" s="489"/>
      <c r="N11" s="489"/>
      <c r="O11" s="489"/>
      <c r="P11" s="489"/>
      <c r="Q11" s="489"/>
      <c r="R11" s="489"/>
      <c r="S11" s="489"/>
      <c r="T11" s="489"/>
      <c r="U11" s="489"/>
      <c r="V11" s="489"/>
      <c r="W11" s="489"/>
      <c r="X11" s="489"/>
      <c r="Y11" s="489"/>
      <c r="Z11" s="489"/>
      <c r="AA11" s="489"/>
      <c r="AB11" s="489"/>
      <c r="AC11" s="489"/>
      <c r="AD11" s="490"/>
    </row>
    <row r="12" spans="1:33" ht="15" customHeight="1" x14ac:dyDescent="0.3">
      <c r="A12" s="469"/>
      <c r="B12" s="470"/>
      <c r="C12" s="491"/>
      <c r="D12" s="492"/>
      <c r="E12" s="492"/>
      <c r="F12" s="492"/>
      <c r="G12" s="492"/>
      <c r="H12" s="492"/>
      <c r="I12" s="492"/>
      <c r="J12" s="492"/>
      <c r="K12" s="492"/>
      <c r="L12" s="492"/>
      <c r="M12" s="492"/>
      <c r="N12" s="492"/>
      <c r="O12" s="492"/>
      <c r="P12" s="492"/>
      <c r="Q12" s="492"/>
      <c r="R12" s="492"/>
      <c r="S12" s="492"/>
      <c r="T12" s="492"/>
      <c r="U12" s="492"/>
      <c r="V12" s="492"/>
      <c r="W12" s="492"/>
      <c r="X12" s="492"/>
      <c r="Y12" s="492"/>
      <c r="Z12" s="492"/>
      <c r="AA12" s="492"/>
      <c r="AB12" s="492"/>
      <c r="AC12" s="492"/>
      <c r="AD12" s="493"/>
    </row>
    <row r="13" spans="1:33" ht="15" customHeight="1" thickBot="1" x14ac:dyDescent="0.35">
      <c r="A13" s="471"/>
      <c r="B13" s="472"/>
      <c r="C13" s="494"/>
      <c r="D13" s="495"/>
      <c r="E13" s="495"/>
      <c r="F13" s="495"/>
      <c r="G13" s="495"/>
      <c r="H13" s="495"/>
      <c r="I13" s="495"/>
      <c r="J13" s="495"/>
      <c r="K13" s="495"/>
      <c r="L13" s="495"/>
      <c r="M13" s="495"/>
      <c r="N13" s="495"/>
      <c r="O13" s="495"/>
      <c r="P13" s="495"/>
      <c r="Q13" s="495"/>
      <c r="R13" s="495"/>
      <c r="S13" s="495"/>
      <c r="T13" s="495"/>
      <c r="U13" s="495"/>
      <c r="V13" s="495"/>
      <c r="W13" s="495"/>
      <c r="X13" s="495"/>
      <c r="Y13" s="495"/>
      <c r="Z13" s="495"/>
      <c r="AA13" s="495"/>
      <c r="AB13" s="495"/>
      <c r="AC13" s="495"/>
      <c r="AD13" s="496"/>
    </row>
    <row r="14" spans="1:33" ht="9" customHeight="1" thickBot="1" x14ac:dyDescent="0.35">
      <c r="A14" s="263"/>
      <c r="B14" s="264"/>
      <c r="C14" s="265"/>
      <c r="D14" s="265"/>
      <c r="E14" s="265"/>
      <c r="F14" s="265"/>
      <c r="G14" s="265"/>
      <c r="H14" s="265"/>
      <c r="I14" s="265"/>
      <c r="J14" s="265"/>
      <c r="K14" s="265"/>
      <c r="L14" s="265"/>
      <c r="M14" s="266"/>
      <c r="N14" s="266"/>
      <c r="O14" s="266"/>
      <c r="P14" s="266"/>
      <c r="Q14" s="266"/>
      <c r="R14" s="267"/>
      <c r="S14" s="267"/>
      <c r="T14" s="267"/>
      <c r="U14" s="267"/>
      <c r="V14" s="267"/>
      <c r="W14" s="267"/>
      <c r="X14" s="267"/>
      <c r="Y14" s="256"/>
      <c r="Z14" s="256"/>
      <c r="AA14" s="256"/>
      <c r="AB14" s="256"/>
      <c r="AC14" s="256"/>
      <c r="AD14" s="268"/>
    </row>
    <row r="15" spans="1:33" ht="50.25" customHeight="1" thickBot="1" x14ac:dyDescent="0.35">
      <c r="A15" s="449" t="s">
        <v>17</v>
      </c>
      <c r="B15" s="450"/>
      <c r="C15" s="515" t="s">
        <v>18</v>
      </c>
      <c r="D15" s="516"/>
      <c r="E15" s="516"/>
      <c r="F15" s="516"/>
      <c r="G15" s="516"/>
      <c r="H15" s="516"/>
      <c r="I15" s="516"/>
      <c r="J15" s="516"/>
      <c r="K15" s="517"/>
      <c r="L15" s="479" t="s">
        <v>19</v>
      </c>
      <c r="M15" s="483"/>
      <c r="N15" s="483"/>
      <c r="O15" s="483"/>
      <c r="P15" s="483"/>
      <c r="Q15" s="480"/>
      <c r="R15" s="476" t="s">
        <v>20</v>
      </c>
      <c r="S15" s="477"/>
      <c r="T15" s="477"/>
      <c r="U15" s="477"/>
      <c r="V15" s="477"/>
      <c r="W15" s="477"/>
      <c r="X15" s="478"/>
      <c r="Y15" s="479" t="s">
        <v>21</v>
      </c>
      <c r="Z15" s="480"/>
      <c r="AA15" s="437" t="s">
        <v>22</v>
      </c>
      <c r="AB15" s="438"/>
      <c r="AC15" s="438"/>
      <c r="AD15" s="439"/>
    </row>
    <row r="16" spans="1:33" ht="9" customHeight="1" thickBot="1" x14ac:dyDescent="0.35">
      <c r="A16" s="247"/>
      <c r="B16" s="242"/>
      <c r="C16" s="448"/>
      <c r="D16" s="448"/>
      <c r="E16" s="448"/>
      <c r="F16" s="448"/>
      <c r="G16" s="448"/>
      <c r="H16" s="448"/>
      <c r="I16" s="448"/>
      <c r="J16" s="448"/>
      <c r="K16" s="448"/>
      <c r="L16" s="448"/>
      <c r="M16" s="448"/>
      <c r="N16" s="448"/>
      <c r="O16" s="448"/>
      <c r="P16" s="448"/>
      <c r="Q16" s="448"/>
      <c r="R16" s="448"/>
      <c r="S16" s="448"/>
      <c r="T16" s="448"/>
      <c r="U16" s="448"/>
      <c r="V16" s="448"/>
      <c r="W16" s="448"/>
      <c r="X16" s="448"/>
      <c r="Y16" s="448"/>
      <c r="Z16" s="448"/>
      <c r="AA16" s="448"/>
      <c r="AB16" s="448"/>
      <c r="AC16" s="269"/>
      <c r="AD16" s="270"/>
    </row>
    <row r="17" spans="1:41" s="76" customFormat="1" ht="37.5" customHeight="1" thickBot="1" x14ac:dyDescent="0.35">
      <c r="A17" s="449" t="s">
        <v>23</v>
      </c>
      <c r="B17" s="450"/>
      <c r="C17" s="770" t="s">
        <v>122</v>
      </c>
      <c r="D17" s="771"/>
      <c r="E17" s="771"/>
      <c r="F17" s="771"/>
      <c r="G17" s="771"/>
      <c r="H17" s="771"/>
      <c r="I17" s="771"/>
      <c r="J17" s="771"/>
      <c r="K17" s="771"/>
      <c r="L17" s="771"/>
      <c r="M17" s="771"/>
      <c r="N17" s="771"/>
      <c r="O17" s="771"/>
      <c r="P17" s="771"/>
      <c r="Q17" s="772"/>
      <c r="R17" s="479" t="s">
        <v>25</v>
      </c>
      <c r="S17" s="483"/>
      <c r="T17" s="483"/>
      <c r="U17" s="483"/>
      <c r="V17" s="480"/>
      <c r="W17" s="796">
        <v>1</v>
      </c>
      <c r="X17" s="797"/>
      <c r="Y17" s="483" t="s">
        <v>26</v>
      </c>
      <c r="Z17" s="483"/>
      <c r="AA17" s="483"/>
      <c r="AB17" s="480"/>
      <c r="AC17" s="446">
        <v>0.32</v>
      </c>
      <c r="AD17" s="447"/>
    </row>
    <row r="18" spans="1:41" ht="16.5" customHeight="1" thickBot="1" x14ac:dyDescent="0.35">
      <c r="A18" s="271"/>
      <c r="B18" s="272"/>
      <c r="C18" s="272"/>
      <c r="D18" s="272"/>
      <c r="E18" s="272"/>
      <c r="F18" s="272"/>
      <c r="G18" s="272"/>
      <c r="H18" s="272"/>
      <c r="I18" s="272"/>
      <c r="J18" s="272"/>
      <c r="K18" s="272"/>
      <c r="L18" s="272"/>
      <c r="M18" s="272"/>
      <c r="N18" s="272"/>
      <c r="O18" s="272"/>
      <c r="P18" s="272"/>
      <c r="Q18" s="272"/>
      <c r="R18" s="272"/>
      <c r="S18" s="272"/>
      <c r="T18" s="272"/>
      <c r="U18" s="272"/>
      <c r="V18" s="272"/>
      <c r="W18" s="272"/>
      <c r="X18" s="272"/>
      <c r="Y18" s="272"/>
      <c r="Z18" s="272"/>
      <c r="AA18" s="272"/>
      <c r="AB18" s="272"/>
      <c r="AC18" s="272"/>
      <c r="AD18" s="273"/>
    </row>
    <row r="19" spans="1:41" ht="32.1" customHeight="1" thickBot="1" x14ac:dyDescent="0.35">
      <c r="A19" s="479" t="s">
        <v>27</v>
      </c>
      <c r="B19" s="483"/>
      <c r="C19" s="483"/>
      <c r="D19" s="483"/>
      <c r="E19" s="483"/>
      <c r="F19" s="483"/>
      <c r="G19" s="483"/>
      <c r="H19" s="483"/>
      <c r="I19" s="483"/>
      <c r="J19" s="483"/>
      <c r="K19" s="483"/>
      <c r="L19" s="483"/>
      <c r="M19" s="483"/>
      <c r="N19" s="483"/>
      <c r="O19" s="483"/>
      <c r="P19" s="483"/>
      <c r="Q19" s="483"/>
      <c r="R19" s="483"/>
      <c r="S19" s="483"/>
      <c r="T19" s="483"/>
      <c r="U19" s="483"/>
      <c r="V19" s="483"/>
      <c r="W19" s="483"/>
      <c r="X19" s="483"/>
      <c r="Y19" s="483"/>
      <c r="Z19" s="483"/>
      <c r="AA19" s="483"/>
      <c r="AB19" s="483"/>
      <c r="AC19" s="483"/>
      <c r="AD19" s="480"/>
      <c r="AE19" s="83"/>
      <c r="AF19" s="83"/>
    </row>
    <row r="20" spans="1:41" ht="32.1" customHeight="1" thickBot="1" x14ac:dyDescent="0.35">
      <c r="A20" s="274"/>
      <c r="B20" s="248"/>
      <c r="C20" s="500" t="s">
        <v>28</v>
      </c>
      <c r="D20" s="501"/>
      <c r="E20" s="501"/>
      <c r="F20" s="501"/>
      <c r="G20" s="501"/>
      <c r="H20" s="501"/>
      <c r="I20" s="501"/>
      <c r="J20" s="501"/>
      <c r="K20" s="501"/>
      <c r="L20" s="501"/>
      <c r="M20" s="501"/>
      <c r="N20" s="501"/>
      <c r="O20" s="501"/>
      <c r="P20" s="502"/>
      <c r="Q20" s="497" t="s">
        <v>29</v>
      </c>
      <c r="R20" s="498"/>
      <c r="S20" s="498"/>
      <c r="T20" s="498"/>
      <c r="U20" s="498"/>
      <c r="V20" s="498"/>
      <c r="W20" s="498"/>
      <c r="X20" s="498"/>
      <c r="Y20" s="498"/>
      <c r="Z20" s="498"/>
      <c r="AA20" s="498"/>
      <c r="AB20" s="498"/>
      <c r="AC20" s="498"/>
      <c r="AD20" s="499"/>
      <c r="AE20" s="83"/>
      <c r="AF20" s="83"/>
    </row>
    <row r="21" spans="1:41" ht="32.1" customHeight="1" thickBot="1" x14ac:dyDescent="0.35">
      <c r="A21" s="247"/>
      <c r="B21" s="242"/>
      <c r="C21" s="275" t="s">
        <v>30</v>
      </c>
      <c r="D21" s="276" t="s">
        <v>31</v>
      </c>
      <c r="E21" s="276" t="s">
        <v>32</v>
      </c>
      <c r="F21" s="276" t="s">
        <v>33</v>
      </c>
      <c r="G21" s="276" t="s">
        <v>34</v>
      </c>
      <c r="H21" s="276" t="s">
        <v>35</v>
      </c>
      <c r="I21" s="276" t="s">
        <v>36</v>
      </c>
      <c r="J21" s="276" t="s">
        <v>37</v>
      </c>
      <c r="K21" s="276" t="s">
        <v>8</v>
      </c>
      <c r="L21" s="276" t="s">
        <v>38</v>
      </c>
      <c r="M21" s="276" t="s">
        <v>39</v>
      </c>
      <c r="N21" s="276" t="s">
        <v>40</v>
      </c>
      <c r="O21" s="276" t="s">
        <v>41</v>
      </c>
      <c r="P21" s="277" t="s">
        <v>42</v>
      </c>
      <c r="Q21" s="275" t="s">
        <v>30</v>
      </c>
      <c r="R21" s="276" t="s">
        <v>31</v>
      </c>
      <c r="S21" s="276" t="s">
        <v>32</v>
      </c>
      <c r="T21" s="276" t="s">
        <v>33</v>
      </c>
      <c r="U21" s="276" t="s">
        <v>34</v>
      </c>
      <c r="V21" s="276" t="s">
        <v>35</v>
      </c>
      <c r="W21" s="276" t="s">
        <v>36</v>
      </c>
      <c r="X21" s="276" t="s">
        <v>37</v>
      </c>
      <c r="Y21" s="276" t="s">
        <v>8</v>
      </c>
      <c r="Z21" s="276" t="s">
        <v>38</v>
      </c>
      <c r="AA21" s="276" t="s">
        <v>39</v>
      </c>
      <c r="AB21" s="276" t="s">
        <v>40</v>
      </c>
      <c r="AC21" s="276" t="s">
        <v>41</v>
      </c>
      <c r="AD21" s="277" t="s">
        <v>42</v>
      </c>
      <c r="AE21" s="3"/>
      <c r="AF21" s="3"/>
    </row>
    <row r="22" spans="1:41" ht="32.1" customHeight="1" x14ac:dyDescent="0.3">
      <c r="A22" s="392" t="s">
        <v>43</v>
      </c>
      <c r="B22" s="445"/>
      <c r="C22" s="278"/>
      <c r="D22" s="279"/>
      <c r="E22" s="279"/>
      <c r="F22" s="279"/>
      <c r="G22" s="279"/>
      <c r="H22" s="279"/>
      <c r="I22" s="279"/>
      <c r="J22" s="279"/>
      <c r="K22" s="279"/>
      <c r="L22" s="279"/>
      <c r="M22" s="279"/>
      <c r="N22" s="279"/>
      <c r="O22" s="279">
        <f>SUM(C22:N22)</f>
        <v>0</v>
      </c>
      <c r="P22" s="280"/>
      <c r="Q22" s="281">
        <v>1427180577</v>
      </c>
      <c r="R22" s="282">
        <v>58442660</v>
      </c>
      <c r="S22" s="282">
        <v>52574895</v>
      </c>
      <c r="T22" s="282">
        <v>74667412</v>
      </c>
      <c r="U22" s="282">
        <v>0</v>
      </c>
      <c r="V22" s="282">
        <v>813750</v>
      </c>
      <c r="W22" s="282">
        <v>0</v>
      </c>
      <c r="X22" s="330">
        <v>2700000</v>
      </c>
      <c r="Y22" s="330">
        <v>30394704</v>
      </c>
      <c r="Z22" s="330">
        <f>28362495-10829365</f>
        <v>17533130</v>
      </c>
      <c r="AA22" s="330">
        <v>0</v>
      </c>
      <c r="AB22" s="330">
        <v>0</v>
      </c>
      <c r="AC22" s="283">
        <f>SUM(Q22:AB22)</f>
        <v>1664307128</v>
      </c>
      <c r="AD22" s="284"/>
      <c r="AE22" s="3"/>
      <c r="AF22" s="3"/>
    </row>
    <row r="23" spans="1:41" ht="32.1" customHeight="1" x14ac:dyDescent="0.3">
      <c r="A23" s="434" t="s">
        <v>44</v>
      </c>
      <c r="B23" s="435"/>
      <c r="C23" s="286"/>
      <c r="D23" s="287"/>
      <c r="E23" s="287"/>
      <c r="F23" s="287"/>
      <c r="G23" s="287"/>
      <c r="H23" s="287"/>
      <c r="I23" s="287"/>
      <c r="J23" s="287"/>
      <c r="K23" s="287"/>
      <c r="L23" s="287"/>
      <c r="M23" s="287"/>
      <c r="N23" s="287"/>
      <c r="O23" s="287">
        <f>SUM(C23:N23)</f>
        <v>0</v>
      </c>
      <c r="P23" s="288" t="str">
        <f>IFERROR(O23/(SUMIF(C23:N23,"&gt;0",C22:N22))," ")</f>
        <v xml:space="preserve"> </v>
      </c>
      <c r="Q23" s="342">
        <v>876050391</v>
      </c>
      <c r="R23" s="290">
        <f>1234409287-Q23</f>
        <v>358358896</v>
      </c>
      <c r="S23" s="290">
        <f>1390423801-Q23-R23</f>
        <v>156014514</v>
      </c>
      <c r="T23" s="290">
        <f>1373182847-Q23-R23-S23</f>
        <v>-17240954</v>
      </c>
      <c r="U23" s="290">
        <f>1434686942-Q23-R23-S23-T23</f>
        <v>61504095</v>
      </c>
      <c r="V23" s="290">
        <f>1507589637-Q23-R23-S23-T23-U23</f>
        <v>72902695</v>
      </c>
      <c r="W23" s="290">
        <f>1513778444-Q23-R23-S23-T23-U23-V23</f>
        <v>6188807</v>
      </c>
      <c r="X23" s="331">
        <f>1514316603-Q23-R23-S23-T23-U23-V23-W23</f>
        <v>538159</v>
      </c>
      <c r="Y23" s="331">
        <f>1514956343-Q23-R23-S23-T23-U23-V23-W23-X23</f>
        <v>639740</v>
      </c>
      <c r="Z23" s="331">
        <f>1520120877-Q23-R23-S23-T23-U23-V23-W23-X23-Y23</f>
        <v>5164534</v>
      </c>
      <c r="AA23" s="331"/>
      <c r="AB23" s="331"/>
      <c r="AC23" s="279">
        <f>SUM(Q23:AB23)</f>
        <v>1520120877</v>
      </c>
      <c r="AD23" s="343">
        <f>AC23/AC22</f>
        <v>0.91336559906868342</v>
      </c>
      <c r="AE23" s="3"/>
      <c r="AF23" s="3"/>
    </row>
    <row r="24" spans="1:41" ht="32.1" customHeight="1" x14ac:dyDescent="0.3">
      <c r="A24" s="434" t="s">
        <v>45</v>
      </c>
      <c r="B24" s="435"/>
      <c r="C24" s="286"/>
      <c r="D24" s="287">
        <f>36314785+5265896</f>
        <v>41580681</v>
      </c>
      <c r="E24" s="287">
        <v>5691209</v>
      </c>
      <c r="F24" s="287">
        <f>8489602-2</f>
        <v>8489600</v>
      </c>
      <c r="G24" s="344">
        <f>-5321667</f>
        <v>-5321667</v>
      </c>
      <c r="H24" s="287"/>
      <c r="I24" s="287">
        <v>-3167933</v>
      </c>
      <c r="J24" s="287"/>
      <c r="K24" s="287"/>
      <c r="L24" s="287"/>
      <c r="M24" s="287"/>
      <c r="N24" s="287"/>
      <c r="O24" s="290">
        <f>SUM(C24:N24)</f>
        <v>47271890</v>
      </c>
      <c r="P24" s="292"/>
      <c r="Q24" s="289">
        <f>72500+120000+125000+489716</f>
        <v>807216</v>
      </c>
      <c r="R24" s="290">
        <f>1850000+22418000+10300000+620000+14000000+4800000+72000+1161250+80000+250000+2332686+5677247</f>
        <v>63561183</v>
      </c>
      <c r="S24" s="345">
        <v>142387531.966667</v>
      </c>
      <c r="T24" s="345">
        <v>139532033.616667</v>
      </c>
      <c r="U24" s="345">
        <v>131653057.366667</v>
      </c>
      <c r="V24" s="345">
        <v>139532032.366667</v>
      </c>
      <c r="W24" s="346">
        <v>142482865.366667</v>
      </c>
      <c r="X24" s="347">
        <f>142032032.366667+34106344+6078941</f>
        <v>182217317.366667</v>
      </c>
      <c r="Y24" s="347">
        <f>140116455.366667+6078941</f>
        <v>146195396.366667</v>
      </c>
      <c r="Z24" s="347">
        <f>139532032.366667+6078941</f>
        <v>145610973.366667</v>
      </c>
      <c r="AA24" s="347">
        <f>139970865.366667+6078941</f>
        <v>146049806.366667</v>
      </c>
      <c r="AB24" s="347">
        <f>259845889.946667+29182250+6078940-10829365</f>
        <v>284277714.94666696</v>
      </c>
      <c r="AC24" s="287">
        <f>SUM(Q24:AB24)</f>
        <v>1664307128.0966702</v>
      </c>
      <c r="AD24" s="291"/>
      <c r="AE24" s="3"/>
      <c r="AF24" s="3"/>
    </row>
    <row r="25" spans="1:41" ht="32.1" customHeight="1" thickBot="1" x14ac:dyDescent="0.35">
      <c r="A25" s="393" t="s">
        <v>46</v>
      </c>
      <c r="B25" s="436"/>
      <c r="C25" s="296">
        <f>19805344</f>
        <v>19805344</v>
      </c>
      <c r="D25" s="297">
        <f>32731361-C25</f>
        <v>12926017</v>
      </c>
      <c r="E25" s="297">
        <f>37397847-C25-D25</f>
        <v>4666486</v>
      </c>
      <c r="F25" s="297">
        <f>37664400-C25-D25-E25</f>
        <v>266553</v>
      </c>
      <c r="G25" s="297">
        <f>41396914-C25-D25-E25-F25</f>
        <v>3732514</v>
      </c>
      <c r="H25" s="297">
        <f>42900003-C25-D25-E25-F25-G25</f>
        <v>1503089</v>
      </c>
      <c r="I25" s="297">
        <f>43201528-C25-D25-E25-F25-G25-H25</f>
        <v>301525</v>
      </c>
      <c r="J25" s="297">
        <f>43503053-C25-D25-E25-F25-G25-H25-I25</f>
        <v>301525</v>
      </c>
      <c r="K25" s="297">
        <f>43536822-C25-D25-E25-F25-G25-H25-I25-J25</f>
        <v>33769</v>
      </c>
      <c r="L25" s="297">
        <f>43536822-C25-D25-E25-F25-G25-H25-I25-J25-K25</f>
        <v>0</v>
      </c>
      <c r="M25" s="297"/>
      <c r="N25" s="297"/>
      <c r="O25" s="298">
        <f>SUM(C25:N25)</f>
        <v>43536822</v>
      </c>
      <c r="P25" s="299">
        <f>IFERROR(O25/(SUMIF(C25:N25,"&gt;0",C24:O24))," ")</f>
        <v>0.92098754672174099</v>
      </c>
      <c r="Q25" s="348">
        <f>575520</f>
        <v>575520</v>
      </c>
      <c r="R25" s="298">
        <f>52596949-Q25</f>
        <v>52021429</v>
      </c>
      <c r="S25" s="298">
        <f>151056444-Q25-R25</f>
        <v>98459495</v>
      </c>
      <c r="T25" s="298">
        <f>269839460-Q25-R25-S25</f>
        <v>118783016</v>
      </c>
      <c r="U25" s="298">
        <f>406304791-Q25-R25-S25-T25</f>
        <v>136465331</v>
      </c>
      <c r="V25" s="298">
        <f>534735508-Q25-R25-S25-T25-U25</f>
        <v>128430717</v>
      </c>
      <c r="W25" s="298">
        <f>668565590-Q25-R25-S25-T25-U25-V25</f>
        <v>133830082</v>
      </c>
      <c r="X25" s="298">
        <f>797944380-Q25-R25-S25-T25-U25-V25-W25</f>
        <v>129378790</v>
      </c>
      <c r="Y25" s="298">
        <f>942376820-Q25-R25-S25-T25-U25-V25-W25-X25</f>
        <v>144432440</v>
      </c>
      <c r="Z25" s="298">
        <f>1077231913-Q25-R25-S25-T25-U25-V25-W25-X25-Y25</f>
        <v>134855093</v>
      </c>
      <c r="AA25" s="298"/>
      <c r="AB25" s="298"/>
      <c r="AC25" s="297">
        <f>SUM(Q25:AB25)</f>
        <v>1077231913</v>
      </c>
      <c r="AD25" s="302">
        <f>AC25/AC24</f>
        <v>0.64725548236516939</v>
      </c>
      <c r="AE25" s="3"/>
      <c r="AF25" s="3"/>
    </row>
    <row r="26" spans="1:41" ht="32.1" customHeight="1" thickBot="1" x14ac:dyDescent="0.35">
      <c r="A26" s="247"/>
      <c r="B26" s="242"/>
      <c r="C26" s="304"/>
      <c r="D26" s="304"/>
      <c r="E26" s="304"/>
      <c r="F26" s="304"/>
      <c r="G26" s="304"/>
      <c r="H26" s="304"/>
      <c r="I26" s="304"/>
      <c r="J26" s="304"/>
      <c r="K26" s="304"/>
      <c r="L26" s="304"/>
      <c r="M26" s="304"/>
      <c r="N26" s="303"/>
      <c r="O26" s="304"/>
      <c r="P26" s="304"/>
      <c r="Q26" s="304"/>
      <c r="R26" s="304"/>
      <c r="S26" s="304"/>
      <c r="T26" s="304"/>
      <c r="U26" s="304"/>
      <c r="V26" s="304"/>
      <c r="W26" s="304"/>
      <c r="X26" s="304"/>
      <c r="Y26" s="304"/>
      <c r="Z26" s="304"/>
      <c r="AA26" s="304"/>
      <c r="AB26" s="304"/>
      <c r="AC26" s="248"/>
      <c r="AD26" s="262"/>
    </row>
    <row r="27" spans="1:41" ht="33.75" customHeight="1" x14ac:dyDescent="0.3">
      <c r="A27" s="430" t="s">
        <v>47</v>
      </c>
      <c r="B27" s="431"/>
      <c r="C27" s="432"/>
      <c r="D27" s="432"/>
      <c r="E27" s="432"/>
      <c r="F27" s="432"/>
      <c r="G27" s="432"/>
      <c r="H27" s="432"/>
      <c r="I27" s="432"/>
      <c r="J27" s="432"/>
      <c r="K27" s="432"/>
      <c r="L27" s="432"/>
      <c r="M27" s="432"/>
      <c r="N27" s="432"/>
      <c r="O27" s="432"/>
      <c r="P27" s="432"/>
      <c r="Q27" s="432"/>
      <c r="R27" s="432"/>
      <c r="S27" s="432"/>
      <c r="T27" s="432"/>
      <c r="U27" s="432"/>
      <c r="V27" s="432"/>
      <c r="W27" s="432"/>
      <c r="X27" s="432"/>
      <c r="Y27" s="432"/>
      <c r="Z27" s="432"/>
      <c r="AA27" s="432"/>
      <c r="AB27" s="432"/>
      <c r="AC27" s="432"/>
      <c r="AD27" s="433"/>
    </row>
    <row r="28" spans="1:41" ht="15" customHeight="1" x14ac:dyDescent="0.3">
      <c r="A28" s="440" t="s">
        <v>48</v>
      </c>
      <c r="B28" s="442" t="s">
        <v>49</v>
      </c>
      <c r="C28" s="443"/>
      <c r="D28" s="435" t="s">
        <v>50</v>
      </c>
      <c r="E28" s="444"/>
      <c r="F28" s="444"/>
      <c r="G28" s="444"/>
      <c r="H28" s="444"/>
      <c r="I28" s="444"/>
      <c r="J28" s="444"/>
      <c r="K28" s="444"/>
      <c r="L28" s="444"/>
      <c r="M28" s="444"/>
      <c r="N28" s="444"/>
      <c r="O28" s="423"/>
      <c r="P28" s="424" t="s">
        <v>41</v>
      </c>
      <c r="Q28" s="424" t="s">
        <v>51</v>
      </c>
      <c r="R28" s="424"/>
      <c r="S28" s="424"/>
      <c r="T28" s="424"/>
      <c r="U28" s="424"/>
      <c r="V28" s="424"/>
      <c r="W28" s="424"/>
      <c r="X28" s="424"/>
      <c r="Y28" s="424"/>
      <c r="Z28" s="424"/>
      <c r="AA28" s="424"/>
      <c r="AB28" s="424"/>
      <c r="AC28" s="424"/>
      <c r="AD28" s="425"/>
    </row>
    <row r="29" spans="1:41" ht="27" customHeight="1" x14ac:dyDescent="0.3">
      <c r="A29" s="441"/>
      <c r="B29" s="426"/>
      <c r="C29" s="428"/>
      <c r="D29" s="305" t="s">
        <v>30</v>
      </c>
      <c r="E29" s="305" t="s">
        <v>31</v>
      </c>
      <c r="F29" s="305" t="s">
        <v>32</v>
      </c>
      <c r="G29" s="305" t="s">
        <v>33</v>
      </c>
      <c r="H29" s="305" t="s">
        <v>34</v>
      </c>
      <c r="I29" s="305" t="s">
        <v>35</v>
      </c>
      <c r="J29" s="305" t="s">
        <v>36</v>
      </c>
      <c r="K29" s="305" t="s">
        <v>37</v>
      </c>
      <c r="L29" s="305" t="s">
        <v>8</v>
      </c>
      <c r="M29" s="305" t="s">
        <v>38</v>
      </c>
      <c r="N29" s="305" t="s">
        <v>39</v>
      </c>
      <c r="O29" s="305" t="s">
        <v>40</v>
      </c>
      <c r="P29" s="423"/>
      <c r="Q29" s="424"/>
      <c r="R29" s="424"/>
      <c r="S29" s="424"/>
      <c r="T29" s="424"/>
      <c r="U29" s="424"/>
      <c r="V29" s="424"/>
      <c r="W29" s="424"/>
      <c r="X29" s="424"/>
      <c r="Y29" s="424"/>
      <c r="Z29" s="424"/>
      <c r="AA29" s="424"/>
      <c r="AB29" s="424"/>
      <c r="AC29" s="424"/>
      <c r="AD29" s="425"/>
    </row>
    <row r="30" spans="1:41" ht="42" customHeight="1" thickBot="1" x14ac:dyDescent="0.35">
      <c r="A30" s="332" t="s">
        <v>122</v>
      </c>
      <c r="B30" s="773"/>
      <c r="C30" s="774"/>
      <c r="D30" s="308"/>
      <c r="E30" s="308"/>
      <c r="F30" s="308"/>
      <c r="G30" s="308"/>
      <c r="H30" s="308"/>
      <c r="I30" s="308"/>
      <c r="J30" s="308"/>
      <c r="K30" s="308"/>
      <c r="L30" s="308"/>
      <c r="M30" s="308"/>
      <c r="N30" s="308"/>
      <c r="O30" s="308"/>
      <c r="P30" s="309">
        <f>SUM(D30:O30)</f>
        <v>0</v>
      </c>
      <c r="Q30" s="456"/>
      <c r="R30" s="456"/>
      <c r="S30" s="456"/>
      <c r="T30" s="456"/>
      <c r="U30" s="456"/>
      <c r="V30" s="456"/>
      <c r="W30" s="456"/>
      <c r="X30" s="456"/>
      <c r="Y30" s="456"/>
      <c r="Z30" s="456"/>
      <c r="AA30" s="456"/>
      <c r="AB30" s="456"/>
      <c r="AC30" s="456"/>
      <c r="AD30" s="457"/>
    </row>
    <row r="31" spans="1:41" ht="45" customHeight="1" x14ac:dyDescent="0.3">
      <c r="A31" s="764" t="s">
        <v>53</v>
      </c>
      <c r="B31" s="460"/>
      <c r="C31" s="460"/>
      <c r="D31" s="460"/>
      <c r="E31" s="460"/>
      <c r="F31" s="460"/>
      <c r="G31" s="460"/>
      <c r="H31" s="460"/>
      <c r="I31" s="460"/>
      <c r="J31" s="460"/>
      <c r="K31" s="460"/>
      <c r="L31" s="460"/>
      <c r="M31" s="460"/>
      <c r="N31" s="460"/>
      <c r="O31" s="460"/>
      <c r="P31" s="460"/>
      <c r="Q31" s="460"/>
      <c r="R31" s="460"/>
      <c r="S31" s="460"/>
      <c r="T31" s="460"/>
      <c r="U31" s="460"/>
      <c r="V31" s="460"/>
      <c r="W31" s="460"/>
      <c r="X31" s="460"/>
      <c r="Y31" s="460"/>
      <c r="Z31" s="460"/>
      <c r="AA31" s="460"/>
      <c r="AB31" s="460"/>
      <c r="AC31" s="460"/>
      <c r="AD31" s="461"/>
    </row>
    <row r="32" spans="1:41" ht="23.1" customHeight="1" x14ac:dyDescent="0.3">
      <c r="A32" s="434" t="s">
        <v>54</v>
      </c>
      <c r="B32" s="424" t="s">
        <v>55</v>
      </c>
      <c r="C32" s="424" t="s">
        <v>49</v>
      </c>
      <c r="D32" s="424" t="s">
        <v>56</v>
      </c>
      <c r="E32" s="424"/>
      <c r="F32" s="424"/>
      <c r="G32" s="424"/>
      <c r="H32" s="424"/>
      <c r="I32" s="424"/>
      <c r="J32" s="424"/>
      <c r="K32" s="424"/>
      <c r="L32" s="424"/>
      <c r="M32" s="424"/>
      <c r="N32" s="424"/>
      <c r="O32" s="424"/>
      <c r="P32" s="424"/>
      <c r="Q32" s="424" t="s">
        <v>57</v>
      </c>
      <c r="R32" s="424"/>
      <c r="S32" s="424"/>
      <c r="T32" s="424"/>
      <c r="U32" s="424"/>
      <c r="V32" s="424"/>
      <c r="W32" s="424"/>
      <c r="X32" s="424"/>
      <c r="Y32" s="424"/>
      <c r="Z32" s="424"/>
      <c r="AA32" s="424"/>
      <c r="AB32" s="424"/>
      <c r="AC32" s="424"/>
      <c r="AD32" s="425"/>
      <c r="AG32" s="87"/>
      <c r="AH32" s="87"/>
      <c r="AI32" s="87"/>
      <c r="AJ32" s="87"/>
      <c r="AK32" s="87"/>
      <c r="AL32" s="87"/>
      <c r="AM32" s="87"/>
      <c r="AN32" s="87"/>
      <c r="AO32" s="87"/>
    </row>
    <row r="33" spans="1:41" ht="27" customHeight="1" x14ac:dyDescent="0.3">
      <c r="A33" s="434"/>
      <c r="B33" s="424"/>
      <c r="C33" s="462"/>
      <c r="D33" s="305" t="s">
        <v>30</v>
      </c>
      <c r="E33" s="305" t="s">
        <v>31</v>
      </c>
      <c r="F33" s="305" t="s">
        <v>32</v>
      </c>
      <c r="G33" s="305" t="s">
        <v>33</v>
      </c>
      <c r="H33" s="305" t="s">
        <v>34</v>
      </c>
      <c r="I33" s="305" t="s">
        <v>35</v>
      </c>
      <c r="J33" s="305" t="s">
        <v>36</v>
      </c>
      <c r="K33" s="305" t="s">
        <v>37</v>
      </c>
      <c r="L33" s="305" t="s">
        <v>8</v>
      </c>
      <c r="M33" s="305" t="s">
        <v>38</v>
      </c>
      <c r="N33" s="305" t="s">
        <v>39</v>
      </c>
      <c r="O33" s="305" t="s">
        <v>40</v>
      </c>
      <c r="P33" s="305" t="s">
        <v>41</v>
      </c>
      <c r="Q33" s="424" t="s">
        <v>58</v>
      </c>
      <c r="R33" s="424"/>
      <c r="S33" s="424"/>
      <c r="T33" s="424" t="s">
        <v>59</v>
      </c>
      <c r="U33" s="424"/>
      <c r="V33" s="424"/>
      <c r="W33" s="426" t="s">
        <v>60</v>
      </c>
      <c r="X33" s="427"/>
      <c r="Y33" s="427"/>
      <c r="Z33" s="428"/>
      <c r="AA33" s="426" t="s">
        <v>61</v>
      </c>
      <c r="AB33" s="427"/>
      <c r="AC33" s="427"/>
      <c r="AD33" s="429"/>
      <c r="AG33" s="87"/>
      <c r="AH33" s="87"/>
      <c r="AI33" s="87"/>
      <c r="AJ33" s="87"/>
      <c r="AK33" s="87"/>
      <c r="AL33" s="87"/>
      <c r="AM33" s="87"/>
      <c r="AN33" s="87"/>
      <c r="AO33" s="87"/>
    </row>
    <row r="34" spans="1:41" ht="236.4" customHeight="1" x14ac:dyDescent="0.3">
      <c r="A34" s="409" t="s">
        <v>122</v>
      </c>
      <c r="B34" s="411">
        <v>0.32</v>
      </c>
      <c r="C34" s="311" t="s">
        <v>62</v>
      </c>
      <c r="D34" s="312">
        <f>D75</f>
        <v>7.625000000000004E-2</v>
      </c>
      <c r="E34" s="312">
        <f t="shared" ref="E34:O34" si="0">E75</f>
        <v>9.0625000000000039E-2</v>
      </c>
      <c r="F34" s="312">
        <f t="shared" si="0"/>
        <v>9.0625000000000039E-2</v>
      </c>
      <c r="G34" s="312">
        <f t="shared" si="0"/>
        <v>9.0625000000000039E-2</v>
      </c>
      <c r="H34" s="312">
        <f t="shared" si="0"/>
        <v>9.0625000000000039E-2</v>
      </c>
      <c r="I34" s="312">
        <f t="shared" si="0"/>
        <v>8.062500000000003E-2</v>
      </c>
      <c r="J34" s="312">
        <f t="shared" si="0"/>
        <v>8.062500000000003E-2</v>
      </c>
      <c r="K34" s="312">
        <f t="shared" si="0"/>
        <v>8.062500000000003E-2</v>
      </c>
      <c r="L34" s="312">
        <f t="shared" si="0"/>
        <v>8.062500000000003E-2</v>
      </c>
      <c r="M34" s="312">
        <f t="shared" si="0"/>
        <v>8.062500000000003E-2</v>
      </c>
      <c r="N34" s="312">
        <f t="shared" si="0"/>
        <v>8.062500000000003E-2</v>
      </c>
      <c r="O34" s="312">
        <f t="shared" si="0"/>
        <v>7.7500000000000027E-2</v>
      </c>
      <c r="P34" s="312">
        <f>SUM(D34:O34)</f>
        <v>1.0000000000000007</v>
      </c>
      <c r="Q34" s="806" t="s">
        <v>581</v>
      </c>
      <c r="R34" s="807"/>
      <c r="S34" s="807"/>
      <c r="T34" s="806" t="s">
        <v>577</v>
      </c>
      <c r="U34" s="807"/>
      <c r="V34" s="807"/>
      <c r="W34" s="807" t="s">
        <v>123</v>
      </c>
      <c r="X34" s="807"/>
      <c r="Y34" s="807"/>
      <c r="Z34" s="807"/>
      <c r="AA34" s="807" t="s">
        <v>124</v>
      </c>
      <c r="AB34" s="807"/>
      <c r="AC34" s="807"/>
      <c r="AD34" s="807"/>
      <c r="AG34" s="87"/>
      <c r="AH34" s="87"/>
      <c r="AI34" s="87"/>
      <c r="AJ34" s="87"/>
      <c r="AK34" s="87"/>
      <c r="AL34" s="87"/>
      <c r="AM34" s="87"/>
      <c r="AN34" s="87"/>
      <c r="AO34" s="87"/>
    </row>
    <row r="35" spans="1:41" ht="236.4" customHeight="1" thickBot="1" x14ac:dyDescent="0.35">
      <c r="A35" s="410"/>
      <c r="B35" s="412"/>
      <c r="C35" s="314" t="s">
        <v>63</v>
      </c>
      <c r="D35" s="315">
        <f>D72</f>
        <v>7.5000000000000039E-2</v>
      </c>
      <c r="E35" s="315">
        <f t="shared" ref="E35:O35" si="1">E72</f>
        <v>8.6250000000000035E-2</v>
      </c>
      <c r="F35" s="315">
        <f t="shared" si="1"/>
        <v>9.0625000000000039E-2</v>
      </c>
      <c r="G35" s="315">
        <f t="shared" si="1"/>
        <v>9.3125000000000027E-2</v>
      </c>
      <c r="H35" s="315">
        <f t="shared" si="1"/>
        <v>9.3125000000000027E-2</v>
      </c>
      <c r="I35" s="315">
        <f t="shared" si="1"/>
        <v>8.1250000000000044E-2</v>
      </c>
      <c r="J35" s="315">
        <f t="shared" si="1"/>
        <v>8.062500000000003E-2</v>
      </c>
      <c r="K35" s="315">
        <f t="shared" si="1"/>
        <v>8.062500000000003E-2</v>
      </c>
      <c r="L35" s="315">
        <f t="shared" si="1"/>
        <v>8.062500000000003E-2</v>
      </c>
      <c r="M35" s="315">
        <f t="shared" si="1"/>
        <v>8.062500000000003E-2</v>
      </c>
      <c r="N35" s="315">
        <f t="shared" si="1"/>
        <v>0</v>
      </c>
      <c r="O35" s="315">
        <f t="shared" si="1"/>
        <v>0</v>
      </c>
      <c r="P35" s="315">
        <f>SUM(D35:O35)</f>
        <v>0.84187500000000037</v>
      </c>
      <c r="Q35" s="807"/>
      <c r="R35" s="807"/>
      <c r="S35" s="807"/>
      <c r="T35" s="807"/>
      <c r="U35" s="807"/>
      <c r="V35" s="807"/>
      <c r="W35" s="807"/>
      <c r="X35" s="807"/>
      <c r="Y35" s="807"/>
      <c r="Z35" s="807"/>
      <c r="AA35" s="807"/>
      <c r="AB35" s="807"/>
      <c r="AC35" s="807"/>
      <c r="AD35" s="807"/>
      <c r="AE35" s="49"/>
      <c r="AG35" s="87"/>
      <c r="AH35" s="87"/>
      <c r="AI35" s="87"/>
      <c r="AJ35" s="87"/>
      <c r="AK35" s="87"/>
      <c r="AL35" s="87"/>
      <c r="AM35" s="87"/>
      <c r="AN35" s="87"/>
      <c r="AO35" s="87"/>
    </row>
    <row r="36" spans="1:41" ht="26.1" customHeight="1" x14ac:dyDescent="0.3">
      <c r="A36" s="775" t="s">
        <v>64</v>
      </c>
      <c r="B36" s="777" t="s">
        <v>65</v>
      </c>
      <c r="C36" s="392" t="s">
        <v>66</v>
      </c>
      <c r="D36" s="396"/>
      <c r="E36" s="396"/>
      <c r="F36" s="396"/>
      <c r="G36" s="396"/>
      <c r="H36" s="396"/>
      <c r="I36" s="396"/>
      <c r="J36" s="396"/>
      <c r="K36" s="396"/>
      <c r="L36" s="396"/>
      <c r="M36" s="396"/>
      <c r="N36" s="396"/>
      <c r="O36" s="396"/>
      <c r="P36" s="397"/>
      <c r="Q36" s="427" t="s">
        <v>67</v>
      </c>
      <c r="R36" s="427"/>
      <c r="S36" s="427"/>
      <c r="T36" s="427"/>
      <c r="U36" s="427"/>
      <c r="V36" s="427"/>
      <c r="W36" s="427"/>
      <c r="X36" s="427"/>
      <c r="Y36" s="427"/>
      <c r="Z36" s="427"/>
      <c r="AA36" s="427"/>
      <c r="AB36" s="427"/>
      <c r="AC36" s="427"/>
      <c r="AD36" s="429"/>
      <c r="AG36" s="87"/>
      <c r="AH36" s="87"/>
      <c r="AI36" s="87"/>
      <c r="AJ36" s="87"/>
      <c r="AK36" s="87"/>
      <c r="AL36" s="87"/>
      <c r="AM36" s="87"/>
      <c r="AN36" s="87"/>
      <c r="AO36" s="87"/>
    </row>
    <row r="37" spans="1:41" ht="50.25" customHeight="1" thickBot="1" x14ac:dyDescent="0.35">
      <c r="A37" s="776"/>
      <c r="B37" s="778"/>
      <c r="C37" s="294" t="s">
        <v>68</v>
      </c>
      <c r="D37" s="317" t="s">
        <v>69</v>
      </c>
      <c r="E37" s="317" t="s">
        <v>70</v>
      </c>
      <c r="F37" s="317" t="s">
        <v>71</v>
      </c>
      <c r="G37" s="317" t="s">
        <v>72</v>
      </c>
      <c r="H37" s="317" t="s">
        <v>73</v>
      </c>
      <c r="I37" s="317" t="s">
        <v>74</v>
      </c>
      <c r="J37" s="317" t="s">
        <v>75</v>
      </c>
      <c r="K37" s="317" t="s">
        <v>76</v>
      </c>
      <c r="L37" s="317" t="s">
        <v>77</v>
      </c>
      <c r="M37" s="317" t="s">
        <v>78</v>
      </c>
      <c r="N37" s="317" t="s">
        <v>79</v>
      </c>
      <c r="O37" s="317" t="s">
        <v>80</v>
      </c>
      <c r="P37" s="318" t="s">
        <v>81</v>
      </c>
      <c r="Q37" s="402" t="s">
        <v>82</v>
      </c>
      <c r="R37" s="402"/>
      <c r="S37" s="402"/>
      <c r="T37" s="402"/>
      <c r="U37" s="402"/>
      <c r="V37" s="402"/>
      <c r="W37" s="402"/>
      <c r="X37" s="402"/>
      <c r="Y37" s="402"/>
      <c r="Z37" s="402"/>
      <c r="AA37" s="402"/>
      <c r="AB37" s="402"/>
      <c r="AC37" s="402"/>
      <c r="AD37" s="403"/>
      <c r="AG37" s="94"/>
      <c r="AH37" s="94"/>
      <c r="AI37" s="94"/>
      <c r="AJ37" s="94"/>
      <c r="AK37" s="94"/>
      <c r="AL37" s="94"/>
      <c r="AM37" s="94"/>
      <c r="AN37" s="94"/>
      <c r="AO37" s="94"/>
    </row>
    <row r="38" spans="1:41" ht="200.4" customHeight="1" x14ac:dyDescent="0.3">
      <c r="A38" s="798" t="s">
        <v>125</v>
      </c>
      <c r="B38" s="805">
        <v>0.1</v>
      </c>
      <c r="C38" s="334" t="s">
        <v>62</v>
      </c>
      <c r="D38" s="349">
        <v>0.08</v>
      </c>
      <c r="E38" s="349">
        <v>0.09</v>
      </c>
      <c r="F38" s="349">
        <v>0.09</v>
      </c>
      <c r="G38" s="349">
        <v>0.09</v>
      </c>
      <c r="H38" s="349">
        <v>0.09</v>
      </c>
      <c r="I38" s="349">
        <v>0.08</v>
      </c>
      <c r="J38" s="349">
        <v>0.08</v>
      </c>
      <c r="K38" s="349">
        <v>0.08</v>
      </c>
      <c r="L38" s="349">
        <v>0.08</v>
      </c>
      <c r="M38" s="349">
        <v>0.08</v>
      </c>
      <c r="N38" s="349">
        <v>0.08</v>
      </c>
      <c r="O38" s="349">
        <v>0.08</v>
      </c>
      <c r="P38" s="320">
        <f t="shared" ref="P38:P45" si="2">SUM(D38:O38)</f>
        <v>0.99999999999999967</v>
      </c>
      <c r="Q38" s="799" t="s">
        <v>550</v>
      </c>
      <c r="R38" s="800"/>
      <c r="S38" s="800"/>
      <c r="T38" s="800"/>
      <c r="U38" s="800"/>
      <c r="V38" s="800"/>
      <c r="W38" s="800"/>
      <c r="X38" s="800"/>
      <c r="Y38" s="800"/>
      <c r="Z38" s="800"/>
      <c r="AA38" s="800"/>
      <c r="AB38" s="800"/>
      <c r="AC38" s="800"/>
      <c r="AD38" s="801"/>
      <c r="AE38" s="97"/>
      <c r="AG38" s="98"/>
      <c r="AH38" s="98"/>
      <c r="AI38" s="98"/>
      <c r="AJ38" s="98"/>
      <c r="AK38" s="98"/>
      <c r="AL38" s="98"/>
      <c r="AM38" s="98"/>
      <c r="AN38" s="98"/>
      <c r="AO38" s="98"/>
    </row>
    <row r="39" spans="1:41" ht="200.4" customHeight="1" x14ac:dyDescent="0.3">
      <c r="A39" s="787"/>
      <c r="B39" s="805"/>
      <c r="C39" s="335" t="s">
        <v>63</v>
      </c>
      <c r="D39" s="322">
        <v>0.08</v>
      </c>
      <c r="E39" s="322">
        <v>0.09</v>
      </c>
      <c r="F39" s="322">
        <v>0.09</v>
      </c>
      <c r="G39" s="322">
        <v>0.09</v>
      </c>
      <c r="H39" s="322">
        <v>0.09</v>
      </c>
      <c r="I39" s="322">
        <v>0.08</v>
      </c>
      <c r="J39" s="322">
        <v>0.08</v>
      </c>
      <c r="K39" s="322">
        <v>0.08</v>
      </c>
      <c r="L39" s="322">
        <v>0.08</v>
      </c>
      <c r="M39" s="322">
        <v>0.08</v>
      </c>
      <c r="N39" s="322"/>
      <c r="O39" s="322"/>
      <c r="P39" s="323">
        <f t="shared" si="2"/>
        <v>0.83999999999999975</v>
      </c>
      <c r="Q39" s="802"/>
      <c r="R39" s="803"/>
      <c r="S39" s="803"/>
      <c r="T39" s="803"/>
      <c r="U39" s="803"/>
      <c r="V39" s="803"/>
      <c r="W39" s="803"/>
      <c r="X39" s="803"/>
      <c r="Y39" s="803"/>
      <c r="Z39" s="803"/>
      <c r="AA39" s="803"/>
      <c r="AB39" s="803"/>
      <c r="AC39" s="803"/>
      <c r="AD39" s="804"/>
      <c r="AE39" s="97"/>
    </row>
    <row r="40" spans="1:41" ht="69.599999999999994" customHeight="1" x14ac:dyDescent="0.3">
      <c r="A40" s="787" t="s">
        <v>126</v>
      </c>
      <c r="B40" s="756">
        <v>0.1</v>
      </c>
      <c r="C40" s="337" t="s">
        <v>62</v>
      </c>
      <c r="D40" s="310">
        <v>0.08</v>
      </c>
      <c r="E40" s="310">
        <v>0.09</v>
      </c>
      <c r="F40" s="310">
        <v>0.09</v>
      </c>
      <c r="G40" s="310">
        <v>0.09</v>
      </c>
      <c r="H40" s="310">
        <v>0.09</v>
      </c>
      <c r="I40" s="310">
        <v>0.08</v>
      </c>
      <c r="J40" s="310">
        <v>0.08</v>
      </c>
      <c r="K40" s="310">
        <v>0.08</v>
      </c>
      <c r="L40" s="310">
        <v>0.08</v>
      </c>
      <c r="M40" s="310">
        <v>0.08</v>
      </c>
      <c r="N40" s="310">
        <v>0.08</v>
      </c>
      <c r="O40" s="310">
        <v>0.08</v>
      </c>
      <c r="P40" s="323">
        <f t="shared" si="2"/>
        <v>0.99999999999999967</v>
      </c>
      <c r="Q40" s="814" t="s">
        <v>551</v>
      </c>
      <c r="R40" s="809"/>
      <c r="S40" s="809"/>
      <c r="T40" s="809"/>
      <c r="U40" s="809"/>
      <c r="V40" s="809"/>
      <c r="W40" s="809"/>
      <c r="X40" s="809"/>
      <c r="Y40" s="809"/>
      <c r="Z40" s="809"/>
      <c r="AA40" s="809"/>
      <c r="AB40" s="809"/>
      <c r="AC40" s="809"/>
      <c r="AD40" s="810"/>
      <c r="AE40" s="97"/>
    </row>
    <row r="41" spans="1:41" ht="69.599999999999994" customHeight="1" x14ac:dyDescent="0.3">
      <c r="A41" s="787"/>
      <c r="B41" s="756"/>
      <c r="C41" s="335" t="s">
        <v>63</v>
      </c>
      <c r="D41" s="322">
        <v>0.08</v>
      </c>
      <c r="E41" s="322">
        <v>0.09</v>
      </c>
      <c r="F41" s="322">
        <v>0.09</v>
      </c>
      <c r="G41" s="322">
        <v>0.09</v>
      </c>
      <c r="H41" s="322">
        <v>0.09</v>
      </c>
      <c r="I41" s="322">
        <v>0.08</v>
      </c>
      <c r="J41" s="322">
        <v>0.08</v>
      </c>
      <c r="K41" s="322">
        <v>0.08</v>
      </c>
      <c r="L41" s="326">
        <v>0.08</v>
      </c>
      <c r="M41" s="326">
        <v>0.08</v>
      </c>
      <c r="N41" s="326"/>
      <c r="O41" s="326"/>
      <c r="P41" s="323">
        <f t="shared" si="2"/>
        <v>0.83999999999999975</v>
      </c>
      <c r="Q41" s="802"/>
      <c r="R41" s="803"/>
      <c r="S41" s="803"/>
      <c r="T41" s="803"/>
      <c r="U41" s="803"/>
      <c r="V41" s="803"/>
      <c r="W41" s="803"/>
      <c r="X41" s="803"/>
      <c r="Y41" s="803"/>
      <c r="Z41" s="803"/>
      <c r="AA41" s="803"/>
      <c r="AB41" s="803"/>
      <c r="AC41" s="803"/>
      <c r="AD41" s="804"/>
      <c r="AE41" s="97"/>
    </row>
    <row r="42" spans="1:41" ht="96.6" customHeight="1" x14ac:dyDescent="0.3">
      <c r="A42" s="787" t="s">
        <v>127</v>
      </c>
      <c r="B42" s="756">
        <v>0.1</v>
      </c>
      <c r="C42" s="337" t="s">
        <v>62</v>
      </c>
      <c r="D42" s="310">
        <v>0.08</v>
      </c>
      <c r="E42" s="310">
        <v>0.09</v>
      </c>
      <c r="F42" s="310">
        <v>0.09</v>
      </c>
      <c r="G42" s="310">
        <v>0.09</v>
      </c>
      <c r="H42" s="310">
        <v>0.09</v>
      </c>
      <c r="I42" s="310">
        <v>0.08</v>
      </c>
      <c r="J42" s="310">
        <v>0.08</v>
      </c>
      <c r="K42" s="310">
        <v>0.08</v>
      </c>
      <c r="L42" s="310">
        <v>0.08</v>
      </c>
      <c r="M42" s="310">
        <v>0.08</v>
      </c>
      <c r="N42" s="310">
        <v>0.08</v>
      </c>
      <c r="O42" s="310">
        <v>0.08</v>
      </c>
      <c r="P42" s="323">
        <f t="shared" si="2"/>
        <v>0.99999999999999967</v>
      </c>
      <c r="Q42" s="814" t="s">
        <v>552</v>
      </c>
      <c r="R42" s="809"/>
      <c r="S42" s="809"/>
      <c r="T42" s="809"/>
      <c r="U42" s="809"/>
      <c r="V42" s="809"/>
      <c r="W42" s="809"/>
      <c r="X42" s="809"/>
      <c r="Y42" s="809"/>
      <c r="Z42" s="809"/>
      <c r="AA42" s="809"/>
      <c r="AB42" s="809"/>
      <c r="AC42" s="809"/>
      <c r="AD42" s="810"/>
      <c r="AE42" s="97"/>
    </row>
    <row r="43" spans="1:41" ht="96.6" customHeight="1" x14ac:dyDescent="0.3">
      <c r="A43" s="787"/>
      <c r="B43" s="756"/>
      <c r="C43" s="335" t="s">
        <v>63</v>
      </c>
      <c r="D43" s="322">
        <v>0.08</v>
      </c>
      <c r="E43" s="322">
        <v>0.09</v>
      </c>
      <c r="F43" s="322">
        <v>0.09</v>
      </c>
      <c r="G43" s="322">
        <v>0.09</v>
      </c>
      <c r="H43" s="322">
        <v>0.09</v>
      </c>
      <c r="I43" s="322">
        <v>0.08</v>
      </c>
      <c r="J43" s="322">
        <v>0.08</v>
      </c>
      <c r="K43" s="322">
        <v>0.08</v>
      </c>
      <c r="L43" s="326">
        <v>0.08</v>
      </c>
      <c r="M43" s="326">
        <v>0.08</v>
      </c>
      <c r="N43" s="326"/>
      <c r="O43" s="326"/>
      <c r="P43" s="323">
        <f t="shared" si="2"/>
        <v>0.83999999999999975</v>
      </c>
      <c r="Q43" s="802"/>
      <c r="R43" s="803"/>
      <c r="S43" s="803"/>
      <c r="T43" s="803"/>
      <c r="U43" s="803"/>
      <c r="V43" s="803"/>
      <c r="W43" s="803"/>
      <c r="X43" s="803"/>
      <c r="Y43" s="803"/>
      <c r="Z43" s="803"/>
      <c r="AA43" s="803"/>
      <c r="AB43" s="803"/>
      <c r="AC43" s="803"/>
      <c r="AD43" s="804"/>
      <c r="AE43" s="97"/>
    </row>
    <row r="44" spans="1:41" ht="69.599999999999994" customHeight="1" x14ac:dyDescent="0.3">
      <c r="A44" s="787" t="s">
        <v>128</v>
      </c>
      <c r="B44" s="756">
        <v>0.02</v>
      </c>
      <c r="C44" s="337" t="s">
        <v>62</v>
      </c>
      <c r="D44" s="350">
        <v>0.02</v>
      </c>
      <c r="E44" s="350">
        <v>0.1</v>
      </c>
      <c r="F44" s="350">
        <v>0.1</v>
      </c>
      <c r="G44" s="350">
        <v>0.1</v>
      </c>
      <c r="H44" s="350">
        <v>0.1</v>
      </c>
      <c r="I44" s="350">
        <v>0.09</v>
      </c>
      <c r="J44" s="350">
        <v>0.09</v>
      </c>
      <c r="K44" s="350">
        <v>0.09</v>
      </c>
      <c r="L44" s="350">
        <v>0.09</v>
      </c>
      <c r="M44" s="350">
        <v>0.09</v>
      </c>
      <c r="N44" s="350">
        <v>0.09</v>
      </c>
      <c r="O44" s="350">
        <v>0.04</v>
      </c>
      <c r="P44" s="323">
        <f t="shared" si="2"/>
        <v>0.99999999999999989</v>
      </c>
      <c r="Q44" s="808" t="s">
        <v>553</v>
      </c>
      <c r="R44" s="809"/>
      <c r="S44" s="809"/>
      <c r="T44" s="809"/>
      <c r="U44" s="809"/>
      <c r="V44" s="809"/>
      <c r="W44" s="809"/>
      <c r="X44" s="809"/>
      <c r="Y44" s="809"/>
      <c r="Z44" s="809"/>
      <c r="AA44" s="809"/>
      <c r="AB44" s="809"/>
      <c r="AC44" s="809"/>
      <c r="AD44" s="810"/>
      <c r="AE44" s="97"/>
    </row>
    <row r="45" spans="1:41" ht="95.25" customHeight="1" thickBot="1" x14ac:dyDescent="0.35">
      <c r="A45" s="815"/>
      <c r="B45" s="757"/>
      <c r="C45" s="340" t="s">
        <v>63</v>
      </c>
      <c r="D45" s="327">
        <v>0</v>
      </c>
      <c r="E45" s="327">
        <v>0.03</v>
      </c>
      <c r="F45" s="327">
        <v>0.1</v>
      </c>
      <c r="G45" s="327">
        <v>0.14000000000000001</v>
      </c>
      <c r="H45" s="327">
        <v>0.14000000000000001</v>
      </c>
      <c r="I45" s="327">
        <v>0.1</v>
      </c>
      <c r="J45" s="327">
        <v>0.09</v>
      </c>
      <c r="K45" s="327">
        <v>0.09</v>
      </c>
      <c r="L45" s="327">
        <v>0.09</v>
      </c>
      <c r="M45" s="327">
        <v>0.09</v>
      </c>
      <c r="N45" s="327"/>
      <c r="O45" s="327"/>
      <c r="P45" s="329">
        <f t="shared" si="2"/>
        <v>0.86999999999999988</v>
      </c>
      <c r="Q45" s="811"/>
      <c r="R45" s="812"/>
      <c r="S45" s="812"/>
      <c r="T45" s="812"/>
      <c r="U45" s="812"/>
      <c r="V45" s="812"/>
      <c r="W45" s="812"/>
      <c r="X45" s="812"/>
      <c r="Y45" s="812"/>
      <c r="Z45" s="812"/>
      <c r="AA45" s="812"/>
      <c r="AB45" s="812"/>
      <c r="AC45" s="812"/>
      <c r="AD45" s="813"/>
      <c r="AE45" s="97"/>
    </row>
    <row r="46" spans="1:41" x14ac:dyDescent="0.3">
      <c r="A46" s="194" t="s">
        <v>89</v>
      </c>
      <c r="Q46" s="194"/>
      <c r="R46" s="194"/>
      <c r="S46" s="194"/>
      <c r="T46" s="194"/>
      <c r="U46" s="194"/>
      <c r="V46" s="194"/>
      <c r="W46" s="194"/>
      <c r="X46" s="194"/>
      <c r="Y46" s="194"/>
      <c r="Z46" s="194"/>
      <c r="AA46" s="194"/>
      <c r="AB46" s="194"/>
      <c r="AC46" s="194"/>
      <c r="AD46" s="194"/>
    </row>
    <row r="47" spans="1:41" x14ac:dyDescent="0.3">
      <c r="A47" s="194"/>
      <c r="Q47" s="194"/>
      <c r="R47" s="194"/>
      <c r="S47" s="194"/>
      <c r="T47" s="194"/>
      <c r="U47" s="194"/>
      <c r="V47" s="194"/>
      <c r="W47" s="194"/>
      <c r="X47" s="194"/>
      <c r="Y47" s="194"/>
      <c r="Z47" s="194"/>
      <c r="AA47" s="194"/>
      <c r="AB47" s="194"/>
      <c r="AC47" s="194"/>
      <c r="AD47" s="194"/>
    </row>
    <row r="48" spans="1:41" x14ac:dyDescent="0.3">
      <c r="A48" s="194"/>
      <c r="Q48" s="194"/>
      <c r="R48" s="194"/>
      <c r="S48" s="194"/>
      <c r="T48" s="194"/>
      <c r="U48" s="194"/>
      <c r="V48" s="194"/>
      <c r="W48" s="194"/>
      <c r="X48" s="194"/>
      <c r="Y48" s="194"/>
      <c r="Z48" s="194"/>
      <c r="AA48" s="194"/>
      <c r="AB48" s="194"/>
      <c r="AC48" s="194"/>
      <c r="AD48" s="194"/>
    </row>
    <row r="49" spans="1:30" x14ac:dyDescent="0.3">
      <c r="A49" s="194"/>
      <c r="Q49" s="194"/>
      <c r="R49" s="194"/>
      <c r="S49" s="194"/>
      <c r="T49" s="194"/>
      <c r="U49" s="194"/>
      <c r="V49" s="194"/>
      <c r="W49" s="194"/>
      <c r="X49" s="194"/>
      <c r="Y49" s="194"/>
      <c r="Z49" s="194"/>
      <c r="AA49" s="194"/>
      <c r="AB49" s="194"/>
      <c r="AC49" s="194"/>
      <c r="AD49" s="194"/>
    </row>
    <row r="50" spans="1:30" x14ac:dyDescent="0.3">
      <c r="A50" s="194"/>
      <c r="Q50" s="194"/>
      <c r="R50" s="194"/>
      <c r="S50" s="194"/>
      <c r="T50" s="194"/>
      <c r="U50" s="194"/>
      <c r="V50" s="194"/>
      <c r="W50" s="194"/>
      <c r="X50" s="194"/>
      <c r="Y50" s="194"/>
      <c r="Z50" s="194"/>
      <c r="AA50" s="194"/>
      <c r="AB50" s="194"/>
      <c r="AC50" s="194"/>
      <c r="AD50" s="194"/>
    </row>
    <row r="51" spans="1:30" x14ac:dyDescent="0.3">
      <c r="A51" s="194"/>
      <c r="Q51" s="194"/>
      <c r="R51" s="194"/>
      <c r="S51" s="194"/>
      <c r="T51" s="194"/>
      <c r="U51" s="194"/>
      <c r="V51" s="194"/>
      <c r="W51" s="194"/>
      <c r="X51" s="194"/>
      <c r="Y51" s="194"/>
      <c r="Z51" s="194"/>
      <c r="AA51" s="194"/>
      <c r="AB51" s="194"/>
      <c r="AC51" s="194"/>
      <c r="AD51" s="194"/>
    </row>
    <row r="52" spans="1:30" x14ac:dyDescent="0.3">
      <c r="A52" s="194"/>
      <c r="Q52" s="194"/>
      <c r="R52" s="194"/>
      <c r="S52" s="194"/>
      <c r="T52" s="194"/>
      <c r="U52" s="194"/>
      <c r="V52" s="194"/>
      <c r="W52" s="194"/>
      <c r="X52" s="194"/>
      <c r="Y52" s="194"/>
      <c r="Z52" s="194"/>
      <c r="AA52" s="194"/>
      <c r="AB52" s="194"/>
      <c r="AC52" s="194"/>
      <c r="AD52" s="194"/>
    </row>
    <row r="53" spans="1:30" hidden="1" x14ac:dyDescent="0.3">
      <c r="A53" s="194"/>
      <c r="Q53" s="194"/>
      <c r="R53" s="194"/>
      <c r="S53" s="194"/>
      <c r="T53" s="194"/>
      <c r="U53" s="194"/>
      <c r="V53" s="194"/>
      <c r="W53" s="194"/>
      <c r="X53" s="194"/>
      <c r="Y53" s="194"/>
      <c r="Z53" s="194"/>
      <c r="AA53" s="194"/>
      <c r="AB53" s="194"/>
      <c r="AC53" s="194"/>
      <c r="AD53" s="194"/>
    </row>
    <row r="54" spans="1:30" ht="15" hidden="1" thickBot="1" x14ac:dyDescent="0.35">
      <c r="A54" s="194"/>
      <c r="Q54" s="194"/>
      <c r="R54" s="194"/>
      <c r="S54" s="194"/>
      <c r="T54" s="194"/>
      <c r="U54" s="194"/>
      <c r="V54" s="194"/>
      <c r="W54" s="194"/>
      <c r="X54" s="194"/>
      <c r="Y54" s="194"/>
      <c r="Z54" s="194"/>
      <c r="AA54" s="194"/>
      <c r="AB54" s="194"/>
      <c r="AC54" s="194"/>
      <c r="AD54" s="194"/>
    </row>
    <row r="55" spans="1:30" hidden="1" x14ac:dyDescent="0.3">
      <c r="A55" s="816" t="s">
        <v>90</v>
      </c>
      <c r="B55" s="818" t="s">
        <v>65</v>
      </c>
      <c r="C55" s="819" t="s">
        <v>66</v>
      </c>
      <c r="D55" s="820"/>
      <c r="E55" s="820"/>
      <c r="F55" s="820"/>
      <c r="G55" s="820"/>
      <c r="H55" s="820"/>
      <c r="I55" s="820"/>
      <c r="J55" s="820"/>
      <c r="K55" s="820"/>
      <c r="L55" s="820"/>
      <c r="M55" s="820"/>
      <c r="N55" s="820"/>
      <c r="O55" s="820"/>
      <c r="P55" s="821"/>
      <c r="Q55" s="195"/>
      <c r="R55" s="195"/>
      <c r="S55" s="194"/>
      <c r="T55" s="194"/>
      <c r="U55" s="194"/>
      <c r="V55" s="194"/>
      <c r="W55" s="194"/>
      <c r="X55" s="194"/>
      <c r="Y55" s="194"/>
      <c r="Z55" s="194"/>
      <c r="AA55" s="194"/>
      <c r="AB55" s="194"/>
      <c r="AC55" s="194"/>
      <c r="AD55" s="194"/>
    </row>
    <row r="56" spans="1:30" hidden="1" x14ac:dyDescent="0.3">
      <c r="A56" s="817"/>
      <c r="B56" s="793"/>
      <c r="C56" s="177" t="s">
        <v>68</v>
      </c>
      <c r="D56" s="177" t="s">
        <v>69</v>
      </c>
      <c r="E56" s="177" t="s">
        <v>70</v>
      </c>
      <c r="F56" s="177" t="s">
        <v>71</v>
      </c>
      <c r="G56" s="177" t="s">
        <v>72</v>
      </c>
      <c r="H56" s="177" t="s">
        <v>73</v>
      </c>
      <c r="I56" s="177" t="s">
        <v>74</v>
      </c>
      <c r="J56" s="177" t="s">
        <v>75</v>
      </c>
      <c r="K56" s="177" t="s">
        <v>76</v>
      </c>
      <c r="L56" s="177" t="s">
        <v>77</v>
      </c>
      <c r="M56" s="177" t="s">
        <v>78</v>
      </c>
      <c r="N56" s="177" t="s">
        <v>79</v>
      </c>
      <c r="O56" s="177" t="s">
        <v>80</v>
      </c>
      <c r="P56" s="188" t="s">
        <v>81</v>
      </c>
      <c r="Q56" s="195"/>
      <c r="R56" s="195"/>
      <c r="S56" s="194"/>
      <c r="T56" s="194"/>
      <c r="U56" s="194"/>
      <c r="V56" s="194"/>
      <c r="W56" s="194"/>
      <c r="X56" s="194"/>
      <c r="Y56" s="194"/>
      <c r="Z56" s="194"/>
      <c r="AA56" s="194"/>
      <c r="AB56" s="194"/>
      <c r="AC56" s="194"/>
      <c r="AD56" s="194"/>
    </row>
    <row r="57" spans="1:30" ht="18" hidden="1" customHeight="1" x14ac:dyDescent="0.3">
      <c r="A57" s="822" t="str">
        <f>A38</f>
        <v>17. Realizar atenciones en intervención de trabajo  social que comprenden plan de intervención, valoraciones iniciales, intervenciones y seguimiento a mujeres que realizan actividades sexuales pagadas.</v>
      </c>
      <c r="B57" s="565">
        <f>B38</f>
        <v>0.1</v>
      </c>
      <c r="C57" s="176" t="s">
        <v>62</v>
      </c>
      <c r="D57" s="175">
        <f>D38*$B$38/$P$38</f>
        <v>8.0000000000000036E-3</v>
      </c>
      <c r="E57" s="175">
        <f t="shared" ref="D57:O58" si="3">E38*$B$38/$P$38</f>
        <v>9.0000000000000028E-3</v>
      </c>
      <c r="F57" s="175">
        <f t="shared" si="3"/>
        <v>9.0000000000000028E-3</v>
      </c>
      <c r="G57" s="175">
        <f t="shared" si="3"/>
        <v>9.0000000000000028E-3</v>
      </c>
      <c r="H57" s="175">
        <f t="shared" si="3"/>
        <v>9.0000000000000028E-3</v>
      </c>
      <c r="I57" s="175">
        <f t="shared" si="3"/>
        <v>8.0000000000000036E-3</v>
      </c>
      <c r="J57" s="175">
        <f t="shared" si="3"/>
        <v>8.0000000000000036E-3</v>
      </c>
      <c r="K57" s="175">
        <f t="shared" si="3"/>
        <v>8.0000000000000036E-3</v>
      </c>
      <c r="L57" s="175">
        <f t="shared" si="3"/>
        <v>8.0000000000000036E-3</v>
      </c>
      <c r="M57" s="175">
        <f t="shared" si="3"/>
        <v>8.0000000000000036E-3</v>
      </c>
      <c r="N57" s="175">
        <f t="shared" si="3"/>
        <v>8.0000000000000036E-3</v>
      </c>
      <c r="O57" s="175">
        <f t="shared" si="3"/>
        <v>8.0000000000000036E-3</v>
      </c>
      <c r="P57" s="189">
        <f t="shared" ref="P57:P64" si="4">SUM(D57:O57)</f>
        <v>0.10000000000000006</v>
      </c>
      <c r="Q57" s="197">
        <v>0.05</v>
      </c>
      <c r="R57" s="198">
        <f t="shared" ref="R57:R71" si="5">+P57-Q57</f>
        <v>5.0000000000000058E-2</v>
      </c>
      <c r="S57" s="194"/>
      <c r="T57" s="194"/>
      <c r="U57" s="194"/>
      <c r="V57" s="194"/>
      <c r="W57" s="194"/>
      <c r="X57" s="194"/>
      <c r="Y57" s="194"/>
      <c r="Z57" s="194"/>
      <c r="AA57" s="194"/>
      <c r="AB57" s="194"/>
      <c r="AC57" s="194"/>
      <c r="AD57" s="194"/>
    </row>
    <row r="58" spans="1:30" ht="18" hidden="1" customHeight="1" x14ac:dyDescent="0.3">
      <c r="A58" s="823"/>
      <c r="B58" s="824"/>
      <c r="C58" s="173" t="s">
        <v>63</v>
      </c>
      <c r="D58" s="172">
        <f t="shared" si="3"/>
        <v>8.0000000000000036E-3</v>
      </c>
      <c r="E58" s="172">
        <f t="shared" si="3"/>
        <v>9.0000000000000028E-3</v>
      </c>
      <c r="F58" s="172">
        <f t="shared" si="3"/>
        <v>9.0000000000000028E-3</v>
      </c>
      <c r="G58" s="172">
        <f t="shared" si="3"/>
        <v>9.0000000000000028E-3</v>
      </c>
      <c r="H58" s="172">
        <f t="shared" si="3"/>
        <v>9.0000000000000028E-3</v>
      </c>
      <c r="I58" s="172">
        <f t="shared" si="3"/>
        <v>8.0000000000000036E-3</v>
      </c>
      <c r="J58" s="172">
        <f t="shared" si="3"/>
        <v>8.0000000000000036E-3</v>
      </c>
      <c r="K58" s="172">
        <f t="shared" si="3"/>
        <v>8.0000000000000036E-3</v>
      </c>
      <c r="L58" s="172">
        <f t="shared" si="3"/>
        <v>8.0000000000000036E-3</v>
      </c>
      <c r="M58" s="172">
        <f t="shared" si="3"/>
        <v>8.0000000000000036E-3</v>
      </c>
      <c r="N58" s="172">
        <f t="shared" si="3"/>
        <v>0</v>
      </c>
      <c r="O58" s="172">
        <f t="shared" si="3"/>
        <v>0</v>
      </c>
      <c r="P58" s="190">
        <f t="shared" si="4"/>
        <v>8.4000000000000047E-2</v>
      </c>
      <c r="Q58" s="199">
        <f>+P58</f>
        <v>8.4000000000000047E-2</v>
      </c>
      <c r="R58" s="198">
        <f t="shared" si="5"/>
        <v>0</v>
      </c>
      <c r="S58" s="194"/>
      <c r="T58" s="194"/>
      <c r="U58" s="194"/>
      <c r="V58" s="194"/>
      <c r="W58" s="194"/>
      <c r="X58" s="194"/>
      <c r="Y58" s="194"/>
      <c r="Z58" s="194"/>
      <c r="AA58" s="194"/>
      <c r="AB58" s="194"/>
      <c r="AC58" s="194"/>
      <c r="AD58" s="194"/>
    </row>
    <row r="59" spans="1:30" ht="18" hidden="1" customHeight="1" x14ac:dyDescent="0.3">
      <c r="A59" s="822" t="str">
        <f>A40</f>
        <v>18.  Realizar atenciones psicosociales  (valoraciones iniciales, asesoría y seguimientos) a mujeres que realizan actividades sexuales pagadas y sus familias</v>
      </c>
      <c r="B59" s="548">
        <f>B40</f>
        <v>0.1</v>
      </c>
      <c r="C59" s="176" t="s">
        <v>62</v>
      </c>
      <c r="D59" s="175">
        <f t="shared" ref="D59:O60" si="6">D40*$B$40/$P$40</f>
        <v>8.0000000000000036E-3</v>
      </c>
      <c r="E59" s="175">
        <f t="shared" si="6"/>
        <v>9.0000000000000028E-3</v>
      </c>
      <c r="F59" s="175">
        <f t="shared" si="6"/>
        <v>9.0000000000000028E-3</v>
      </c>
      <c r="G59" s="175">
        <f t="shared" si="6"/>
        <v>9.0000000000000028E-3</v>
      </c>
      <c r="H59" s="175">
        <f t="shared" si="6"/>
        <v>9.0000000000000028E-3</v>
      </c>
      <c r="I59" s="175">
        <f t="shared" si="6"/>
        <v>8.0000000000000036E-3</v>
      </c>
      <c r="J59" s="175">
        <f t="shared" si="6"/>
        <v>8.0000000000000036E-3</v>
      </c>
      <c r="K59" s="175">
        <f t="shared" si="6"/>
        <v>8.0000000000000036E-3</v>
      </c>
      <c r="L59" s="175">
        <f t="shared" si="6"/>
        <v>8.0000000000000036E-3</v>
      </c>
      <c r="M59" s="175">
        <f t="shared" si="6"/>
        <v>8.0000000000000036E-3</v>
      </c>
      <c r="N59" s="175">
        <f t="shared" si="6"/>
        <v>8.0000000000000036E-3</v>
      </c>
      <c r="O59" s="175">
        <f t="shared" si="6"/>
        <v>8.0000000000000036E-3</v>
      </c>
      <c r="P59" s="189">
        <f t="shared" si="4"/>
        <v>0.10000000000000006</v>
      </c>
      <c r="Q59" s="197">
        <v>2.5000000000000001E-2</v>
      </c>
      <c r="R59" s="198">
        <f t="shared" si="5"/>
        <v>7.5000000000000067E-2</v>
      </c>
      <c r="S59" s="194"/>
      <c r="T59" s="194"/>
      <c r="U59" s="194"/>
      <c r="V59" s="194"/>
      <c r="W59" s="194"/>
      <c r="X59" s="194"/>
      <c r="Y59" s="194"/>
      <c r="Z59" s="194"/>
      <c r="AA59" s="194"/>
      <c r="AB59" s="194"/>
      <c r="AC59" s="194"/>
      <c r="AD59" s="194"/>
    </row>
    <row r="60" spans="1:30" ht="18" hidden="1" customHeight="1" x14ac:dyDescent="0.3">
      <c r="A60" s="827"/>
      <c r="B60" s="828"/>
      <c r="C60" s="173" t="s">
        <v>63</v>
      </c>
      <c r="D60" s="172">
        <f t="shared" si="6"/>
        <v>8.0000000000000036E-3</v>
      </c>
      <c r="E60" s="172">
        <f t="shared" si="6"/>
        <v>9.0000000000000028E-3</v>
      </c>
      <c r="F60" s="172">
        <f t="shared" si="6"/>
        <v>9.0000000000000028E-3</v>
      </c>
      <c r="G60" s="172">
        <f t="shared" si="6"/>
        <v>9.0000000000000028E-3</v>
      </c>
      <c r="H60" s="172">
        <f t="shared" si="6"/>
        <v>9.0000000000000028E-3</v>
      </c>
      <c r="I60" s="172">
        <f t="shared" si="6"/>
        <v>8.0000000000000036E-3</v>
      </c>
      <c r="J60" s="172">
        <f t="shared" si="6"/>
        <v>8.0000000000000036E-3</v>
      </c>
      <c r="K60" s="172">
        <f t="shared" si="6"/>
        <v>8.0000000000000036E-3</v>
      </c>
      <c r="L60" s="172">
        <f t="shared" si="6"/>
        <v>8.0000000000000036E-3</v>
      </c>
      <c r="M60" s="172">
        <f t="shared" si="6"/>
        <v>8.0000000000000036E-3</v>
      </c>
      <c r="N60" s="172">
        <f t="shared" si="6"/>
        <v>0</v>
      </c>
      <c r="O60" s="172">
        <f t="shared" si="6"/>
        <v>0</v>
      </c>
      <c r="P60" s="190">
        <f t="shared" si="4"/>
        <v>8.4000000000000047E-2</v>
      </c>
      <c r="Q60" s="199">
        <f>+P60</f>
        <v>8.4000000000000047E-2</v>
      </c>
      <c r="R60" s="198">
        <f t="shared" si="5"/>
        <v>0</v>
      </c>
      <c r="S60" s="194"/>
      <c r="T60" s="194"/>
      <c r="U60" s="194"/>
      <c r="V60" s="194"/>
      <c r="W60" s="194"/>
      <c r="X60" s="194"/>
      <c r="Y60" s="194"/>
      <c r="Z60" s="194"/>
      <c r="AA60" s="194"/>
      <c r="AB60" s="194"/>
      <c r="AC60" s="194"/>
      <c r="AD60" s="194"/>
    </row>
    <row r="61" spans="1:30" ht="18" hidden="1" customHeight="1" x14ac:dyDescent="0.3">
      <c r="A61" s="822" t="str">
        <f>A42</f>
        <v>19. Realizar atenciones jurídicas a mujeres que realizan actividades sexuales pagadas, que consisten en orientación, asesoría y representación jurídica especializada y llevar casos de intervención o representación judicial, con valoraciones iniciales, asesorías u orientaciones y seguimiento.</v>
      </c>
      <c r="B61" s="548">
        <f>B42</f>
        <v>0.1</v>
      </c>
      <c r="C61" s="176" t="s">
        <v>62</v>
      </c>
      <c r="D61" s="175">
        <f t="shared" ref="D61:O62" si="7">D42*$B$42/$P$42</f>
        <v>8.0000000000000036E-3</v>
      </c>
      <c r="E61" s="175">
        <f t="shared" si="7"/>
        <v>9.0000000000000028E-3</v>
      </c>
      <c r="F61" s="175">
        <f t="shared" si="7"/>
        <v>9.0000000000000028E-3</v>
      </c>
      <c r="G61" s="175">
        <f t="shared" si="7"/>
        <v>9.0000000000000028E-3</v>
      </c>
      <c r="H61" s="175">
        <f t="shared" si="7"/>
        <v>9.0000000000000028E-3</v>
      </c>
      <c r="I61" s="175">
        <f t="shared" si="7"/>
        <v>8.0000000000000036E-3</v>
      </c>
      <c r="J61" s="175">
        <f t="shared" si="7"/>
        <v>8.0000000000000036E-3</v>
      </c>
      <c r="K61" s="175">
        <f t="shared" si="7"/>
        <v>8.0000000000000036E-3</v>
      </c>
      <c r="L61" s="175">
        <f t="shared" si="7"/>
        <v>8.0000000000000036E-3</v>
      </c>
      <c r="M61" s="175">
        <f t="shared" si="7"/>
        <v>8.0000000000000036E-3</v>
      </c>
      <c r="N61" s="175">
        <f t="shared" si="7"/>
        <v>8.0000000000000036E-3</v>
      </c>
      <c r="O61" s="175">
        <f t="shared" si="7"/>
        <v>8.0000000000000036E-3</v>
      </c>
      <c r="P61" s="189">
        <f t="shared" si="4"/>
        <v>0.10000000000000006</v>
      </c>
      <c r="Q61" s="197">
        <v>2.5000000000000001E-2</v>
      </c>
      <c r="R61" s="198">
        <f t="shared" si="5"/>
        <v>7.5000000000000067E-2</v>
      </c>
      <c r="S61" s="194"/>
      <c r="T61" s="194"/>
      <c r="U61" s="194"/>
      <c r="V61" s="194"/>
      <c r="W61" s="194"/>
      <c r="X61" s="194"/>
      <c r="Y61" s="194"/>
      <c r="Z61" s="194"/>
      <c r="AA61" s="194"/>
      <c r="AB61" s="194"/>
      <c r="AC61" s="194"/>
      <c r="AD61" s="194"/>
    </row>
    <row r="62" spans="1:30" ht="18" hidden="1" customHeight="1" x14ac:dyDescent="0.3">
      <c r="A62" s="827"/>
      <c r="B62" s="828"/>
      <c r="C62" s="173" t="s">
        <v>63</v>
      </c>
      <c r="D62" s="172">
        <f t="shared" si="7"/>
        <v>8.0000000000000036E-3</v>
      </c>
      <c r="E62" s="172">
        <f t="shared" si="7"/>
        <v>9.0000000000000028E-3</v>
      </c>
      <c r="F62" s="172">
        <f t="shared" si="7"/>
        <v>9.0000000000000028E-3</v>
      </c>
      <c r="G62" s="172">
        <f t="shared" si="7"/>
        <v>9.0000000000000028E-3</v>
      </c>
      <c r="H62" s="172">
        <f t="shared" si="7"/>
        <v>9.0000000000000028E-3</v>
      </c>
      <c r="I62" s="172">
        <f t="shared" si="7"/>
        <v>8.0000000000000036E-3</v>
      </c>
      <c r="J62" s="172">
        <f t="shared" si="7"/>
        <v>8.0000000000000036E-3</v>
      </c>
      <c r="K62" s="172">
        <f t="shared" si="7"/>
        <v>8.0000000000000036E-3</v>
      </c>
      <c r="L62" s="172">
        <f t="shared" si="7"/>
        <v>8.0000000000000036E-3</v>
      </c>
      <c r="M62" s="172">
        <f t="shared" si="7"/>
        <v>8.0000000000000036E-3</v>
      </c>
      <c r="N62" s="172">
        <f t="shared" si="7"/>
        <v>0</v>
      </c>
      <c r="O62" s="172">
        <f t="shared" si="7"/>
        <v>0</v>
      </c>
      <c r="P62" s="190">
        <f t="shared" si="4"/>
        <v>8.4000000000000047E-2</v>
      </c>
      <c r="Q62" s="199">
        <f>+P62</f>
        <v>8.4000000000000047E-2</v>
      </c>
      <c r="R62" s="198">
        <f t="shared" si="5"/>
        <v>0</v>
      </c>
      <c r="S62" s="194"/>
      <c r="T62" s="194"/>
      <c r="U62" s="194"/>
      <c r="V62" s="194"/>
      <c r="W62" s="194"/>
      <c r="X62" s="194"/>
      <c r="Y62" s="194"/>
      <c r="Z62" s="194"/>
      <c r="AA62" s="194"/>
      <c r="AB62" s="194"/>
      <c r="AC62" s="194"/>
      <c r="AD62" s="194"/>
    </row>
    <row r="63" spans="1:30" ht="18" hidden="1" customHeight="1" x14ac:dyDescent="0.3">
      <c r="A63" s="822" t="str">
        <f>A44</f>
        <v>20. Generar información de los sitios, dinámicas y contextos de las actividades sexuales pagadas en Bogotá</v>
      </c>
      <c r="B63" s="548">
        <f>B44</f>
        <v>0.02</v>
      </c>
      <c r="C63" s="176" t="s">
        <v>62</v>
      </c>
      <c r="D63" s="175">
        <f t="shared" ref="D63:O64" si="8">D44*$B$44/$P$44</f>
        <v>4.0000000000000007E-4</v>
      </c>
      <c r="E63" s="175">
        <f t="shared" si="8"/>
        <v>2.0000000000000005E-3</v>
      </c>
      <c r="F63" s="175">
        <f t="shared" si="8"/>
        <v>2.0000000000000005E-3</v>
      </c>
      <c r="G63" s="175">
        <f t="shared" si="8"/>
        <v>2.0000000000000005E-3</v>
      </c>
      <c r="H63" s="175">
        <f t="shared" si="8"/>
        <v>2.0000000000000005E-3</v>
      </c>
      <c r="I63" s="175">
        <f t="shared" si="8"/>
        <v>1.8000000000000002E-3</v>
      </c>
      <c r="J63" s="175">
        <f t="shared" si="8"/>
        <v>1.8000000000000002E-3</v>
      </c>
      <c r="K63" s="175">
        <f t="shared" si="8"/>
        <v>1.8000000000000002E-3</v>
      </c>
      <c r="L63" s="175">
        <f t="shared" si="8"/>
        <v>1.8000000000000002E-3</v>
      </c>
      <c r="M63" s="175">
        <f t="shared" si="8"/>
        <v>1.8000000000000002E-3</v>
      </c>
      <c r="N63" s="175">
        <f t="shared" si="8"/>
        <v>1.8000000000000002E-3</v>
      </c>
      <c r="O63" s="175">
        <f t="shared" si="8"/>
        <v>8.0000000000000015E-4</v>
      </c>
      <c r="P63" s="189">
        <f t="shared" si="4"/>
        <v>1.9999999999999997E-2</v>
      </c>
      <c r="Q63" s="197">
        <v>0.02</v>
      </c>
      <c r="R63" s="198">
        <f t="shared" si="5"/>
        <v>0</v>
      </c>
      <c r="S63" s="194"/>
      <c r="T63" s="194"/>
      <c r="U63" s="194"/>
      <c r="V63" s="194"/>
      <c r="W63" s="194"/>
      <c r="X63" s="194"/>
      <c r="Y63" s="194"/>
      <c r="Z63" s="194"/>
      <c r="AA63" s="194"/>
      <c r="AB63" s="194"/>
      <c r="AC63" s="194"/>
      <c r="AD63" s="194"/>
    </row>
    <row r="64" spans="1:30" ht="18" hidden="1" customHeight="1" thickBot="1" x14ac:dyDescent="0.35">
      <c r="A64" s="829"/>
      <c r="B64" s="830"/>
      <c r="C64" s="191" t="s">
        <v>63</v>
      </c>
      <c r="D64" s="192">
        <f t="shared" si="8"/>
        <v>0</v>
      </c>
      <c r="E64" s="192">
        <f t="shared" si="8"/>
        <v>6.0000000000000006E-4</v>
      </c>
      <c r="F64" s="192">
        <f t="shared" si="8"/>
        <v>2.0000000000000005E-3</v>
      </c>
      <c r="G64" s="192">
        <f t="shared" si="8"/>
        <v>2.8000000000000008E-3</v>
      </c>
      <c r="H64" s="192">
        <f t="shared" si="8"/>
        <v>2.8000000000000008E-3</v>
      </c>
      <c r="I64" s="192">
        <f t="shared" si="8"/>
        <v>2.0000000000000005E-3</v>
      </c>
      <c r="J64" s="192">
        <f t="shared" si="8"/>
        <v>1.8000000000000002E-3</v>
      </c>
      <c r="K64" s="192">
        <f t="shared" si="8"/>
        <v>1.8000000000000002E-3</v>
      </c>
      <c r="L64" s="192">
        <f t="shared" si="8"/>
        <v>1.8000000000000002E-3</v>
      </c>
      <c r="M64" s="192">
        <f t="shared" si="8"/>
        <v>1.8000000000000002E-3</v>
      </c>
      <c r="N64" s="192">
        <f t="shared" si="8"/>
        <v>0</v>
      </c>
      <c r="O64" s="192">
        <f t="shared" si="8"/>
        <v>0</v>
      </c>
      <c r="P64" s="193">
        <f t="shared" si="4"/>
        <v>1.7400000000000002E-2</v>
      </c>
      <c r="Q64" s="199">
        <f>+P64</f>
        <v>1.7400000000000002E-2</v>
      </c>
      <c r="R64" s="198">
        <f t="shared" si="5"/>
        <v>0</v>
      </c>
      <c r="S64" s="194"/>
      <c r="T64" s="194"/>
      <c r="U64" s="194"/>
      <c r="V64" s="194"/>
      <c r="W64" s="194"/>
      <c r="X64" s="194"/>
      <c r="Y64" s="194"/>
      <c r="Z64" s="194"/>
      <c r="AA64" s="194"/>
      <c r="AB64" s="194"/>
      <c r="AC64" s="194"/>
      <c r="AD64" s="194"/>
    </row>
    <row r="65" spans="1:30" hidden="1" x14ac:dyDescent="0.3">
      <c r="A65" s="550"/>
      <c r="B65" s="551"/>
      <c r="C65" s="184"/>
      <c r="D65" s="175"/>
      <c r="E65" s="175"/>
      <c r="F65" s="175"/>
      <c r="G65" s="175"/>
      <c r="H65" s="175"/>
      <c r="I65" s="175"/>
      <c r="J65" s="175"/>
      <c r="K65" s="175"/>
      <c r="L65" s="175"/>
      <c r="M65" s="175"/>
      <c r="N65" s="175"/>
      <c r="O65" s="175"/>
      <c r="P65" s="185"/>
      <c r="Q65" s="197">
        <v>0.02</v>
      </c>
      <c r="R65" s="198">
        <f t="shared" si="5"/>
        <v>-0.02</v>
      </c>
      <c r="S65" s="194"/>
      <c r="T65" s="194"/>
      <c r="U65" s="194"/>
      <c r="V65" s="194"/>
      <c r="W65" s="194"/>
      <c r="X65" s="194"/>
      <c r="Y65" s="194"/>
      <c r="Z65" s="194"/>
      <c r="AA65" s="194"/>
      <c r="AB65" s="194"/>
      <c r="AC65" s="194"/>
      <c r="AD65" s="194"/>
    </row>
    <row r="66" spans="1:30" hidden="1" x14ac:dyDescent="0.3">
      <c r="A66" s="825"/>
      <c r="B66" s="826"/>
      <c r="C66" s="184"/>
      <c r="D66" s="168"/>
      <c r="E66" s="168"/>
      <c r="F66" s="168"/>
      <c r="G66" s="168"/>
      <c r="H66" s="168"/>
      <c r="I66" s="168"/>
      <c r="J66" s="168"/>
      <c r="K66" s="168"/>
      <c r="L66" s="168"/>
      <c r="M66" s="168"/>
      <c r="N66" s="168"/>
      <c r="O66" s="168"/>
      <c r="P66" s="185"/>
      <c r="Q66" s="199">
        <f>+P66</f>
        <v>0</v>
      </c>
      <c r="R66" s="198">
        <f t="shared" si="5"/>
        <v>0</v>
      </c>
      <c r="S66" s="194"/>
      <c r="T66" s="194"/>
      <c r="U66" s="194"/>
      <c r="V66" s="194"/>
      <c r="W66" s="194"/>
      <c r="X66" s="194"/>
      <c r="Y66" s="194"/>
      <c r="Z66" s="194"/>
      <c r="AA66" s="194"/>
      <c r="AB66" s="194"/>
      <c r="AC66" s="194"/>
      <c r="AD66" s="194"/>
    </row>
    <row r="67" spans="1:30" hidden="1" x14ac:dyDescent="0.3">
      <c r="A67" s="550"/>
      <c r="B67" s="551"/>
      <c r="C67" s="184"/>
      <c r="D67" s="175"/>
      <c r="E67" s="175"/>
      <c r="F67" s="175"/>
      <c r="G67" s="175"/>
      <c r="H67" s="175"/>
      <c r="I67" s="175"/>
      <c r="J67" s="175"/>
      <c r="K67" s="175"/>
      <c r="L67" s="175"/>
      <c r="M67" s="175"/>
      <c r="N67" s="175"/>
      <c r="O67" s="175"/>
      <c r="P67" s="185"/>
      <c r="Q67" s="197">
        <v>0.02</v>
      </c>
      <c r="R67" s="198">
        <f t="shared" si="5"/>
        <v>-0.02</v>
      </c>
      <c r="S67" s="194"/>
      <c r="T67" s="194"/>
      <c r="U67" s="194"/>
      <c r="V67" s="194"/>
      <c r="W67" s="194"/>
      <c r="X67" s="194"/>
      <c r="Y67" s="194"/>
      <c r="Z67" s="194"/>
      <c r="AA67" s="194"/>
      <c r="AB67" s="194"/>
      <c r="AC67" s="194"/>
      <c r="AD67" s="194"/>
    </row>
    <row r="68" spans="1:30" hidden="1" x14ac:dyDescent="0.3">
      <c r="A68" s="825"/>
      <c r="B68" s="826"/>
      <c r="C68" s="184"/>
      <c r="D68" s="168"/>
      <c r="E68" s="168"/>
      <c r="F68" s="168"/>
      <c r="G68" s="168"/>
      <c r="H68" s="168"/>
      <c r="I68" s="168"/>
      <c r="J68" s="168"/>
      <c r="K68" s="168"/>
      <c r="L68" s="168"/>
      <c r="M68" s="168"/>
      <c r="N68" s="168"/>
      <c r="O68" s="168"/>
      <c r="P68" s="185"/>
      <c r="Q68" s="199">
        <f>+P68</f>
        <v>0</v>
      </c>
      <c r="R68" s="198">
        <f t="shared" si="5"/>
        <v>0</v>
      </c>
      <c r="S68" s="194"/>
      <c r="T68" s="194"/>
      <c r="U68" s="194"/>
      <c r="V68" s="194"/>
      <c r="W68" s="194"/>
      <c r="X68" s="194"/>
      <c r="Y68" s="194"/>
      <c r="Z68" s="194"/>
      <c r="AA68" s="194"/>
      <c r="AB68" s="194"/>
      <c r="AC68" s="194"/>
      <c r="AD68" s="194"/>
    </row>
    <row r="69" spans="1:30" hidden="1" x14ac:dyDescent="0.3">
      <c r="A69" s="550"/>
      <c r="B69" s="551"/>
      <c r="C69" s="184"/>
      <c r="D69" s="175"/>
      <c r="E69" s="175"/>
      <c r="F69" s="175"/>
      <c r="G69" s="175"/>
      <c r="H69" s="175"/>
      <c r="I69" s="175"/>
      <c r="J69" s="175"/>
      <c r="K69" s="175"/>
      <c r="L69" s="175"/>
      <c r="M69" s="175"/>
      <c r="N69" s="175"/>
      <c r="O69" s="175"/>
      <c r="P69" s="185"/>
      <c r="Q69" s="197"/>
      <c r="R69" s="198"/>
      <c r="S69" s="194"/>
      <c r="T69" s="194"/>
      <c r="U69" s="194"/>
      <c r="V69" s="194"/>
      <c r="W69" s="194"/>
      <c r="X69" s="194"/>
      <c r="Y69" s="194"/>
      <c r="Z69" s="194"/>
      <c r="AA69" s="194"/>
      <c r="AB69" s="194"/>
      <c r="AC69" s="194"/>
      <c r="AD69" s="194"/>
    </row>
    <row r="70" spans="1:30" hidden="1" x14ac:dyDescent="0.3">
      <c r="A70" s="825"/>
      <c r="B70" s="826"/>
      <c r="C70" s="184"/>
      <c r="D70" s="168"/>
      <c r="E70" s="168"/>
      <c r="F70" s="168"/>
      <c r="G70" s="168"/>
      <c r="H70" s="168"/>
      <c r="I70" s="168"/>
      <c r="J70" s="168"/>
      <c r="K70" s="168"/>
      <c r="L70" s="168"/>
      <c r="M70" s="168"/>
      <c r="N70" s="168"/>
      <c r="O70" s="168"/>
      <c r="P70" s="185"/>
      <c r="Q70" s="199"/>
      <c r="R70" s="198"/>
      <c r="S70" s="194"/>
      <c r="T70" s="194"/>
      <c r="U70" s="194"/>
      <c r="V70" s="194"/>
      <c r="W70" s="194"/>
      <c r="X70" s="194"/>
      <c r="Y70" s="194"/>
      <c r="Z70" s="194"/>
      <c r="AA70" s="194"/>
      <c r="AB70" s="194"/>
      <c r="AC70" s="194"/>
      <c r="AD70" s="194"/>
    </row>
    <row r="71" spans="1:30" hidden="1" x14ac:dyDescent="0.3">
      <c r="A71" s="195"/>
      <c r="B71" s="169"/>
      <c r="C71" s="170"/>
      <c r="D71" s="165">
        <f>D58+D60+D62+D64</f>
        <v>2.4000000000000011E-2</v>
      </c>
      <c r="E71" s="165">
        <f t="shared" ref="E71:O71" si="9">E58+E60+E62+E64</f>
        <v>2.760000000000001E-2</v>
      </c>
      <c r="F71" s="165">
        <f t="shared" si="9"/>
        <v>2.9000000000000012E-2</v>
      </c>
      <c r="G71" s="165">
        <f t="shared" si="9"/>
        <v>2.9800000000000011E-2</v>
      </c>
      <c r="H71" s="165">
        <f t="shared" si="9"/>
        <v>2.9800000000000011E-2</v>
      </c>
      <c r="I71" s="165">
        <f t="shared" si="9"/>
        <v>2.6000000000000013E-2</v>
      </c>
      <c r="J71" s="165">
        <f t="shared" si="9"/>
        <v>2.580000000000001E-2</v>
      </c>
      <c r="K71" s="165">
        <f t="shared" si="9"/>
        <v>2.580000000000001E-2</v>
      </c>
      <c r="L71" s="165">
        <f t="shared" si="9"/>
        <v>2.580000000000001E-2</v>
      </c>
      <c r="M71" s="165">
        <f t="shared" si="9"/>
        <v>2.580000000000001E-2</v>
      </c>
      <c r="N71" s="165">
        <f t="shared" si="9"/>
        <v>0</v>
      </c>
      <c r="O71" s="165">
        <f t="shared" si="9"/>
        <v>0</v>
      </c>
      <c r="P71" s="165">
        <f>P58+P60+P62+P64+P66+P68+P70</f>
        <v>0.26940000000000014</v>
      </c>
      <c r="Q71" s="195"/>
      <c r="R71" s="198">
        <f t="shared" si="5"/>
        <v>0.26940000000000014</v>
      </c>
      <c r="S71" s="194"/>
      <c r="T71" s="194"/>
      <c r="U71" s="194"/>
      <c r="V71" s="194"/>
      <c r="W71" s="194"/>
      <c r="X71" s="194"/>
      <c r="Y71" s="194"/>
      <c r="Z71" s="194"/>
      <c r="AA71" s="194"/>
      <c r="AB71" s="194"/>
      <c r="AC71" s="194"/>
      <c r="AD71" s="194"/>
    </row>
    <row r="72" spans="1:30" hidden="1" x14ac:dyDescent="0.3">
      <c r="A72" s="195"/>
      <c r="B72" s="167"/>
      <c r="C72" s="164" t="s">
        <v>63</v>
      </c>
      <c r="D72" s="163">
        <f t="shared" ref="D72:O72" si="10">D71*$W$17/$B$34</f>
        <v>7.5000000000000039E-2</v>
      </c>
      <c r="E72" s="163">
        <f t="shared" si="10"/>
        <v>8.6250000000000035E-2</v>
      </c>
      <c r="F72" s="163">
        <f t="shared" si="10"/>
        <v>9.0625000000000039E-2</v>
      </c>
      <c r="G72" s="163">
        <f t="shared" si="10"/>
        <v>9.3125000000000027E-2</v>
      </c>
      <c r="H72" s="163">
        <f t="shared" si="10"/>
        <v>9.3125000000000027E-2</v>
      </c>
      <c r="I72" s="163">
        <f t="shared" si="10"/>
        <v>8.1250000000000044E-2</v>
      </c>
      <c r="J72" s="163">
        <f t="shared" si="10"/>
        <v>8.062500000000003E-2</v>
      </c>
      <c r="K72" s="163">
        <f t="shared" si="10"/>
        <v>8.062500000000003E-2</v>
      </c>
      <c r="L72" s="163">
        <f t="shared" si="10"/>
        <v>8.062500000000003E-2</v>
      </c>
      <c r="M72" s="163">
        <f t="shared" si="10"/>
        <v>8.062500000000003E-2</v>
      </c>
      <c r="N72" s="163">
        <f t="shared" si="10"/>
        <v>0</v>
      </c>
      <c r="O72" s="163">
        <f t="shared" si="10"/>
        <v>0</v>
      </c>
      <c r="P72" s="162">
        <f>SUM(D72:O72)</f>
        <v>0.84187500000000037</v>
      </c>
      <c r="Q72" s="196"/>
      <c r="R72" s="195"/>
      <c r="S72" s="194"/>
      <c r="T72" s="194"/>
      <c r="U72" s="194"/>
      <c r="V72" s="194"/>
      <c r="W72" s="194"/>
      <c r="X72" s="194"/>
      <c r="Y72" s="194"/>
      <c r="Z72" s="194"/>
      <c r="AA72" s="194"/>
      <c r="AB72" s="194"/>
      <c r="AC72" s="194"/>
      <c r="AD72" s="194"/>
    </row>
    <row r="73" spans="1:30" hidden="1" x14ac:dyDescent="0.3">
      <c r="A73" s="196"/>
      <c r="B73" s="166"/>
      <c r="C73" s="166"/>
      <c r="D73" s="166"/>
      <c r="E73" s="166"/>
      <c r="F73" s="166"/>
      <c r="G73" s="166"/>
      <c r="H73" s="166"/>
      <c r="I73" s="166"/>
      <c r="J73" s="166"/>
      <c r="K73" s="166"/>
      <c r="L73" s="166"/>
      <c r="M73" s="166"/>
      <c r="N73" s="166"/>
      <c r="O73" s="166"/>
      <c r="P73" s="166"/>
      <c r="Q73" s="196"/>
      <c r="R73" s="196"/>
      <c r="S73" s="194"/>
      <c r="T73" s="194"/>
      <c r="U73" s="194"/>
      <c r="V73" s="194"/>
      <c r="W73" s="194"/>
      <c r="X73" s="194"/>
      <c r="Y73" s="194"/>
      <c r="Z73" s="194"/>
      <c r="AA73" s="194"/>
      <c r="AB73" s="194"/>
      <c r="AC73" s="194"/>
      <c r="AD73" s="194"/>
    </row>
    <row r="74" spans="1:30" hidden="1" x14ac:dyDescent="0.3">
      <c r="A74" s="197"/>
      <c r="B74" s="108"/>
      <c r="C74" s="108"/>
      <c r="D74" s="165">
        <f>+D57+D59+D61+D63</f>
        <v>2.4400000000000012E-2</v>
      </c>
      <c r="E74" s="165">
        <f t="shared" ref="E74:P74" si="11">+E57+E59+E61+E63</f>
        <v>2.9000000000000012E-2</v>
      </c>
      <c r="F74" s="165">
        <f t="shared" si="11"/>
        <v>2.9000000000000012E-2</v>
      </c>
      <c r="G74" s="165">
        <f t="shared" si="11"/>
        <v>2.9000000000000012E-2</v>
      </c>
      <c r="H74" s="165">
        <f t="shared" si="11"/>
        <v>2.9000000000000012E-2</v>
      </c>
      <c r="I74" s="165">
        <f t="shared" si="11"/>
        <v>2.580000000000001E-2</v>
      </c>
      <c r="J74" s="165">
        <f t="shared" si="11"/>
        <v>2.580000000000001E-2</v>
      </c>
      <c r="K74" s="165">
        <f t="shared" si="11"/>
        <v>2.580000000000001E-2</v>
      </c>
      <c r="L74" s="165">
        <f t="shared" si="11"/>
        <v>2.580000000000001E-2</v>
      </c>
      <c r="M74" s="165">
        <f t="shared" si="11"/>
        <v>2.580000000000001E-2</v>
      </c>
      <c r="N74" s="165">
        <f t="shared" si="11"/>
        <v>2.580000000000001E-2</v>
      </c>
      <c r="O74" s="165">
        <f t="shared" si="11"/>
        <v>2.480000000000001E-2</v>
      </c>
      <c r="P74" s="165">
        <f t="shared" si="11"/>
        <v>0.32000000000000017</v>
      </c>
      <c r="Q74" s="197"/>
      <c r="R74" s="197"/>
      <c r="S74" s="194"/>
      <c r="T74" s="194"/>
      <c r="U74" s="194"/>
      <c r="V74" s="194"/>
      <c r="W74" s="194"/>
      <c r="X74" s="194"/>
      <c r="Y74" s="194"/>
      <c r="Z74" s="194"/>
      <c r="AA74" s="194"/>
      <c r="AB74" s="194"/>
      <c r="AC74" s="194"/>
      <c r="AD74" s="194"/>
    </row>
    <row r="75" spans="1:30" hidden="1" x14ac:dyDescent="0.3">
      <c r="A75" s="197"/>
      <c r="B75" s="108"/>
      <c r="C75" s="164" t="s">
        <v>62</v>
      </c>
      <c r="D75" s="163">
        <f t="shared" ref="D75:O75" si="12">D74*$W$17/$B$34</f>
        <v>7.625000000000004E-2</v>
      </c>
      <c r="E75" s="163">
        <f t="shared" si="12"/>
        <v>9.0625000000000039E-2</v>
      </c>
      <c r="F75" s="163">
        <f t="shared" si="12"/>
        <v>9.0625000000000039E-2</v>
      </c>
      <c r="G75" s="163">
        <f t="shared" si="12"/>
        <v>9.0625000000000039E-2</v>
      </c>
      <c r="H75" s="163">
        <f t="shared" si="12"/>
        <v>9.0625000000000039E-2</v>
      </c>
      <c r="I75" s="163">
        <f t="shared" si="12"/>
        <v>8.062500000000003E-2</v>
      </c>
      <c r="J75" s="163">
        <f t="shared" si="12"/>
        <v>8.062500000000003E-2</v>
      </c>
      <c r="K75" s="163">
        <f t="shared" si="12"/>
        <v>8.062500000000003E-2</v>
      </c>
      <c r="L75" s="163">
        <f t="shared" si="12"/>
        <v>8.062500000000003E-2</v>
      </c>
      <c r="M75" s="163">
        <f t="shared" si="12"/>
        <v>8.062500000000003E-2</v>
      </c>
      <c r="N75" s="163">
        <f t="shared" si="12"/>
        <v>8.062500000000003E-2</v>
      </c>
      <c r="O75" s="163">
        <f t="shared" si="12"/>
        <v>7.7500000000000027E-2</v>
      </c>
      <c r="P75" s="162">
        <f>SUM(D75:O75)</f>
        <v>1.0000000000000007</v>
      </c>
      <c r="Q75" s="197"/>
      <c r="R75" s="197"/>
      <c r="S75" s="194"/>
      <c r="T75" s="194"/>
      <c r="U75" s="194"/>
      <c r="V75" s="194"/>
      <c r="W75" s="194"/>
      <c r="X75" s="194"/>
      <c r="Y75" s="194"/>
      <c r="Z75" s="194"/>
      <c r="AA75" s="194"/>
      <c r="AB75" s="194"/>
      <c r="AC75" s="194"/>
      <c r="AD75" s="194"/>
    </row>
    <row r="76" spans="1:30" hidden="1" x14ac:dyDescent="0.3">
      <c r="A76" s="194"/>
      <c r="Q76" s="194"/>
      <c r="R76" s="194"/>
      <c r="S76" s="194"/>
      <c r="T76" s="194"/>
      <c r="U76" s="194"/>
      <c r="V76" s="194"/>
      <c r="W76" s="194"/>
      <c r="X76" s="194"/>
      <c r="Y76" s="194"/>
      <c r="Z76" s="194"/>
      <c r="AA76" s="194"/>
      <c r="AB76" s="194"/>
      <c r="AC76" s="194"/>
      <c r="AD76" s="194"/>
    </row>
    <row r="77" spans="1:30" x14ac:dyDescent="0.3">
      <c r="A77" s="194"/>
      <c r="Q77" s="194"/>
      <c r="R77" s="194"/>
      <c r="S77" s="194"/>
      <c r="T77" s="194"/>
      <c r="U77" s="194"/>
      <c r="V77" s="194"/>
      <c r="W77" s="194"/>
      <c r="X77" s="194"/>
      <c r="Y77" s="194"/>
      <c r="Z77" s="194"/>
      <c r="AA77" s="194"/>
      <c r="AB77" s="194"/>
      <c r="AC77" s="194"/>
      <c r="AD77" s="194"/>
    </row>
    <row r="78" spans="1:30" x14ac:dyDescent="0.3">
      <c r="A78" s="194"/>
      <c r="Q78" s="194"/>
      <c r="R78" s="194"/>
      <c r="S78" s="194"/>
      <c r="T78" s="194"/>
      <c r="U78" s="194"/>
      <c r="V78" s="194"/>
      <c r="W78" s="194"/>
      <c r="X78" s="194"/>
      <c r="Y78" s="194"/>
      <c r="Z78" s="194"/>
      <c r="AA78" s="194"/>
      <c r="AB78" s="194"/>
      <c r="AC78" s="194"/>
      <c r="AD78" s="194"/>
    </row>
    <row r="79" spans="1:30" x14ac:dyDescent="0.3">
      <c r="A79" s="194"/>
      <c r="Q79" s="194"/>
      <c r="R79" s="194"/>
      <c r="S79" s="194"/>
      <c r="T79" s="194"/>
      <c r="U79" s="194"/>
      <c r="V79" s="194"/>
      <c r="W79" s="194"/>
      <c r="X79" s="194"/>
      <c r="Y79" s="194"/>
      <c r="Z79" s="194"/>
      <c r="AA79" s="194"/>
      <c r="AB79" s="194"/>
      <c r="AC79" s="194"/>
      <c r="AD79" s="194"/>
    </row>
    <row r="80" spans="1:30" x14ac:dyDescent="0.3">
      <c r="A80" s="194"/>
      <c r="Q80" s="194"/>
      <c r="R80" s="194"/>
      <c r="S80" s="194"/>
      <c r="T80" s="194"/>
      <c r="U80" s="194"/>
      <c r="V80" s="194"/>
      <c r="W80" s="194"/>
      <c r="X80" s="194"/>
      <c r="Y80" s="194"/>
      <c r="Z80" s="194"/>
      <c r="AA80" s="194"/>
      <c r="AB80" s="194"/>
      <c r="AC80" s="194"/>
      <c r="AD80" s="194"/>
    </row>
    <row r="81" spans="1:30" x14ac:dyDescent="0.3">
      <c r="A81" s="194"/>
      <c r="Q81" s="194"/>
      <c r="R81" s="194"/>
      <c r="S81" s="194"/>
      <c r="T81" s="194"/>
      <c r="U81" s="194"/>
      <c r="V81" s="194"/>
      <c r="W81" s="194"/>
      <c r="X81" s="194"/>
      <c r="Y81" s="194"/>
      <c r="Z81" s="194"/>
      <c r="AA81" s="194"/>
      <c r="AB81" s="194"/>
      <c r="AC81" s="194"/>
      <c r="AD81" s="194"/>
    </row>
    <row r="82" spans="1:30" x14ac:dyDescent="0.3">
      <c r="A82" s="194"/>
      <c r="Q82" s="194"/>
      <c r="R82" s="194"/>
      <c r="S82" s="194"/>
      <c r="T82" s="194"/>
      <c r="U82" s="194"/>
      <c r="V82" s="194"/>
      <c r="W82" s="194"/>
      <c r="X82" s="194"/>
      <c r="Y82" s="194"/>
      <c r="Z82" s="194"/>
      <c r="AA82" s="194"/>
      <c r="AB82" s="194"/>
      <c r="AC82" s="194"/>
      <c r="AD82" s="194"/>
    </row>
    <row r="83" spans="1:30" x14ac:dyDescent="0.3">
      <c r="A83" s="194"/>
      <c r="Q83" s="194"/>
      <c r="R83" s="194"/>
      <c r="S83" s="194"/>
      <c r="T83" s="194"/>
      <c r="U83" s="194"/>
      <c r="V83" s="194"/>
      <c r="W83" s="194"/>
      <c r="X83" s="194"/>
      <c r="Y83" s="194"/>
      <c r="Z83" s="194"/>
      <c r="AA83" s="194"/>
      <c r="AB83" s="194"/>
      <c r="AC83" s="194"/>
      <c r="AD83" s="194"/>
    </row>
    <row r="84" spans="1:30" x14ac:dyDescent="0.3">
      <c r="A84" s="194"/>
      <c r="Q84" s="194"/>
      <c r="R84" s="194"/>
      <c r="S84" s="194"/>
      <c r="T84" s="194"/>
      <c r="U84" s="194"/>
      <c r="V84" s="194"/>
      <c r="W84" s="194"/>
      <c r="X84" s="194"/>
      <c r="Y84" s="194"/>
      <c r="Z84" s="194"/>
      <c r="AA84" s="194"/>
      <c r="AB84" s="194"/>
      <c r="AC84" s="194"/>
      <c r="AD84" s="194"/>
    </row>
    <row r="85" spans="1:30" x14ac:dyDescent="0.3">
      <c r="A85" s="194"/>
      <c r="Q85" s="194"/>
      <c r="R85" s="194"/>
      <c r="S85" s="194"/>
      <c r="T85" s="194"/>
      <c r="U85" s="194"/>
      <c r="V85" s="194"/>
      <c r="W85" s="194"/>
      <c r="X85" s="194"/>
      <c r="Y85" s="194"/>
      <c r="Z85" s="194"/>
      <c r="AA85" s="194"/>
      <c r="AB85" s="194"/>
      <c r="AC85" s="194"/>
      <c r="AD85" s="194"/>
    </row>
    <row r="86" spans="1:30" x14ac:dyDescent="0.3">
      <c r="A86" s="194"/>
      <c r="Q86" s="194"/>
      <c r="R86" s="194"/>
      <c r="S86" s="194"/>
      <c r="T86" s="194"/>
      <c r="U86" s="194"/>
      <c r="V86" s="194"/>
      <c r="W86" s="194"/>
      <c r="X86" s="194"/>
      <c r="Y86" s="194"/>
      <c r="Z86" s="194"/>
      <c r="AA86" s="194"/>
      <c r="AB86" s="194"/>
      <c r="AC86" s="194"/>
      <c r="AD86" s="194"/>
    </row>
    <row r="87" spans="1:30" x14ac:dyDescent="0.3">
      <c r="A87" s="194"/>
      <c r="Q87" s="194"/>
      <c r="R87" s="194"/>
      <c r="S87" s="194"/>
      <c r="T87" s="194"/>
      <c r="U87" s="194"/>
      <c r="V87" s="194"/>
      <c r="W87" s="194"/>
      <c r="X87" s="194"/>
      <c r="Y87" s="194"/>
      <c r="Z87" s="194"/>
      <c r="AA87" s="194"/>
      <c r="AB87" s="194"/>
      <c r="AC87" s="194"/>
      <c r="AD87" s="194"/>
    </row>
    <row r="88" spans="1:30" x14ac:dyDescent="0.3">
      <c r="A88" s="194"/>
      <c r="Q88" s="194"/>
      <c r="R88" s="194"/>
      <c r="S88" s="194"/>
      <c r="T88" s="194"/>
      <c r="U88" s="194"/>
      <c r="V88" s="194"/>
      <c r="W88" s="194"/>
      <c r="X88" s="194"/>
      <c r="Y88" s="194"/>
      <c r="Z88" s="194"/>
      <c r="AA88" s="194"/>
      <c r="AB88" s="194"/>
      <c r="AC88" s="194"/>
      <c r="AD88" s="194"/>
    </row>
    <row r="89" spans="1:30" x14ac:dyDescent="0.3">
      <c r="A89" s="194"/>
      <c r="Q89" s="194"/>
      <c r="R89" s="194"/>
      <c r="S89" s="194"/>
      <c r="T89" s="194"/>
      <c r="U89" s="194"/>
      <c r="V89" s="194"/>
      <c r="W89" s="194"/>
      <c r="X89" s="194"/>
      <c r="Y89" s="194"/>
      <c r="Z89" s="194"/>
      <c r="AA89" s="194"/>
      <c r="AB89" s="194"/>
      <c r="AC89" s="194"/>
      <c r="AD89" s="194"/>
    </row>
    <row r="90" spans="1:30" x14ac:dyDescent="0.3">
      <c r="A90" s="194"/>
      <c r="Q90" s="194"/>
      <c r="R90" s="194"/>
      <c r="S90" s="194"/>
      <c r="T90" s="194"/>
      <c r="U90" s="194"/>
      <c r="V90" s="194"/>
      <c r="W90" s="194"/>
      <c r="X90" s="194"/>
      <c r="Y90" s="194"/>
      <c r="Z90" s="194"/>
      <c r="AA90" s="194"/>
      <c r="AB90" s="194"/>
      <c r="AC90" s="194"/>
      <c r="AD90" s="194"/>
    </row>
    <row r="91" spans="1:30" x14ac:dyDescent="0.3">
      <c r="A91" s="194"/>
      <c r="Q91" s="194"/>
      <c r="R91" s="194"/>
      <c r="S91" s="194"/>
      <c r="T91" s="194"/>
      <c r="U91" s="194"/>
      <c r="V91" s="194"/>
      <c r="W91" s="194"/>
      <c r="X91" s="194"/>
      <c r="Y91" s="194"/>
      <c r="Z91" s="194"/>
      <c r="AA91" s="194"/>
      <c r="AB91" s="194"/>
      <c r="AC91" s="194"/>
      <c r="AD91" s="194"/>
    </row>
    <row r="92" spans="1:30" x14ac:dyDescent="0.3">
      <c r="A92" s="194"/>
      <c r="Q92" s="194"/>
      <c r="R92" s="194"/>
      <c r="S92" s="194"/>
      <c r="T92" s="194"/>
      <c r="U92" s="194"/>
      <c r="V92" s="194"/>
      <c r="W92" s="194"/>
      <c r="X92" s="194"/>
      <c r="Y92" s="194"/>
      <c r="Z92" s="194"/>
      <c r="AA92" s="194"/>
      <c r="AB92" s="194"/>
      <c r="AC92" s="194"/>
      <c r="AD92" s="194"/>
    </row>
    <row r="93" spans="1:30" x14ac:dyDescent="0.3">
      <c r="A93" s="194"/>
      <c r="Q93" s="194"/>
      <c r="R93" s="194"/>
      <c r="S93" s="194"/>
      <c r="T93" s="194"/>
      <c r="U93" s="194"/>
      <c r="V93" s="194"/>
      <c r="W93" s="194"/>
      <c r="X93" s="194"/>
      <c r="Y93" s="194"/>
      <c r="Z93" s="194"/>
      <c r="AA93" s="194"/>
      <c r="AB93" s="194"/>
      <c r="AC93" s="194"/>
      <c r="AD93" s="194"/>
    </row>
    <row r="94" spans="1:30" x14ac:dyDescent="0.3">
      <c r="A94" s="194"/>
      <c r="Q94" s="194"/>
      <c r="R94" s="194"/>
      <c r="S94" s="194"/>
      <c r="T94" s="194"/>
      <c r="U94" s="194"/>
      <c r="V94" s="194"/>
      <c r="W94" s="194"/>
      <c r="X94" s="194"/>
      <c r="Y94" s="194"/>
      <c r="Z94" s="194"/>
      <c r="AA94" s="194"/>
      <c r="AB94" s="194"/>
      <c r="AC94" s="194"/>
      <c r="AD94" s="194"/>
    </row>
    <row r="95" spans="1:30" x14ac:dyDescent="0.3">
      <c r="A95" s="194"/>
      <c r="Q95" s="194"/>
      <c r="R95" s="194"/>
      <c r="S95" s="194"/>
      <c r="T95" s="194"/>
      <c r="U95" s="194"/>
      <c r="V95" s="194"/>
      <c r="W95" s="194"/>
      <c r="X95" s="194"/>
      <c r="Y95" s="194"/>
      <c r="Z95" s="194"/>
      <c r="AA95" s="194"/>
      <c r="AB95" s="194"/>
      <c r="AC95" s="194"/>
      <c r="AD95" s="194"/>
    </row>
    <row r="96" spans="1:30" x14ac:dyDescent="0.3">
      <c r="A96" s="194"/>
      <c r="Q96" s="194"/>
      <c r="R96" s="194"/>
      <c r="S96" s="194"/>
      <c r="T96" s="194"/>
      <c r="U96" s="194"/>
      <c r="V96" s="194"/>
      <c r="W96" s="194"/>
      <c r="X96" s="194"/>
      <c r="Y96" s="194"/>
      <c r="Z96" s="194"/>
      <c r="AA96" s="194"/>
      <c r="AB96" s="194"/>
      <c r="AC96" s="194"/>
      <c r="AD96" s="194"/>
    </row>
    <row r="97" spans="1:30" x14ac:dyDescent="0.3">
      <c r="A97" s="194"/>
      <c r="Q97" s="194"/>
      <c r="R97" s="194"/>
      <c r="S97" s="194"/>
      <c r="T97" s="194"/>
      <c r="U97" s="194"/>
      <c r="V97" s="194"/>
      <c r="W97" s="194"/>
      <c r="X97" s="194"/>
      <c r="Y97" s="194"/>
      <c r="Z97" s="194"/>
      <c r="AA97" s="194"/>
      <c r="AB97" s="194"/>
      <c r="AC97" s="194"/>
      <c r="AD97" s="194"/>
    </row>
    <row r="98" spans="1:30" x14ac:dyDescent="0.3">
      <c r="A98" s="194"/>
      <c r="Q98" s="194"/>
      <c r="R98" s="194"/>
      <c r="S98" s="194"/>
      <c r="T98" s="194"/>
      <c r="U98" s="194"/>
      <c r="V98" s="194"/>
      <c r="W98" s="194"/>
      <c r="X98" s="194"/>
      <c r="Y98" s="194"/>
      <c r="Z98" s="194"/>
      <c r="AA98" s="194"/>
      <c r="AB98" s="194"/>
      <c r="AC98" s="194"/>
      <c r="AD98" s="194"/>
    </row>
    <row r="99" spans="1:30" x14ac:dyDescent="0.3">
      <c r="A99" s="194"/>
      <c r="Q99" s="194"/>
      <c r="R99" s="194"/>
      <c r="S99" s="194"/>
      <c r="T99" s="194"/>
      <c r="U99" s="194"/>
      <c r="V99" s="194"/>
      <c r="W99" s="194"/>
      <c r="X99" s="194"/>
      <c r="Y99" s="194"/>
      <c r="Z99" s="194"/>
      <c r="AA99" s="194"/>
      <c r="AB99" s="194"/>
      <c r="AC99" s="194"/>
      <c r="AD99" s="194"/>
    </row>
    <row r="100" spans="1:30" x14ac:dyDescent="0.3">
      <c r="A100" s="194"/>
      <c r="Q100" s="194"/>
      <c r="R100" s="194"/>
      <c r="S100" s="194"/>
      <c r="T100" s="194"/>
      <c r="U100" s="194"/>
      <c r="V100" s="194"/>
      <c r="W100" s="194"/>
      <c r="X100" s="194"/>
      <c r="Y100" s="194"/>
      <c r="Z100" s="194"/>
      <c r="AA100" s="194"/>
      <c r="AB100" s="194"/>
      <c r="AC100" s="194"/>
      <c r="AD100" s="194"/>
    </row>
    <row r="101" spans="1:30" x14ac:dyDescent="0.3">
      <c r="A101" s="194"/>
      <c r="Q101" s="194"/>
      <c r="R101" s="194"/>
      <c r="S101" s="194"/>
      <c r="T101" s="194"/>
      <c r="U101" s="194"/>
      <c r="V101" s="194"/>
      <c r="W101" s="194"/>
      <c r="X101" s="194"/>
      <c r="Y101" s="194"/>
      <c r="Z101" s="194"/>
      <c r="AA101" s="194"/>
      <c r="AB101" s="194"/>
      <c r="AC101" s="194"/>
      <c r="AD101" s="194"/>
    </row>
    <row r="102" spans="1:30" x14ac:dyDescent="0.3">
      <c r="Q102" s="194"/>
      <c r="R102" s="194"/>
      <c r="S102" s="194"/>
      <c r="T102" s="194"/>
      <c r="U102" s="194"/>
      <c r="V102" s="194"/>
      <c r="W102" s="194"/>
      <c r="X102" s="194"/>
      <c r="Y102" s="194"/>
      <c r="Z102" s="194"/>
      <c r="AA102" s="194"/>
      <c r="AB102" s="194"/>
      <c r="AC102" s="194"/>
      <c r="AD102" s="194"/>
    </row>
    <row r="103" spans="1:30" x14ac:dyDescent="0.3">
      <c r="Q103" s="194"/>
      <c r="R103" s="194"/>
      <c r="S103" s="194"/>
      <c r="T103" s="194"/>
      <c r="U103" s="194"/>
      <c r="V103" s="194"/>
      <c r="W103" s="194"/>
      <c r="X103" s="194"/>
      <c r="Y103" s="194"/>
      <c r="Z103" s="194"/>
      <c r="AA103" s="194"/>
      <c r="AB103" s="194"/>
      <c r="AC103" s="194"/>
      <c r="AD103" s="194"/>
    </row>
    <row r="104" spans="1:30" x14ac:dyDescent="0.3">
      <c r="Q104" s="194"/>
      <c r="R104" s="194"/>
      <c r="S104" s="194"/>
      <c r="T104" s="194"/>
      <c r="U104" s="194"/>
      <c r="V104" s="194"/>
      <c r="W104" s="194"/>
      <c r="X104" s="194"/>
      <c r="Y104" s="194"/>
      <c r="Z104" s="194"/>
      <c r="AA104" s="194"/>
      <c r="AB104" s="194"/>
      <c r="AC104" s="194"/>
      <c r="AD104" s="194"/>
    </row>
    <row r="105" spans="1:30" x14ac:dyDescent="0.3">
      <c r="Q105" s="194"/>
      <c r="R105" s="194"/>
      <c r="S105" s="194"/>
      <c r="T105" s="194"/>
      <c r="U105" s="194"/>
      <c r="V105" s="194"/>
      <c r="W105" s="194"/>
      <c r="X105" s="194"/>
      <c r="Y105" s="194"/>
      <c r="Z105" s="194"/>
      <c r="AA105" s="194"/>
      <c r="AB105" s="194"/>
      <c r="AC105" s="194"/>
      <c r="AD105" s="194"/>
    </row>
    <row r="106" spans="1:30" x14ac:dyDescent="0.3">
      <c r="Q106" s="194"/>
      <c r="R106" s="194"/>
      <c r="S106" s="194"/>
      <c r="T106" s="194"/>
      <c r="U106" s="194"/>
      <c r="V106" s="194"/>
      <c r="W106" s="194"/>
      <c r="X106" s="194"/>
      <c r="Y106" s="194"/>
      <c r="Z106" s="194"/>
      <c r="AA106" s="194"/>
      <c r="AB106" s="194"/>
      <c r="AC106" s="194"/>
      <c r="AD106" s="194"/>
    </row>
    <row r="107" spans="1:30" x14ac:dyDescent="0.3">
      <c r="Q107" s="194"/>
      <c r="R107" s="194"/>
      <c r="S107" s="194"/>
      <c r="T107" s="194"/>
      <c r="U107" s="194"/>
      <c r="V107" s="194"/>
      <c r="W107" s="194"/>
      <c r="X107" s="194"/>
      <c r="Y107" s="194"/>
      <c r="Z107" s="194"/>
      <c r="AA107" s="194"/>
      <c r="AB107" s="194"/>
      <c r="AC107" s="194"/>
      <c r="AD107" s="194"/>
    </row>
    <row r="108" spans="1:30" x14ac:dyDescent="0.3">
      <c r="Q108" s="194"/>
      <c r="R108" s="194"/>
      <c r="S108" s="194"/>
      <c r="T108" s="194"/>
      <c r="U108" s="194"/>
      <c r="V108" s="194"/>
      <c r="W108" s="194"/>
      <c r="X108" s="194"/>
      <c r="Y108" s="194"/>
      <c r="Z108" s="194"/>
      <c r="AA108" s="194"/>
      <c r="AB108" s="194"/>
      <c r="AC108" s="194"/>
      <c r="AD108" s="194"/>
    </row>
    <row r="109" spans="1:30" x14ac:dyDescent="0.3">
      <c r="Q109" s="194"/>
      <c r="R109" s="194"/>
      <c r="S109" s="194"/>
      <c r="T109" s="194"/>
      <c r="U109" s="194"/>
      <c r="V109" s="194"/>
      <c r="W109" s="194"/>
      <c r="X109" s="194"/>
      <c r="Y109" s="194"/>
      <c r="Z109" s="194"/>
      <c r="AA109" s="194"/>
      <c r="AB109" s="194"/>
      <c r="AC109" s="194"/>
      <c r="AD109" s="194"/>
    </row>
    <row r="110" spans="1:30" x14ac:dyDescent="0.3">
      <c r="Q110" s="194"/>
      <c r="R110" s="194"/>
      <c r="S110" s="194"/>
      <c r="T110" s="194"/>
      <c r="U110" s="194"/>
      <c r="V110" s="194"/>
      <c r="W110" s="194"/>
      <c r="X110" s="194"/>
      <c r="Y110" s="194"/>
      <c r="Z110" s="194"/>
      <c r="AA110" s="194"/>
      <c r="AB110" s="194"/>
      <c r="AC110" s="194"/>
      <c r="AD110" s="194"/>
    </row>
    <row r="111" spans="1:30" x14ac:dyDescent="0.3">
      <c r="Q111" s="194"/>
      <c r="R111" s="194"/>
      <c r="S111" s="194"/>
      <c r="T111" s="194"/>
      <c r="U111" s="194"/>
      <c r="V111" s="194"/>
      <c r="W111" s="194"/>
      <c r="X111" s="194"/>
      <c r="Y111" s="194"/>
      <c r="Z111" s="194"/>
      <c r="AA111" s="194"/>
      <c r="AB111" s="194"/>
      <c r="AC111" s="194"/>
      <c r="AD111" s="194"/>
    </row>
    <row r="112" spans="1:30" x14ac:dyDescent="0.3">
      <c r="Q112" s="194"/>
      <c r="R112" s="194"/>
      <c r="S112" s="194"/>
      <c r="T112" s="194"/>
      <c r="U112" s="194"/>
      <c r="V112" s="194"/>
      <c r="W112" s="194"/>
      <c r="X112" s="194"/>
      <c r="Y112" s="194"/>
      <c r="Z112" s="194"/>
      <c r="AA112" s="194"/>
      <c r="AB112" s="194"/>
      <c r="AC112" s="194"/>
      <c r="AD112" s="194"/>
    </row>
    <row r="113" spans="17:30" x14ac:dyDescent="0.3">
      <c r="Q113" s="194"/>
      <c r="R113" s="194"/>
      <c r="S113" s="194"/>
      <c r="T113" s="194"/>
      <c r="U113" s="194"/>
      <c r="V113" s="194"/>
      <c r="W113" s="194"/>
      <c r="X113" s="194"/>
      <c r="Y113" s="194"/>
      <c r="Z113" s="194"/>
      <c r="AA113" s="194"/>
      <c r="AB113" s="194"/>
      <c r="AC113" s="194"/>
      <c r="AD113" s="194"/>
    </row>
    <row r="114" spans="17:30" x14ac:dyDescent="0.3">
      <c r="Q114" s="194"/>
      <c r="R114" s="194"/>
      <c r="S114" s="194"/>
      <c r="T114" s="194"/>
      <c r="U114" s="194"/>
      <c r="V114" s="194"/>
      <c r="W114" s="194"/>
      <c r="X114" s="194"/>
      <c r="Y114" s="194"/>
      <c r="Z114" s="194"/>
      <c r="AA114" s="194"/>
      <c r="AB114" s="194"/>
      <c r="AC114" s="194"/>
      <c r="AD114" s="194"/>
    </row>
    <row r="115" spans="17:30" x14ac:dyDescent="0.3">
      <c r="Q115" s="194"/>
      <c r="R115" s="194"/>
      <c r="S115" s="194"/>
      <c r="T115" s="194"/>
      <c r="U115" s="194"/>
      <c r="V115" s="194"/>
      <c r="W115" s="194"/>
      <c r="X115" s="194"/>
      <c r="Y115" s="194"/>
      <c r="Z115" s="194"/>
      <c r="AA115" s="194"/>
      <c r="AB115" s="194"/>
      <c r="AC115" s="194"/>
      <c r="AD115" s="194"/>
    </row>
    <row r="116" spans="17:30" x14ac:dyDescent="0.3">
      <c r="Q116" s="194"/>
      <c r="R116" s="194"/>
      <c r="S116" s="194"/>
      <c r="T116" s="194"/>
      <c r="U116" s="194"/>
      <c r="V116" s="194"/>
      <c r="W116" s="194"/>
      <c r="X116" s="194"/>
      <c r="Y116" s="194"/>
      <c r="Z116" s="194"/>
      <c r="AA116" s="194"/>
      <c r="AB116" s="194"/>
      <c r="AC116" s="194"/>
      <c r="AD116" s="194"/>
    </row>
    <row r="117" spans="17:30" x14ac:dyDescent="0.3">
      <c r="Q117" s="194"/>
      <c r="R117" s="194"/>
      <c r="S117" s="194"/>
      <c r="T117" s="194"/>
      <c r="U117" s="194"/>
      <c r="V117" s="194"/>
      <c r="W117" s="194"/>
      <c r="X117" s="194"/>
      <c r="Y117" s="194"/>
      <c r="Z117" s="194"/>
      <c r="AA117" s="194"/>
      <c r="AB117" s="194"/>
      <c r="AC117" s="194"/>
      <c r="AD117" s="194"/>
    </row>
    <row r="118" spans="17:30" x14ac:dyDescent="0.3">
      <c r="Q118" s="194"/>
      <c r="R118" s="194"/>
      <c r="S118" s="194"/>
      <c r="T118" s="194"/>
      <c r="U118" s="194"/>
      <c r="V118" s="194"/>
      <c r="W118" s="194"/>
      <c r="X118" s="194"/>
      <c r="Y118" s="194"/>
      <c r="Z118" s="194"/>
      <c r="AA118" s="194"/>
      <c r="AB118" s="194"/>
      <c r="AC118" s="194"/>
      <c r="AD118" s="194"/>
    </row>
    <row r="119" spans="17:30" x14ac:dyDescent="0.3">
      <c r="Q119" s="194"/>
      <c r="R119" s="194"/>
      <c r="S119" s="194"/>
      <c r="T119" s="194"/>
      <c r="U119" s="194"/>
      <c r="V119" s="194"/>
      <c r="W119" s="194"/>
      <c r="X119" s="194"/>
      <c r="Y119" s="194"/>
      <c r="Z119" s="194"/>
      <c r="AA119" s="194"/>
      <c r="AB119" s="194"/>
      <c r="AC119" s="194"/>
      <c r="AD119" s="194"/>
    </row>
    <row r="120" spans="17:30" x14ac:dyDescent="0.3">
      <c r="Q120" s="194"/>
      <c r="R120" s="194"/>
      <c r="S120" s="194"/>
      <c r="T120" s="194"/>
      <c r="U120" s="194"/>
      <c r="V120" s="194"/>
      <c r="W120" s="194"/>
      <c r="X120" s="194"/>
      <c r="Y120" s="194"/>
      <c r="Z120" s="194"/>
      <c r="AA120" s="194"/>
      <c r="AB120" s="194"/>
      <c r="AC120" s="194"/>
      <c r="AD120" s="194"/>
    </row>
    <row r="121" spans="17:30" x14ac:dyDescent="0.3">
      <c r="Q121" s="194"/>
      <c r="R121" s="194"/>
      <c r="S121" s="194"/>
      <c r="T121" s="194"/>
      <c r="U121" s="194"/>
      <c r="V121" s="194"/>
      <c r="W121" s="194"/>
      <c r="X121" s="194"/>
      <c r="Y121" s="194"/>
      <c r="Z121" s="194"/>
      <c r="AA121" s="194"/>
      <c r="AB121" s="194"/>
      <c r="AC121" s="194"/>
      <c r="AD121" s="194"/>
    </row>
    <row r="122" spans="17:30" x14ac:dyDescent="0.3">
      <c r="Q122" s="194"/>
      <c r="R122" s="194"/>
      <c r="S122" s="194"/>
      <c r="T122" s="194"/>
      <c r="U122" s="194"/>
      <c r="V122" s="194"/>
      <c r="W122" s="194"/>
      <c r="X122" s="194"/>
      <c r="Y122" s="194"/>
      <c r="Z122" s="194"/>
      <c r="AA122" s="194"/>
      <c r="AB122" s="194"/>
      <c r="AC122" s="194"/>
      <c r="AD122" s="194"/>
    </row>
    <row r="123" spans="17:30" x14ac:dyDescent="0.3">
      <c r="Q123" s="194"/>
      <c r="R123" s="194"/>
      <c r="S123" s="194"/>
      <c r="T123" s="194"/>
      <c r="U123" s="194"/>
      <c r="V123" s="194"/>
      <c r="W123" s="194"/>
      <c r="X123" s="194"/>
      <c r="Y123" s="194"/>
      <c r="Z123" s="194"/>
      <c r="AA123" s="194"/>
      <c r="AB123" s="194"/>
      <c r="AC123" s="194"/>
      <c r="AD123" s="194"/>
    </row>
    <row r="124" spans="17:30" x14ac:dyDescent="0.3">
      <c r="Q124" s="194"/>
      <c r="R124" s="194"/>
      <c r="S124" s="194"/>
      <c r="T124" s="194"/>
      <c r="U124" s="194"/>
      <c r="V124" s="194"/>
      <c r="W124" s="194"/>
      <c r="X124" s="194"/>
      <c r="Y124" s="194"/>
      <c r="Z124" s="194"/>
      <c r="AA124" s="194"/>
      <c r="AB124" s="194"/>
      <c r="AC124" s="194"/>
      <c r="AD124" s="194"/>
    </row>
    <row r="125" spans="17:30" x14ac:dyDescent="0.3">
      <c r="Q125" s="194"/>
      <c r="R125" s="194"/>
      <c r="S125" s="194"/>
      <c r="T125" s="194"/>
      <c r="U125" s="194"/>
      <c r="V125" s="194"/>
      <c r="W125" s="194"/>
      <c r="X125" s="194"/>
      <c r="Y125" s="194"/>
      <c r="Z125" s="194"/>
      <c r="AA125" s="194"/>
      <c r="AB125" s="194"/>
      <c r="AC125" s="194"/>
      <c r="AD125" s="194"/>
    </row>
    <row r="126" spans="17:30" x14ac:dyDescent="0.3">
      <c r="Q126" s="194"/>
      <c r="R126" s="194"/>
      <c r="S126" s="194"/>
      <c r="T126" s="194"/>
      <c r="U126" s="194"/>
      <c r="V126" s="194"/>
      <c r="W126" s="194"/>
      <c r="X126" s="194"/>
      <c r="Y126" s="194"/>
      <c r="Z126" s="194"/>
      <c r="AA126" s="194"/>
      <c r="AB126" s="194"/>
      <c r="AC126" s="194"/>
      <c r="AD126" s="194"/>
    </row>
    <row r="127" spans="17:30" x14ac:dyDescent="0.3">
      <c r="Q127" s="194"/>
      <c r="R127" s="194"/>
      <c r="S127" s="194"/>
      <c r="T127" s="194"/>
      <c r="U127" s="194"/>
      <c r="V127" s="194"/>
      <c r="W127" s="194"/>
      <c r="X127" s="194"/>
      <c r="Y127" s="194"/>
      <c r="Z127" s="194"/>
      <c r="AA127" s="194"/>
      <c r="AB127" s="194"/>
      <c r="AC127" s="194"/>
      <c r="AD127" s="194"/>
    </row>
    <row r="128" spans="17:30" x14ac:dyDescent="0.3">
      <c r="Q128" s="194"/>
      <c r="R128" s="194"/>
      <c r="S128" s="194"/>
      <c r="T128" s="194"/>
      <c r="U128" s="194"/>
      <c r="V128" s="194"/>
      <c r="W128" s="194"/>
      <c r="X128" s="194"/>
      <c r="Y128" s="194"/>
      <c r="Z128" s="194"/>
      <c r="AA128" s="194"/>
      <c r="AB128" s="194"/>
      <c r="AC128" s="194"/>
      <c r="AD128" s="194"/>
    </row>
    <row r="129" spans="17:30" x14ac:dyDescent="0.3">
      <c r="Q129" s="194"/>
      <c r="R129" s="194"/>
      <c r="S129" s="194"/>
      <c r="T129" s="194"/>
      <c r="U129" s="194"/>
      <c r="V129" s="194"/>
      <c r="W129" s="194"/>
      <c r="X129" s="194"/>
      <c r="Y129" s="194"/>
      <c r="Z129" s="194"/>
      <c r="AA129" s="194"/>
      <c r="AB129" s="194"/>
      <c r="AC129" s="194"/>
      <c r="AD129" s="194"/>
    </row>
    <row r="130" spans="17:30" x14ac:dyDescent="0.3">
      <c r="Q130" s="194"/>
      <c r="R130" s="194"/>
      <c r="S130" s="194"/>
      <c r="T130" s="194"/>
      <c r="U130" s="194"/>
      <c r="V130" s="194"/>
      <c r="W130" s="194"/>
      <c r="X130" s="194"/>
      <c r="Y130" s="194"/>
      <c r="Z130" s="194"/>
      <c r="AA130" s="194"/>
      <c r="AB130" s="194"/>
      <c r="AC130" s="194"/>
      <c r="AD130" s="194"/>
    </row>
    <row r="131" spans="17:30" x14ac:dyDescent="0.3">
      <c r="Q131" s="194"/>
      <c r="R131" s="194"/>
      <c r="S131" s="194"/>
      <c r="T131" s="194"/>
      <c r="U131" s="194"/>
      <c r="V131" s="194"/>
      <c r="W131" s="194"/>
      <c r="X131" s="194"/>
      <c r="Y131" s="194"/>
      <c r="Z131" s="194"/>
      <c r="AA131" s="194"/>
      <c r="AB131" s="194"/>
      <c r="AC131" s="194"/>
      <c r="AD131" s="194"/>
    </row>
    <row r="132" spans="17:30" x14ac:dyDescent="0.3">
      <c r="Q132" s="194"/>
      <c r="R132" s="194"/>
      <c r="S132" s="194"/>
      <c r="T132" s="194"/>
      <c r="U132" s="194"/>
      <c r="V132" s="194"/>
      <c r="W132" s="194"/>
      <c r="X132" s="194"/>
      <c r="Y132" s="194"/>
      <c r="Z132" s="194"/>
      <c r="AA132" s="194"/>
      <c r="AB132" s="194"/>
      <c r="AC132" s="194"/>
      <c r="AD132" s="194"/>
    </row>
    <row r="133" spans="17:30" x14ac:dyDescent="0.3">
      <c r="Q133" s="194"/>
      <c r="R133" s="194"/>
      <c r="S133" s="194"/>
      <c r="T133" s="194"/>
      <c r="U133" s="194"/>
      <c r="V133" s="194"/>
      <c r="W133" s="194"/>
      <c r="X133" s="194"/>
      <c r="Y133" s="194"/>
      <c r="Z133" s="194"/>
      <c r="AA133" s="194"/>
      <c r="AB133" s="194"/>
      <c r="AC133" s="194"/>
      <c r="AD133" s="194"/>
    </row>
    <row r="134" spans="17:30" x14ac:dyDescent="0.3">
      <c r="Q134" s="194"/>
      <c r="R134" s="194"/>
      <c r="S134" s="194"/>
      <c r="T134" s="194"/>
      <c r="U134" s="194"/>
      <c r="V134" s="194"/>
      <c r="W134" s="194"/>
      <c r="X134" s="194"/>
      <c r="Y134" s="194"/>
      <c r="Z134" s="194"/>
      <c r="AA134" s="194"/>
      <c r="AB134" s="194"/>
      <c r="AC134" s="194"/>
      <c r="AD134" s="194"/>
    </row>
    <row r="135" spans="17:30" x14ac:dyDescent="0.3">
      <c r="Q135" s="194"/>
      <c r="R135" s="194"/>
      <c r="S135" s="194"/>
      <c r="T135" s="194"/>
      <c r="U135" s="194"/>
      <c r="V135" s="194"/>
      <c r="W135" s="194"/>
      <c r="X135" s="194"/>
      <c r="Y135" s="194"/>
      <c r="Z135" s="194"/>
      <c r="AA135" s="194"/>
      <c r="AB135" s="194"/>
      <c r="AC135" s="194"/>
      <c r="AD135" s="194"/>
    </row>
    <row r="136" spans="17:30" x14ac:dyDescent="0.3">
      <c r="Q136" s="194"/>
      <c r="R136" s="194"/>
      <c r="S136" s="194"/>
      <c r="T136" s="194"/>
      <c r="U136" s="194"/>
      <c r="V136" s="194"/>
      <c r="W136" s="194"/>
      <c r="X136" s="194"/>
      <c r="Y136" s="194"/>
      <c r="Z136" s="194"/>
      <c r="AA136" s="194"/>
      <c r="AB136" s="194"/>
      <c r="AC136" s="194"/>
      <c r="AD136" s="194"/>
    </row>
    <row r="137" spans="17:30" x14ac:dyDescent="0.3">
      <c r="Q137" s="194"/>
      <c r="R137" s="194"/>
      <c r="S137" s="194"/>
      <c r="T137" s="194"/>
      <c r="U137" s="194"/>
      <c r="V137" s="194"/>
      <c r="W137" s="194"/>
      <c r="X137" s="194"/>
      <c r="Y137" s="194"/>
      <c r="Z137" s="194"/>
      <c r="AA137" s="194"/>
      <c r="AB137" s="194"/>
      <c r="AC137" s="194"/>
      <c r="AD137" s="194"/>
    </row>
    <row r="138" spans="17:30" x14ac:dyDescent="0.3">
      <c r="Q138" s="194"/>
      <c r="R138" s="194"/>
      <c r="S138" s="194"/>
      <c r="T138" s="194"/>
      <c r="U138" s="194"/>
      <c r="V138" s="194"/>
      <c r="W138" s="194"/>
      <c r="X138" s="194"/>
      <c r="Y138" s="194"/>
      <c r="Z138" s="194"/>
      <c r="AA138" s="194"/>
      <c r="AB138" s="194"/>
      <c r="AC138" s="194"/>
      <c r="AD138" s="194"/>
    </row>
    <row r="139" spans="17:30" x14ac:dyDescent="0.3">
      <c r="Q139" s="194"/>
      <c r="R139" s="194"/>
      <c r="S139" s="194"/>
      <c r="T139" s="194"/>
      <c r="U139" s="194"/>
      <c r="V139" s="194"/>
      <c r="W139" s="194"/>
      <c r="X139" s="194"/>
      <c r="Y139" s="194"/>
      <c r="Z139" s="194"/>
      <c r="AA139" s="194"/>
      <c r="AB139" s="194"/>
      <c r="AC139" s="194"/>
      <c r="AD139" s="194"/>
    </row>
    <row r="140" spans="17:30" x14ac:dyDescent="0.3">
      <c r="Q140" s="194"/>
      <c r="R140" s="194"/>
      <c r="S140" s="194"/>
      <c r="T140" s="194"/>
      <c r="U140" s="194"/>
      <c r="V140" s="194"/>
      <c r="W140" s="194"/>
      <c r="X140" s="194"/>
      <c r="Y140" s="194"/>
      <c r="Z140" s="194"/>
      <c r="AA140" s="194"/>
      <c r="AB140" s="194"/>
      <c r="AC140" s="194"/>
      <c r="AD140" s="194"/>
    </row>
    <row r="141" spans="17:30" x14ac:dyDescent="0.3">
      <c r="Q141" s="194"/>
      <c r="R141" s="194"/>
      <c r="S141" s="194"/>
      <c r="T141" s="194"/>
      <c r="U141" s="194"/>
      <c r="V141" s="194"/>
      <c r="W141" s="194"/>
      <c r="X141" s="194"/>
      <c r="Y141" s="194"/>
      <c r="Z141" s="194"/>
      <c r="AA141" s="194"/>
      <c r="AB141" s="194"/>
      <c r="AC141" s="194"/>
      <c r="AD141" s="194"/>
    </row>
    <row r="142" spans="17:30" x14ac:dyDescent="0.3">
      <c r="Q142" s="194"/>
      <c r="R142" s="194"/>
      <c r="S142" s="194"/>
      <c r="T142" s="194"/>
      <c r="U142" s="194"/>
      <c r="V142" s="194"/>
      <c r="W142" s="194"/>
      <c r="X142" s="194"/>
      <c r="Y142" s="194"/>
      <c r="Z142" s="194"/>
      <c r="AA142" s="194"/>
      <c r="AB142" s="194"/>
      <c r="AC142" s="194"/>
      <c r="AD142" s="194"/>
    </row>
    <row r="143" spans="17:30" x14ac:dyDescent="0.3">
      <c r="Q143" s="194"/>
      <c r="R143" s="194"/>
      <c r="S143" s="194"/>
      <c r="T143" s="194"/>
      <c r="U143" s="194"/>
      <c r="V143" s="194"/>
      <c r="W143" s="194"/>
      <c r="X143" s="194"/>
      <c r="Y143" s="194"/>
      <c r="Z143" s="194"/>
      <c r="AA143" s="194"/>
      <c r="AB143" s="194"/>
      <c r="AC143" s="194"/>
      <c r="AD143" s="194"/>
    </row>
    <row r="144" spans="17:30" x14ac:dyDescent="0.3">
      <c r="Q144" s="194"/>
      <c r="R144" s="194"/>
      <c r="S144" s="194"/>
      <c r="T144" s="194"/>
      <c r="U144" s="194"/>
      <c r="V144" s="194"/>
      <c r="W144" s="194"/>
      <c r="X144" s="194"/>
      <c r="Y144" s="194"/>
      <c r="Z144" s="194"/>
      <c r="AA144" s="194"/>
      <c r="AB144" s="194"/>
      <c r="AC144" s="194"/>
      <c r="AD144" s="194"/>
    </row>
    <row r="145" spans="17:30" x14ac:dyDescent="0.3">
      <c r="Q145" s="194"/>
      <c r="R145" s="194"/>
      <c r="S145" s="194"/>
      <c r="T145" s="194"/>
      <c r="U145" s="194"/>
      <c r="V145" s="194"/>
      <c r="W145" s="194"/>
      <c r="X145" s="194"/>
      <c r="Y145" s="194"/>
      <c r="Z145" s="194"/>
      <c r="AA145" s="194"/>
      <c r="AB145" s="194"/>
      <c r="AC145" s="194"/>
      <c r="AD145" s="194"/>
    </row>
    <row r="146" spans="17:30" x14ac:dyDescent="0.3">
      <c r="Q146" s="194"/>
      <c r="R146" s="194"/>
      <c r="S146" s="194"/>
      <c r="T146" s="194"/>
      <c r="U146" s="194"/>
      <c r="V146" s="194"/>
      <c r="W146" s="194"/>
      <c r="X146" s="194"/>
      <c r="Y146" s="194"/>
      <c r="Z146" s="194"/>
      <c r="AA146" s="194"/>
      <c r="AB146" s="194"/>
      <c r="AC146" s="194"/>
      <c r="AD146" s="194"/>
    </row>
    <row r="147" spans="17:30" x14ac:dyDescent="0.3">
      <c r="Q147" s="194"/>
      <c r="R147" s="194"/>
      <c r="S147" s="194"/>
      <c r="T147" s="194"/>
      <c r="U147" s="194"/>
      <c r="V147" s="194"/>
      <c r="W147" s="194"/>
      <c r="X147" s="194"/>
      <c r="Y147" s="194"/>
      <c r="Z147" s="194"/>
      <c r="AA147" s="194"/>
      <c r="AB147" s="194"/>
      <c r="AC147" s="194"/>
      <c r="AD147" s="194"/>
    </row>
    <row r="148" spans="17:30" x14ac:dyDescent="0.3">
      <c r="Q148" s="194"/>
      <c r="R148" s="194"/>
      <c r="S148" s="194"/>
      <c r="T148" s="194"/>
      <c r="U148" s="194"/>
      <c r="V148" s="194"/>
      <c r="W148" s="194"/>
      <c r="X148" s="194"/>
      <c r="Y148" s="194"/>
      <c r="Z148" s="194"/>
      <c r="AA148" s="194"/>
      <c r="AB148" s="194"/>
      <c r="AC148" s="194"/>
      <c r="AD148" s="194"/>
    </row>
    <row r="149" spans="17:30" x14ac:dyDescent="0.3">
      <c r="Q149" s="194"/>
      <c r="R149" s="194"/>
      <c r="S149" s="194"/>
      <c r="T149" s="194"/>
      <c r="U149" s="194"/>
      <c r="V149" s="194"/>
      <c r="W149" s="194"/>
      <c r="X149" s="194"/>
      <c r="Y149" s="194"/>
      <c r="Z149" s="194"/>
      <c r="AA149" s="194"/>
      <c r="AB149" s="194"/>
      <c r="AC149" s="194"/>
      <c r="AD149" s="194"/>
    </row>
    <row r="150" spans="17:30" x14ac:dyDescent="0.3">
      <c r="Q150" s="194"/>
      <c r="R150" s="194"/>
      <c r="S150" s="194"/>
      <c r="T150" s="194"/>
      <c r="U150" s="194"/>
      <c r="V150" s="194"/>
      <c r="W150" s="194"/>
      <c r="X150" s="194"/>
      <c r="Y150" s="194"/>
      <c r="Z150" s="194"/>
      <c r="AA150" s="194"/>
      <c r="AB150" s="194"/>
      <c r="AC150" s="194"/>
      <c r="AD150" s="194"/>
    </row>
    <row r="151" spans="17:30" x14ac:dyDescent="0.3">
      <c r="Q151" s="194"/>
      <c r="R151" s="194"/>
      <c r="S151" s="194"/>
      <c r="T151" s="194"/>
      <c r="U151" s="194"/>
      <c r="V151" s="194"/>
      <c r="W151" s="194"/>
      <c r="X151" s="194"/>
      <c r="Y151" s="194"/>
      <c r="Z151" s="194"/>
      <c r="AA151" s="194"/>
      <c r="AB151" s="194"/>
      <c r="AC151" s="194"/>
      <c r="AD151" s="194"/>
    </row>
    <row r="152" spans="17:30" x14ac:dyDescent="0.3">
      <c r="Q152" s="194"/>
      <c r="R152" s="194"/>
      <c r="S152" s="194"/>
      <c r="T152" s="194"/>
      <c r="U152" s="194"/>
      <c r="V152" s="194"/>
      <c r="W152" s="194"/>
      <c r="X152" s="194"/>
      <c r="Y152" s="194"/>
      <c r="Z152" s="194"/>
      <c r="AA152" s="194"/>
      <c r="AB152" s="194"/>
      <c r="AC152" s="194"/>
      <c r="AD152" s="194"/>
    </row>
    <row r="153" spans="17:30" x14ac:dyDescent="0.3">
      <c r="Q153" s="194"/>
      <c r="R153" s="194"/>
      <c r="S153" s="194"/>
      <c r="T153" s="194"/>
      <c r="U153" s="194"/>
      <c r="V153" s="194"/>
      <c r="W153" s="194"/>
      <c r="X153" s="194"/>
      <c r="Y153" s="194"/>
      <c r="Z153" s="194"/>
      <c r="AA153" s="194"/>
      <c r="AB153" s="194"/>
      <c r="AC153" s="194"/>
      <c r="AD153" s="194"/>
    </row>
    <row r="154" spans="17:30" x14ac:dyDescent="0.3">
      <c r="Q154" s="194"/>
      <c r="R154" s="194"/>
      <c r="S154" s="194"/>
      <c r="T154" s="194"/>
      <c r="U154" s="194"/>
      <c r="V154" s="194"/>
      <c r="W154" s="194"/>
      <c r="X154" s="194"/>
      <c r="Y154" s="194"/>
      <c r="Z154" s="194"/>
      <c r="AA154" s="194"/>
      <c r="AB154" s="194"/>
      <c r="AC154" s="194"/>
      <c r="AD154" s="194"/>
    </row>
    <row r="155" spans="17:30" x14ac:dyDescent="0.3">
      <c r="Q155" s="194"/>
      <c r="R155" s="194"/>
      <c r="S155" s="194"/>
      <c r="T155" s="194"/>
      <c r="U155" s="194"/>
      <c r="V155" s="194"/>
      <c r="W155" s="194"/>
      <c r="X155" s="194"/>
      <c r="Y155" s="194"/>
      <c r="Z155" s="194"/>
      <c r="AA155" s="194"/>
      <c r="AB155" s="194"/>
      <c r="AC155" s="194"/>
      <c r="AD155" s="194"/>
    </row>
    <row r="156" spans="17:30" x14ac:dyDescent="0.3">
      <c r="Q156" s="194"/>
      <c r="R156" s="194"/>
      <c r="S156" s="194"/>
      <c r="T156" s="194"/>
      <c r="U156" s="194"/>
      <c r="V156" s="194"/>
      <c r="W156" s="194"/>
      <c r="X156" s="194"/>
      <c r="Y156" s="194"/>
      <c r="Z156" s="194"/>
      <c r="AA156" s="194"/>
      <c r="AB156" s="194"/>
      <c r="AC156" s="194"/>
      <c r="AD156" s="194"/>
    </row>
    <row r="157" spans="17:30" x14ac:dyDescent="0.3">
      <c r="Q157" s="194"/>
      <c r="R157" s="194"/>
      <c r="S157" s="194"/>
      <c r="T157" s="194"/>
      <c r="U157" s="194"/>
      <c r="V157" s="194"/>
      <c r="W157" s="194"/>
      <c r="X157" s="194"/>
      <c r="Y157" s="194"/>
      <c r="Z157" s="194"/>
      <c r="AA157" s="194"/>
      <c r="AB157" s="194"/>
      <c r="AC157" s="194"/>
      <c r="AD157" s="194"/>
    </row>
    <row r="158" spans="17:30" x14ac:dyDescent="0.3">
      <c r="Q158" s="194"/>
      <c r="R158" s="194"/>
      <c r="S158" s="194"/>
      <c r="T158" s="194"/>
      <c r="U158" s="194"/>
      <c r="V158" s="194"/>
      <c r="W158" s="194"/>
      <c r="X158" s="194"/>
      <c r="Y158" s="194"/>
      <c r="Z158" s="194"/>
      <c r="AA158" s="194"/>
      <c r="AB158" s="194"/>
      <c r="AC158" s="194"/>
      <c r="AD158" s="194"/>
    </row>
    <row r="159" spans="17:30" x14ac:dyDescent="0.3">
      <c r="Q159" s="194"/>
      <c r="R159" s="194"/>
      <c r="S159" s="194"/>
      <c r="T159" s="194"/>
      <c r="U159" s="194"/>
      <c r="V159" s="194"/>
      <c r="W159" s="194"/>
      <c r="X159" s="194"/>
      <c r="Y159" s="194"/>
      <c r="Z159" s="194"/>
      <c r="AA159" s="194"/>
      <c r="AB159" s="194"/>
      <c r="AC159" s="194"/>
      <c r="AD159" s="194"/>
    </row>
    <row r="160" spans="17:30" x14ac:dyDescent="0.3">
      <c r="Q160" s="194"/>
      <c r="R160" s="194"/>
      <c r="S160" s="194"/>
      <c r="T160" s="194"/>
      <c r="U160" s="194"/>
      <c r="V160" s="194"/>
      <c r="W160" s="194"/>
      <c r="X160" s="194"/>
      <c r="Y160" s="194"/>
      <c r="Z160" s="194"/>
      <c r="AA160" s="194"/>
      <c r="AB160" s="194"/>
      <c r="AC160" s="194"/>
      <c r="AD160" s="194"/>
    </row>
    <row r="161" spans="17:30" x14ac:dyDescent="0.3">
      <c r="Q161" s="194"/>
      <c r="R161" s="194"/>
      <c r="S161" s="194"/>
      <c r="T161" s="194"/>
      <c r="U161" s="194"/>
      <c r="V161" s="194"/>
      <c r="W161" s="194"/>
      <c r="X161" s="194"/>
      <c r="Y161" s="194"/>
      <c r="Z161" s="194"/>
      <c r="AA161" s="194"/>
      <c r="AB161" s="194"/>
      <c r="AC161" s="194"/>
      <c r="AD161" s="194"/>
    </row>
    <row r="162" spans="17:30" x14ac:dyDescent="0.3">
      <c r="Q162" s="194"/>
      <c r="R162" s="194"/>
      <c r="S162" s="194"/>
      <c r="T162" s="194"/>
      <c r="U162" s="194"/>
      <c r="V162" s="194"/>
      <c r="W162" s="194"/>
      <c r="X162" s="194"/>
      <c r="Y162" s="194"/>
      <c r="Z162" s="194"/>
      <c r="AA162" s="194"/>
      <c r="AB162" s="194"/>
      <c r="AC162" s="194"/>
      <c r="AD162" s="194"/>
    </row>
    <row r="163" spans="17:30" x14ac:dyDescent="0.3">
      <c r="Q163" s="194"/>
      <c r="R163" s="194"/>
      <c r="S163" s="194"/>
      <c r="T163" s="194"/>
      <c r="U163" s="194"/>
      <c r="V163" s="194"/>
      <c r="W163" s="194"/>
      <c r="X163" s="194"/>
      <c r="Y163" s="194"/>
      <c r="Z163" s="194"/>
      <c r="AA163" s="194"/>
      <c r="AB163" s="194"/>
      <c r="AC163" s="194"/>
      <c r="AD163" s="194"/>
    </row>
    <row r="164" spans="17:30" x14ac:dyDescent="0.3">
      <c r="Q164" s="194"/>
      <c r="R164" s="194"/>
      <c r="S164" s="194"/>
      <c r="T164" s="194"/>
      <c r="U164" s="194"/>
      <c r="V164" s="194"/>
      <c r="W164" s="194"/>
      <c r="X164" s="194"/>
      <c r="Y164" s="194"/>
      <c r="Z164" s="194"/>
      <c r="AA164" s="194"/>
      <c r="AB164" s="194"/>
      <c r="AC164" s="194"/>
      <c r="AD164" s="194"/>
    </row>
    <row r="165" spans="17:30" x14ac:dyDescent="0.3">
      <c r="Q165" s="194"/>
      <c r="R165" s="194"/>
      <c r="S165" s="194"/>
      <c r="T165" s="194"/>
      <c r="U165" s="194"/>
      <c r="V165" s="194"/>
      <c r="W165" s="194"/>
      <c r="X165" s="194"/>
      <c r="Y165" s="194"/>
      <c r="Z165" s="194"/>
      <c r="AA165" s="194"/>
      <c r="AB165" s="194"/>
      <c r="AC165" s="194"/>
      <c r="AD165" s="194"/>
    </row>
    <row r="166" spans="17:30" x14ac:dyDescent="0.3">
      <c r="Q166" s="194"/>
      <c r="R166" s="194"/>
      <c r="S166" s="194"/>
      <c r="T166" s="194"/>
      <c r="U166" s="194"/>
      <c r="V166" s="194"/>
      <c r="W166" s="194"/>
      <c r="X166" s="194"/>
      <c r="Y166" s="194"/>
      <c r="Z166" s="194"/>
      <c r="AA166" s="194"/>
      <c r="AB166" s="194"/>
      <c r="AC166" s="194"/>
      <c r="AD166" s="194"/>
    </row>
    <row r="167" spans="17:30" x14ac:dyDescent="0.3">
      <c r="Q167" s="194"/>
      <c r="R167" s="194"/>
      <c r="S167" s="194"/>
      <c r="T167" s="194"/>
      <c r="U167" s="194"/>
      <c r="V167" s="194"/>
      <c r="W167" s="194"/>
      <c r="X167" s="194"/>
      <c r="Y167" s="194"/>
      <c r="Z167" s="194"/>
      <c r="AA167" s="194"/>
      <c r="AB167" s="194"/>
      <c r="AC167" s="194"/>
      <c r="AD167" s="194"/>
    </row>
    <row r="168" spans="17:30" x14ac:dyDescent="0.3">
      <c r="Q168" s="194"/>
      <c r="R168" s="194"/>
      <c r="S168" s="194"/>
      <c r="T168" s="194"/>
      <c r="U168" s="194"/>
      <c r="V168" s="194"/>
      <c r="W168" s="194"/>
      <c r="X168" s="194"/>
      <c r="Y168" s="194"/>
      <c r="Z168" s="194"/>
      <c r="AA168" s="194"/>
      <c r="AB168" s="194"/>
      <c r="AC168" s="194"/>
      <c r="AD168" s="194"/>
    </row>
    <row r="169" spans="17:30" x14ac:dyDescent="0.3">
      <c r="Q169" s="194"/>
      <c r="R169" s="194"/>
      <c r="S169" s="194"/>
      <c r="T169" s="194"/>
      <c r="U169" s="194"/>
      <c r="V169" s="194"/>
      <c r="W169" s="194"/>
      <c r="X169" s="194"/>
      <c r="Y169" s="194"/>
      <c r="Z169" s="194"/>
      <c r="AA169" s="194"/>
      <c r="AB169" s="194"/>
      <c r="AC169" s="194"/>
      <c r="AD169" s="194"/>
    </row>
    <row r="170" spans="17:30" x14ac:dyDescent="0.3">
      <c r="Q170" s="194"/>
      <c r="R170" s="194"/>
      <c r="S170" s="194"/>
      <c r="T170" s="194"/>
      <c r="U170" s="194"/>
      <c r="V170" s="194"/>
      <c r="W170" s="194"/>
      <c r="X170" s="194"/>
      <c r="Y170" s="194"/>
      <c r="Z170" s="194"/>
      <c r="AA170" s="194"/>
      <c r="AB170" s="194"/>
      <c r="AC170" s="194"/>
      <c r="AD170" s="194"/>
    </row>
    <row r="171" spans="17:30" x14ac:dyDescent="0.3">
      <c r="Q171" s="194"/>
      <c r="R171" s="194"/>
      <c r="S171" s="194"/>
      <c r="T171" s="194"/>
      <c r="U171" s="194"/>
      <c r="V171" s="194"/>
      <c r="W171" s="194"/>
      <c r="X171" s="194"/>
      <c r="Y171" s="194"/>
      <c r="Z171" s="194"/>
      <c r="AA171" s="194"/>
      <c r="AB171" s="194"/>
      <c r="AC171" s="194"/>
      <c r="AD171" s="194"/>
    </row>
    <row r="172" spans="17:30" x14ac:dyDescent="0.3">
      <c r="Q172" s="194"/>
      <c r="R172" s="194"/>
      <c r="S172" s="194"/>
      <c r="T172" s="194"/>
      <c r="U172" s="194"/>
      <c r="V172" s="194"/>
      <c r="W172" s="194"/>
      <c r="X172" s="194"/>
      <c r="Y172" s="194"/>
      <c r="Z172" s="194"/>
      <c r="AA172" s="194"/>
      <c r="AB172" s="194"/>
      <c r="AC172" s="194"/>
      <c r="AD172" s="194"/>
    </row>
    <row r="173" spans="17:30" x14ac:dyDescent="0.3">
      <c r="Q173" s="194"/>
      <c r="R173" s="194"/>
      <c r="S173" s="194"/>
      <c r="T173" s="194"/>
      <c r="U173" s="194"/>
      <c r="V173" s="194"/>
      <c r="W173" s="194"/>
      <c r="X173" s="194"/>
      <c r="Y173" s="194"/>
      <c r="Z173" s="194"/>
      <c r="AA173" s="194"/>
      <c r="AB173" s="194"/>
      <c r="AC173" s="194"/>
      <c r="AD173" s="194"/>
    </row>
    <row r="174" spans="17:30" x14ac:dyDescent="0.3">
      <c r="Q174" s="194"/>
      <c r="R174" s="194"/>
      <c r="S174" s="194"/>
      <c r="T174" s="194"/>
      <c r="U174" s="194"/>
      <c r="V174" s="194"/>
      <c r="W174" s="194"/>
      <c r="X174" s="194"/>
      <c r="Y174" s="194"/>
      <c r="Z174" s="194"/>
      <c r="AA174" s="194"/>
      <c r="AB174" s="194"/>
      <c r="AC174" s="194"/>
      <c r="AD174" s="194"/>
    </row>
    <row r="175" spans="17:30" x14ac:dyDescent="0.3">
      <c r="Q175" s="194"/>
      <c r="R175" s="194"/>
      <c r="S175" s="194"/>
      <c r="T175" s="194"/>
      <c r="U175" s="194"/>
      <c r="V175" s="194"/>
      <c r="W175" s="194"/>
      <c r="X175" s="194"/>
      <c r="Y175" s="194"/>
      <c r="Z175" s="194"/>
      <c r="AA175" s="194"/>
      <c r="AB175" s="194"/>
      <c r="AC175" s="194"/>
      <c r="AD175" s="194"/>
    </row>
    <row r="176" spans="17:30" x14ac:dyDescent="0.3">
      <c r="Q176" s="194"/>
      <c r="R176" s="194"/>
      <c r="S176" s="194"/>
      <c r="T176" s="194"/>
      <c r="U176" s="194"/>
      <c r="V176" s="194"/>
      <c r="W176" s="194"/>
      <c r="X176" s="194"/>
      <c r="Y176" s="194"/>
      <c r="Z176" s="194"/>
      <c r="AA176" s="194"/>
      <c r="AB176" s="194"/>
      <c r="AC176" s="194"/>
      <c r="AD176" s="194"/>
    </row>
    <row r="177" spans="17:30" x14ac:dyDescent="0.3">
      <c r="Q177" s="194"/>
      <c r="R177" s="194"/>
      <c r="S177" s="194"/>
      <c r="T177" s="194"/>
      <c r="U177" s="194"/>
      <c r="V177" s="194"/>
      <c r="W177" s="194"/>
      <c r="X177" s="194"/>
      <c r="Y177" s="194"/>
      <c r="Z177" s="194"/>
      <c r="AA177" s="194"/>
      <c r="AB177" s="194"/>
      <c r="AC177" s="194"/>
      <c r="AD177" s="194"/>
    </row>
    <row r="178" spans="17:30" x14ac:dyDescent="0.3">
      <c r="Q178" s="194"/>
      <c r="R178" s="194"/>
      <c r="S178" s="194"/>
      <c r="T178" s="194"/>
      <c r="U178" s="194"/>
      <c r="V178" s="194"/>
      <c r="W178" s="194"/>
      <c r="X178" s="194"/>
      <c r="Y178" s="194"/>
      <c r="Z178" s="194"/>
      <c r="AA178" s="194"/>
      <c r="AB178" s="194"/>
      <c r="AC178" s="194"/>
      <c r="AD178" s="194"/>
    </row>
    <row r="179" spans="17:30" x14ac:dyDescent="0.3">
      <c r="Q179" s="194"/>
      <c r="R179" s="194"/>
      <c r="S179" s="194"/>
      <c r="T179" s="194"/>
      <c r="U179" s="194"/>
      <c r="V179" s="194"/>
      <c r="W179" s="194"/>
      <c r="X179" s="194"/>
      <c r="Y179" s="194"/>
      <c r="Z179" s="194"/>
      <c r="AA179" s="194"/>
      <c r="AB179" s="194"/>
      <c r="AC179" s="194"/>
      <c r="AD179" s="194"/>
    </row>
    <row r="180" spans="17:30" x14ac:dyDescent="0.3">
      <c r="Q180" s="194"/>
      <c r="R180" s="194"/>
      <c r="S180" s="194"/>
      <c r="T180" s="194"/>
      <c r="U180" s="194"/>
      <c r="V180" s="194"/>
      <c r="W180" s="194"/>
      <c r="X180" s="194"/>
      <c r="Y180" s="194"/>
      <c r="Z180" s="194"/>
      <c r="AA180" s="194"/>
      <c r="AB180" s="194"/>
      <c r="AC180" s="194"/>
      <c r="AD180" s="194"/>
    </row>
    <row r="181" spans="17:30" x14ac:dyDescent="0.3">
      <c r="Q181" s="194"/>
      <c r="R181" s="194"/>
      <c r="S181" s="194"/>
      <c r="T181" s="194"/>
      <c r="U181" s="194"/>
      <c r="V181" s="194"/>
      <c r="W181" s="194"/>
      <c r="X181" s="194"/>
      <c r="Y181" s="194"/>
      <c r="Z181" s="194"/>
      <c r="AA181" s="194"/>
      <c r="AB181" s="194"/>
      <c r="AC181" s="194"/>
      <c r="AD181" s="194"/>
    </row>
    <row r="182" spans="17:30" x14ac:dyDescent="0.3">
      <c r="Q182" s="194"/>
      <c r="R182" s="194"/>
      <c r="S182" s="194"/>
      <c r="T182" s="194"/>
      <c r="U182" s="194"/>
      <c r="V182" s="194"/>
      <c r="W182" s="194"/>
      <c r="X182" s="194"/>
      <c r="Y182" s="194"/>
      <c r="Z182" s="194"/>
      <c r="AA182" s="194"/>
      <c r="AB182" s="194"/>
      <c r="AC182" s="194"/>
      <c r="AD182" s="194"/>
    </row>
    <row r="183" spans="17:30" x14ac:dyDescent="0.3">
      <c r="Q183" s="194"/>
      <c r="R183" s="194"/>
      <c r="S183" s="194"/>
      <c r="T183" s="194"/>
      <c r="U183" s="194"/>
      <c r="V183" s="194"/>
      <c r="W183" s="194"/>
      <c r="X183" s="194"/>
      <c r="Y183" s="194"/>
      <c r="Z183" s="194"/>
      <c r="AA183" s="194"/>
      <c r="AB183" s="194"/>
      <c r="AC183" s="194"/>
      <c r="AD183" s="194"/>
    </row>
    <row r="184" spans="17:30" x14ac:dyDescent="0.3">
      <c r="Q184" s="194"/>
      <c r="R184" s="194"/>
      <c r="S184" s="194"/>
      <c r="T184" s="194"/>
      <c r="U184" s="194"/>
      <c r="V184" s="194"/>
      <c r="W184" s="194"/>
      <c r="X184" s="194"/>
      <c r="Y184" s="194"/>
      <c r="Z184" s="194"/>
      <c r="AA184" s="194"/>
      <c r="AB184" s="194"/>
      <c r="AC184" s="194"/>
      <c r="AD184" s="194"/>
    </row>
    <row r="185" spans="17:30" x14ac:dyDescent="0.3">
      <c r="Q185" s="194"/>
      <c r="R185" s="194"/>
      <c r="S185" s="194"/>
      <c r="T185" s="194"/>
      <c r="U185" s="194"/>
      <c r="V185" s="194"/>
      <c r="W185" s="194"/>
      <c r="X185" s="194"/>
      <c r="Y185" s="194"/>
      <c r="Z185" s="194"/>
      <c r="AA185" s="194"/>
      <c r="AB185" s="194"/>
      <c r="AC185" s="194"/>
      <c r="AD185" s="194"/>
    </row>
    <row r="186" spans="17:30" x14ac:dyDescent="0.3">
      <c r="Q186" s="194"/>
      <c r="R186" s="194"/>
      <c r="S186" s="194"/>
      <c r="T186" s="194"/>
      <c r="U186" s="194"/>
      <c r="V186" s="194"/>
      <c r="W186" s="194"/>
      <c r="X186" s="194"/>
      <c r="Y186" s="194"/>
      <c r="Z186" s="194"/>
      <c r="AA186" s="194"/>
      <c r="AB186" s="194"/>
      <c r="AC186" s="194"/>
      <c r="AD186" s="194"/>
    </row>
    <row r="187" spans="17:30" x14ac:dyDescent="0.3">
      <c r="Q187" s="194"/>
      <c r="R187" s="194"/>
      <c r="S187" s="194"/>
      <c r="T187" s="194"/>
      <c r="U187" s="194"/>
      <c r="V187" s="194"/>
      <c r="W187" s="194"/>
      <c r="X187" s="194"/>
      <c r="Y187" s="194"/>
      <c r="Z187" s="194"/>
      <c r="AA187" s="194"/>
      <c r="AB187" s="194"/>
      <c r="AC187" s="194"/>
      <c r="AD187" s="194"/>
    </row>
    <row r="188" spans="17:30" x14ac:dyDescent="0.3">
      <c r="Q188" s="194"/>
      <c r="R188" s="194"/>
      <c r="S188" s="194"/>
      <c r="T188" s="194"/>
      <c r="U188" s="194"/>
      <c r="V188" s="194"/>
      <c r="W188" s="194"/>
      <c r="X188" s="194"/>
      <c r="Y188" s="194"/>
      <c r="Z188" s="194"/>
      <c r="AA188" s="194"/>
      <c r="AB188" s="194"/>
      <c r="AC188" s="194"/>
      <c r="AD188" s="194"/>
    </row>
    <row r="189" spans="17:30" x14ac:dyDescent="0.3">
      <c r="Q189" s="194"/>
      <c r="R189" s="194"/>
      <c r="S189" s="194"/>
      <c r="T189" s="194"/>
      <c r="U189" s="194"/>
      <c r="V189" s="194"/>
      <c r="W189" s="194"/>
      <c r="X189" s="194"/>
      <c r="Y189" s="194"/>
      <c r="Z189" s="194"/>
      <c r="AA189" s="194"/>
      <c r="AB189" s="194"/>
      <c r="AC189" s="194"/>
      <c r="AD189" s="194"/>
    </row>
    <row r="190" spans="17:30" x14ac:dyDescent="0.3">
      <c r="Q190" s="194"/>
      <c r="R190" s="194"/>
      <c r="S190" s="194"/>
      <c r="T190" s="194"/>
      <c r="U190" s="194"/>
      <c r="V190" s="194"/>
      <c r="W190" s="194"/>
      <c r="X190" s="194"/>
      <c r="Y190" s="194"/>
      <c r="Z190" s="194"/>
      <c r="AA190" s="194"/>
      <c r="AB190" s="194"/>
      <c r="AC190" s="194"/>
      <c r="AD190" s="194"/>
    </row>
    <row r="191" spans="17:30" x14ac:dyDescent="0.3">
      <c r="Q191" s="194"/>
      <c r="R191" s="194"/>
      <c r="S191" s="194"/>
      <c r="T191" s="194"/>
      <c r="U191" s="194"/>
      <c r="V191" s="194"/>
      <c r="W191" s="194"/>
      <c r="X191" s="194"/>
      <c r="Y191" s="194"/>
      <c r="Z191" s="194"/>
      <c r="AA191" s="194"/>
      <c r="AB191" s="194"/>
      <c r="AC191" s="194"/>
      <c r="AD191" s="194"/>
    </row>
    <row r="192" spans="17:30" x14ac:dyDescent="0.3">
      <c r="Q192" s="194"/>
      <c r="R192" s="194"/>
      <c r="S192" s="194"/>
      <c r="T192" s="194"/>
      <c r="U192" s="194"/>
      <c r="V192" s="194"/>
      <c r="W192" s="194"/>
      <c r="X192" s="194"/>
      <c r="Y192" s="194"/>
      <c r="Z192" s="194"/>
      <c r="AA192" s="194"/>
      <c r="AB192" s="194"/>
      <c r="AC192" s="194"/>
      <c r="AD192" s="194"/>
    </row>
    <row r="193" spans="17:30" x14ac:dyDescent="0.3">
      <c r="Q193" s="194"/>
      <c r="R193" s="194"/>
      <c r="S193" s="194"/>
      <c r="T193" s="194"/>
      <c r="U193" s="194"/>
      <c r="V193" s="194"/>
      <c r="W193" s="194"/>
      <c r="X193" s="194"/>
      <c r="Y193" s="194"/>
      <c r="Z193" s="194"/>
      <c r="AA193" s="194"/>
      <c r="AB193" s="194"/>
      <c r="AC193" s="194"/>
      <c r="AD193" s="194"/>
    </row>
    <row r="194" spans="17:30" x14ac:dyDescent="0.3">
      <c r="Q194" s="194"/>
      <c r="R194" s="194"/>
      <c r="S194" s="194"/>
      <c r="T194" s="194"/>
      <c r="U194" s="194"/>
      <c r="V194" s="194"/>
      <c r="W194" s="194"/>
      <c r="X194" s="194"/>
      <c r="Y194" s="194"/>
      <c r="Z194" s="194"/>
      <c r="AA194" s="194"/>
      <c r="AB194" s="194"/>
      <c r="AC194" s="194"/>
      <c r="AD194" s="194"/>
    </row>
    <row r="195" spans="17:30" x14ac:dyDescent="0.3">
      <c r="Q195" s="194"/>
      <c r="R195" s="194"/>
      <c r="S195" s="194"/>
      <c r="T195" s="194"/>
      <c r="U195" s="194"/>
      <c r="V195" s="194"/>
      <c r="W195" s="194"/>
      <c r="X195" s="194"/>
      <c r="Y195" s="194"/>
      <c r="Z195" s="194"/>
      <c r="AA195" s="194"/>
      <c r="AB195" s="194"/>
      <c r="AC195" s="194"/>
      <c r="AD195" s="194"/>
    </row>
    <row r="196" spans="17:30" x14ac:dyDescent="0.3">
      <c r="Q196" s="194"/>
      <c r="R196" s="194"/>
      <c r="S196" s="194"/>
      <c r="T196" s="194"/>
      <c r="U196" s="194"/>
      <c r="V196" s="194"/>
      <c r="W196" s="194"/>
      <c r="X196" s="194"/>
      <c r="Y196" s="194"/>
      <c r="Z196" s="194"/>
      <c r="AA196" s="194"/>
      <c r="AB196" s="194"/>
      <c r="AC196" s="194"/>
      <c r="AD196" s="194"/>
    </row>
    <row r="197" spans="17:30" x14ac:dyDescent="0.3">
      <c r="Q197" s="194"/>
      <c r="R197" s="194"/>
      <c r="S197" s="194"/>
      <c r="T197" s="194"/>
      <c r="U197" s="194"/>
      <c r="V197" s="194"/>
      <c r="W197" s="194"/>
      <c r="X197" s="194"/>
      <c r="Y197" s="194"/>
      <c r="Z197" s="194"/>
      <c r="AA197" s="194"/>
      <c r="AB197" s="194"/>
      <c r="AC197" s="194"/>
      <c r="AD197" s="194"/>
    </row>
    <row r="198" spans="17:30" x14ac:dyDescent="0.3">
      <c r="Q198" s="194"/>
      <c r="R198" s="194"/>
      <c r="S198" s="194"/>
      <c r="T198" s="194"/>
      <c r="U198" s="194"/>
      <c r="V198" s="194"/>
      <c r="W198" s="194"/>
      <c r="X198" s="194"/>
      <c r="Y198" s="194"/>
      <c r="Z198" s="194"/>
      <c r="AA198" s="194"/>
      <c r="AB198" s="194"/>
      <c r="AC198" s="194"/>
      <c r="AD198" s="194"/>
    </row>
    <row r="199" spans="17:30" x14ac:dyDescent="0.3">
      <c r="Q199" s="194"/>
      <c r="R199" s="194"/>
      <c r="S199" s="194"/>
      <c r="T199" s="194"/>
      <c r="U199" s="194"/>
      <c r="V199" s="194"/>
      <c r="W199" s="194"/>
      <c r="X199" s="194"/>
      <c r="Y199" s="194"/>
      <c r="Z199" s="194"/>
      <c r="AA199" s="194"/>
      <c r="AB199" s="194"/>
      <c r="AC199" s="194"/>
      <c r="AD199" s="194"/>
    </row>
    <row r="200" spans="17:30" x14ac:dyDescent="0.3">
      <c r="Q200" s="194"/>
      <c r="R200" s="194"/>
      <c r="S200" s="194"/>
      <c r="T200" s="194"/>
      <c r="U200" s="194"/>
      <c r="V200" s="194"/>
      <c r="W200" s="194"/>
      <c r="X200" s="194"/>
      <c r="Y200" s="194"/>
      <c r="Z200" s="194"/>
      <c r="AA200" s="194"/>
      <c r="AB200" s="194"/>
      <c r="AC200" s="194"/>
      <c r="AD200" s="194"/>
    </row>
    <row r="201" spans="17:30" x14ac:dyDescent="0.3">
      <c r="Q201" s="194"/>
      <c r="R201" s="194"/>
      <c r="S201" s="194"/>
      <c r="T201" s="194"/>
      <c r="U201" s="194"/>
      <c r="V201" s="194"/>
      <c r="W201" s="194"/>
      <c r="X201" s="194"/>
      <c r="Y201" s="194"/>
      <c r="Z201" s="194"/>
      <c r="AA201" s="194"/>
      <c r="AB201" s="194"/>
      <c r="AC201" s="194"/>
      <c r="AD201" s="194"/>
    </row>
    <row r="202" spans="17:30" x14ac:dyDescent="0.3">
      <c r="Q202" s="194"/>
      <c r="R202" s="194"/>
      <c r="S202" s="194"/>
      <c r="T202" s="194"/>
      <c r="U202" s="194"/>
      <c r="V202" s="194"/>
      <c r="W202" s="194"/>
      <c r="X202" s="194"/>
      <c r="Y202" s="194"/>
      <c r="Z202" s="194"/>
      <c r="AA202" s="194"/>
      <c r="AB202" s="194"/>
      <c r="AC202" s="194"/>
      <c r="AD202" s="194"/>
    </row>
    <row r="203" spans="17:30" x14ac:dyDescent="0.3">
      <c r="Q203" s="194"/>
      <c r="R203" s="194"/>
      <c r="S203" s="194"/>
      <c r="T203" s="194"/>
      <c r="U203" s="194"/>
      <c r="V203" s="194"/>
      <c r="W203" s="194"/>
      <c r="X203" s="194"/>
      <c r="Y203" s="194"/>
      <c r="Z203" s="194"/>
      <c r="AA203" s="194"/>
      <c r="AB203" s="194"/>
      <c r="AC203" s="194"/>
      <c r="AD203" s="194"/>
    </row>
    <row r="204" spans="17:30" x14ac:dyDescent="0.3">
      <c r="Q204" s="194"/>
      <c r="R204" s="194"/>
      <c r="S204" s="194"/>
      <c r="T204" s="194"/>
      <c r="U204" s="194"/>
      <c r="V204" s="194"/>
      <c r="W204" s="194"/>
      <c r="X204" s="194"/>
      <c r="Y204" s="194"/>
      <c r="Z204" s="194"/>
      <c r="AA204" s="194"/>
      <c r="AB204" s="194"/>
      <c r="AC204" s="194"/>
      <c r="AD204" s="194"/>
    </row>
    <row r="205" spans="17:30" x14ac:dyDescent="0.3">
      <c r="Q205" s="194"/>
      <c r="R205" s="194"/>
      <c r="S205" s="194"/>
      <c r="T205" s="194"/>
      <c r="U205" s="194"/>
      <c r="V205" s="194"/>
      <c r="W205" s="194"/>
      <c r="X205" s="194"/>
      <c r="Y205" s="194"/>
      <c r="Z205" s="194"/>
      <c r="AA205" s="194"/>
      <c r="AB205" s="194"/>
      <c r="AC205" s="194"/>
      <c r="AD205" s="194"/>
    </row>
    <row r="206" spans="17:30" x14ac:dyDescent="0.3">
      <c r="Q206" s="194"/>
      <c r="R206" s="194"/>
      <c r="S206" s="194"/>
      <c r="T206" s="194"/>
      <c r="U206" s="194"/>
      <c r="V206" s="194"/>
      <c r="W206" s="194"/>
      <c r="X206" s="194"/>
      <c r="Y206" s="194"/>
      <c r="Z206" s="194"/>
      <c r="AA206" s="194"/>
      <c r="AB206" s="194"/>
      <c r="AC206" s="194"/>
      <c r="AD206" s="194"/>
    </row>
    <row r="207" spans="17:30" x14ac:dyDescent="0.3">
      <c r="Q207" s="194"/>
      <c r="R207" s="194"/>
      <c r="S207" s="194"/>
      <c r="T207" s="194"/>
      <c r="U207" s="194"/>
      <c r="V207" s="194"/>
      <c r="W207" s="194"/>
      <c r="X207" s="194"/>
      <c r="Y207" s="194"/>
      <c r="Z207" s="194"/>
      <c r="AA207" s="194"/>
      <c r="AB207" s="194"/>
      <c r="AC207" s="194"/>
      <c r="AD207" s="194"/>
    </row>
    <row r="208" spans="17:30" x14ac:dyDescent="0.3">
      <c r="Q208" s="194"/>
      <c r="R208" s="194"/>
      <c r="S208" s="194"/>
      <c r="T208" s="194"/>
      <c r="U208" s="194"/>
      <c r="V208" s="194"/>
      <c r="W208" s="194"/>
      <c r="X208" s="194"/>
      <c r="Y208" s="194"/>
      <c r="Z208" s="194"/>
      <c r="AA208" s="194"/>
      <c r="AB208" s="194"/>
      <c r="AC208" s="194"/>
      <c r="AD208" s="194"/>
    </row>
    <row r="209" spans="17:30" x14ac:dyDescent="0.3">
      <c r="Q209" s="194"/>
      <c r="R209" s="194"/>
      <c r="S209" s="194"/>
      <c r="T209" s="194"/>
      <c r="U209" s="194"/>
      <c r="V209" s="194"/>
      <c r="W209" s="194"/>
      <c r="X209" s="194"/>
      <c r="Y209" s="194"/>
      <c r="Z209" s="194"/>
      <c r="AA209" s="194"/>
      <c r="AB209" s="194"/>
      <c r="AC209" s="194"/>
      <c r="AD209" s="194"/>
    </row>
    <row r="210" spans="17:30" x14ac:dyDescent="0.3">
      <c r="Q210" s="194"/>
      <c r="R210" s="194"/>
      <c r="S210" s="194"/>
      <c r="T210" s="194"/>
      <c r="U210" s="194"/>
      <c r="V210" s="194"/>
      <c r="W210" s="194"/>
      <c r="X210" s="194"/>
      <c r="Y210" s="194"/>
      <c r="Z210" s="194"/>
      <c r="AA210" s="194"/>
      <c r="AB210" s="194"/>
      <c r="AC210" s="194"/>
      <c r="AD210" s="194"/>
    </row>
    <row r="211" spans="17:30" x14ac:dyDescent="0.3">
      <c r="Q211" s="194"/>
      <c r="R211" s="194"/>
      <c r="S211" s="194"/>
      <c r="T211" s="194"/>
      <c r="U211" s="194"/>
      <c r="V211" s="194"/>
      <c r="W211" s="194"/>
      <c r="X211" s="194"/>
      <c r="Y211" s="194"/>
      <c r="Z211" s="194"/>
      <c r="AA211" s="194"/>
      <c r="AB211" s="194"/>
      <c r="AC211" s="194"/>
      <c r="AD211" s="194"/>
    </row>
    <row r="212" spans="17:30" x14ac:dyDescent="0.3">
      <c r="Q212" s="194"/>
      <c r="R212" s="194"/>
      <c r="S212" s="194"/>
      <c r="T212" s="194"/>
      <c r="U212" s="194"/>
      <c r="V212" s="194"/>
      <c r="W212" s="194"/>
      <c r="X212" s="194"/>
      <c r="Y212" s="194"/>
      <c r="Z212" s="194"/>
      <c r="AA212" s="194"/>
      <c r="AB212" s="194"/>
      <c r="AC212" s="194"/>
      <c r="AD212" s="194"/>
    </row>
    <row r="213" spans="17:30" x14ac:dyDescent="0.3">
      <c r="Q213" s="194"/>
      <c r="R213" s="194"/>
      <c r="S213" s="194"/>
      <c r="T213" s="194"/>
      <c r="U213" s="194"/>
      <c r="V213" s="194"/>
      <c r="W213" s="194"/>
      <c r="X213" s="194"/>
      <c r="Y213" s="194"/>
      <c r="Z213" s="194"/>
      <c r="AA213" s="194"/>
      <c r="AB213" s="194"/>
      <c r="AC213" s="194"/>
      <c r="AD213" s="194"/>
    </row>
    <row r="214" spans="17:30" x14ac:dyDescent="0.3">
      <c r="Q214" s="194"/>
      <c r="R214" s="194"/>
      <c r="S214" s="194"/>
      <c r="T214" s="194"/>
      <c r="U214" s="194"/>
      <c r="V214" s="194"/>
      <c r="W214" s="194"/>
      <c r="X214" s="194"/>
      <c r="Y214" s="194"/>
      <c r="Z214" s="194"/>
      <c r="AA214" s="194"/>
      <c r="AB214" s="194"/>
      <c r="AC214" s="194"/>
      <c r="AD214" s="194"/>
    </row>
    <row r="215" spans="17:30" x14ac:dyDescent="0.3">
      <c r="Q215" s="194"/>
      <c r="R215" s="194"/>
      <c r="S215" s="194"/>
      <c r="T215" s="194"/>
      <c r="U215" s="194"/>
      <c r="V215" s="194"/>
      <c r="W215" s="194"/>
      <c r="X215" s="194"/>
      <c r="Y215" s="194"/>
      <c r="Z215" s="194"/>
      <c r="AA215" s="194"/>
      <c r="AB215" s="194"/>
      <c r="AC215" s="194"/>
      <c r="AD215" s="194"/>
    </row>
    <row r="216" spans="17:30" x14ac:dyDescent="0.3">
      <c r="Q216" s="194"/>
      <c r="R216" s="194"/>
      <c r="S216" s="194"/>
      <c r="T216" s="194"/>
      <c r="U216" s="194"/>
      <c r="V216" s="194"/>
      <c r="W216" s="194"/>
      <c r="X216" s="194"/>
      <c r="Y216" s="194"/>
      <c r="Z216" s="194"/>
      <c r="AA216" s="194"/>
      <c r="AB216" s="194"/>
      <c r="AC216" s="194"/>
      <c r="AD216" s="194"/>
    </row>
    <row r="217" spans="17:30" x14ac:dyDescent="0.3">
      <c r="Q217" s="194"/>
      <c r="R217" s="194"/>
      <c r="S217" s="194"/>
      <c r="T217" s="194"/>
      <c r="U217" s="194"/>
      <c r="V217" s="194"/>
      <c r="W217" s="194"/>
      <c r="X217" s="194"/>
      <c r="Y217" s="194"/>
      <c r="Z217" s="194"/>
      <c r="AA217" s="194"/>
      <c r="AB217" s="194"/>
      <c r="AC217" s="194"/>
      <c r="AD217" s="194"/>
    </row>
    <row r="218" spans="17:30" x14ac:dyDescent="0.3">
      <c r="Q218" s="194"/>
      <c r="R218" s="194"/>
      <c r="S218" s="194"/>
      <c r="T218" s="194"/>
      <c r="U218" s="194"/>
      <c r="V218" s="194"/>
      <c r="W218" s="194"/>
      <c r="X218" s="194"/>
      <c r="Y218" s="194"/>
      <c r="Z218" s="194"/>
      <c r="AA218" s="194"/>
      <c r="AB218" s="194"/>
      <c r="AC218" s="194"/>
      <c r="AD218" s="194"/>
    </row>
    <row r="219" spans="17:30" x14ac:dyDescent="0.3">
      <c r="Q219" s="194"/>
      <c r="R219" s="194"/>
      <c r="S219" s="194"/>
      <c r="T219" s="194"/>
      <c r="U219" s="194"/>
      <c r="V219" s="194"/>
      <c r="W219" s="194"/>
      <c r="X219" s="194"/>
      <c r="Y219" s="194"/>
      <c r="Z219" s="194"/>
      <c r="AA219" s="194"/>
      <c r="AB219" s="194"/>
      <c r="AC219" s="194"/>
      <c r="AD219" s="194"/>
    </row>
    <row r="220" spans="17:30" x14ac:dyDescent="0.3">
      <c r="Q220" s="194"/>
      <c r="R220" s="194"/>
      <c r="S220" s="194"/>
      <c r="T220" s="194"/>
      <c r="U220" s="194"/>
      <c r="V220" s="194"/>
      <c r="W220" s="194"/>
      <c r="X220" s="194"/>
      <c r="Y220" s="194"/>
      <c r="Z220" s="194"/>
      <c r="AA220" s="194"/>
      <c r="AB220" s="194"/>
      <c r="AC220" s="194"/>
      <c r="AD220" s="194"/>
    </row>
    <row r="221" spans="17:30" x14ac:dyDescent="0.3">
      <c r="Q221" s="194"/>
      <c r="R221" s="194"/>
      <c r="S221" s="194"/>
      <c r="T221" s="194"/>
      <c r="U221" s="194"/>
      <c r="V221" s="194"/>
      <c r="W221" s="194"/>
      <c r="X221" s="194"/>
      <c r="Y221" s="194"/>
      <c r="Z221" s="194"/>
      <c r="AA221" s="194"/>
      <c r="AB221" s="194"/>
      <c r="AC221" s="194"/>
      <c r="AD221" s="194"/>
    </row>
    <row r="222" spans="17:30" x14ac:dyDescent="0.3">
      <c r="Q222" s="194"/>
      <c r="R222" s="194"/>
      <c r="S222" s="194"/>
      <c r="T222" s="194"/>
      <c r="U222" s="194"/>
      <c r="V222" s="194"/>
      <c r="W222" s="194"/>
      <c r="X222" s="194"/>
      <c r="Y222" s="194"/>
      <c r="Z222" s="194"/>
      <c r="AA222" s="194"/>
      <c r="AB222" s="194"/>
      <c r="AC222" s="194"/>
      <c r="AD222" s="194"/>
    </row>
    <row r="223" spans="17:30" x14ac:dyDescent="0.3">
      <c r="Q223" s="194"/>
      <c r="R223" s="194"/>
      <c r="S223" s="194"/>
      <c r="T223" s="194"/>
      <c r="U223" s="194"/>
      <c r="V223" s="194"/>
      <c r="W223" s="194"/>
      <c r="X223" s="194"/>
      <c r="Y223" s="194"/>
      <c r="Z223" s="194"/>
      <c r="AA223" s="194"/>
      <c r="AB223" s="194"/>
      <c r="AC223" s="194"/>
      <c r="AD223" s="194"/>
    </row>
    <row r="224" spans="17:30" x14ac:dyDescent="0.3">
      <c r="Q224" s="194"/>
      <c r="R224" s="194"/>
      <c r="S224" s="194"/>
      <c r="T224" s="194"/>
      <c r="U224" s="194"/>
      <c r="V224" s="194"/>
      <c r="W224" s="194"/>
      <c r="X224" s="194"/>
      <c r="Y224" s="194"/>
      <c r="Z224" s="194"/>
      <c r="AA224" s="194"/>
      <c r="AB224" s="194"/>
      <c r="AC224" s="194"/>
      <c r="AD224" s="194"/>
    </row>
    <row r="225" spans="17:30" x14ac:dyDescent="0.3">
      <c r="Q225" s="194"/>
      <c r="R225" s="194"/>
      <c r="S225" s="194"/>
      <c r="T225" s="194"/>
      <c r="U225" s="194"/>
      <c r="V225" s="194"/>
      <c r="W225" s="194"/>
      <c r="X225" s="194"/>
      <c r="Y225" s="194"/>
      <c r="Z225" s="194"/>
      <c r="AA225" s="194"/>
      <c r="AB225" s="194"/>
      <c r="AC225" s="194"/>
      <c r="AD225" s="194"/>
    </row>
    <row r="226" spans="17:30" x14ac:dyDescent="0.3">
      <c r="Q226" s="194"/>
      <c r="R226" s="194"/>
      <c r="S226" s="194"/>
      <c r="T226" s="194"/>
      <c r="U226" s="194"/>
      <c r="V226" s="194"/>
      <c r="W226" s="194"/>
      <c r="X226" s="194"/>
      <c r="Y226" s="194"/>
      <c r="Z226" s="194"/>
      <c r="AA226" s="194"/>
      <c r="AB226" s="194"/>
      <c r="AC226" s="194"/>
      <c r="AD226" s="194"/>
    </row>
    <row r="227" spans="17:30" x14ac:dyDescent="0.3">
      <c r="Q227" s="194"/>
      <c r="R227" s="194"/>
      <c r="S227" s="194"/>
      <c r="T227" s="194"/>
      <c r="U227" s="194"/>
      <c r="V227" s="194"/>
      <c r="W227" s="194"/>
      <c r="X227" s="194"/>
      <c r="Y227" s="194"/>
      <c r="Z227" s="194"/>
      <c r="AA227" s="194"/>
      <c r="AB227" s="194"/>
      <c r="AC227" s="194"/>
      <c r="AD227" s="194"/>
    </row>
    <row r="228" spans="17:30" x14ac:dyDescent="0.3">
      <c r="Q228" s="194"/>
      <c r="R228" s="194"/>
      <c r="S228" s="194"/>
      <c r="T228" s="194"/>
      <c r="U228" s="194"/>
      <c r="V228" s="194"/>
      <c r="W228" s="194"/>
      <c r="X228" s="194"/>
      <c r="Y228" s="194"/>
      <c r="Z228" s="194"/>
      <c r="AA228" s="194"/>
      <c r="AB228" s="194"/>
      <c r="AC228" s="194"/>
      <c r="AD228" s="194"/>
    </row>
    <row r="229" spans="17:30" x14ac:dyDescent="0.3">
      <c r="Q229" s="194"/>
      <c r="R229" s="194"/>
      <c r="S229" s="194"/>
      <c r="T229" s="194"/>
      <c r="U229" s="194"/>
      <c r="V229" s="194"/>
      <c r="W229" s="194"/>
      <c r="X229" s="194"/>
      <c r="Y229" s="194"/>
      <c r="Z229" s="194"/>
      <c r="AA229" s="194"/>
      <c r="AB229" s="194"/>
      <c r="AC229" s="194"/>
      <c r="AD229" s="194"/>
    </row>
    <row r="230" spans="17:30" x14ac:dyDescent="0.3">
      <c r="Q230" s="194"/>
      <c r="R230" s="194"/>
      <c r="S230" s="194"/>
      <c r="T230" s="194"/>
      <c r="U230" s="194"/>
      <c r="V230" s="194"/>
      <c r="W230" s="194"/>
      <c r="X230" s="194"/>
      <c r="Y230" s="194"/>
      <c r="Z230" s="194"/>
      <c r="AA230" s="194"/>
      <c r="AB230" s="194"/>
      <c r="AC230" s="194"/>
      <c r="AD230" s="194"/>
    </row>
    <row r="231" spans="17:30" x14ac:dyDescent="0.3">
      <c r="Q231" s="194"/>
      <c r="R231" s="194"/>
      <c r="S231" s="194"/>
      <c r="T231" s="194"/>
      <c r="U231" s="194"/>
      <c r="V231" s="194"/>
      <c r="W231" s="194"/>
      <c r="X231" s="194"/>
      <c r="Y231" s="194"/>
      <c r="Z231" s="194"/>
      <c r="AA231" s="194"/>
      <c r="AB231" s="194"/>
      <c r="AC231" s="194"/>
      <c r="AD231" s="194"/>
    </row>
    <row r="232" spans="17:30" x14ac:dyDescent="0.3">
      <c r="Q232" s="194"/>
      <c r="R232" s="194"/>
      <c r="S232" s="194"/>
      <c r="T232" s="194"/>
      <c r="U232" s="194"/>
      <c r="V232" s="194"/>
      <c r="W232" s="194"/>
      <c r="X232" s="194"/>
      <c r="Y232" s="194"/>
      <c r="Z232" s="194"/>
      <c r="AA232" s="194"/>
      <c r="AB232" s="194"/>
      <c r="AC232" s="194"/>
      <c r="AD232" s="194"/>
    </row>
    <row r="233" spans="17:30" x14ac:dyDescent="0.3">
      <c r="Q233" s="194"/>
      <c r="R233" s="194"/>
      <c r="S233" s="194"/>
      <c r="T233" s="194"/>
      <c r="U233" s="194"/>
      <c r="V233" s="194"/>
      <c r="W233" s="194"/>
      <c r="X233" s="194"/>
      <c r="Y233" s="194"/>
      <c r="Z233" s="194"/>
      <c r="AA233" s="194"/>
      <c r="AB233" s="194"/>
      <c r="AC233" s="194"/>
      <c r="AD233" s="194"/>
    </row>
    <row r="234" spans="17:30" x14ac:dyDescent="0.3">
      <c r="Q234" s="194"/>
      <c r="R234" s="194"/>
      <c r="S234" s="194"/>
      <c r="T234" s="194"/>
      <c r="U234" s="194"/>
      <c r="V234" s="194"/>
      <c r="W234" s="194"/>
      <c r="X234" s="194"/>
      <c r="Y234" s="194"/>
      <c r="Z234" s="194"/>
      <c r="AA234" s="194"/>
      <c r="AB234" s="194"/>
      <c r="AC234" s="194"/>
      <c r="AD234" s="194"/>
    </row>
    <row r="235" spans="17:30" x14ac:dyDescent="0.3">
      <c r="Q235" s="194"/>
      <c r="R235" s="194"/>
      <c r="S235" s="194"/>
      <c r="T235" s="194"/>
      <c r="U235" s="194"/>
      <c r="V235" s="194"/>
      <c r="W235" s="194"/>
      <c r="X235" s="194"/>
      <c r="Y235" s="194"/>
      <c r="Z235" s="194"/>
      <c r="AA235" s="194"/>
      <c r="AB235" s="194"/>
      <c r="AC235" s="194"/>
      <c r="AD235" s="194"/>
    </row>
    <row r="236" spans="17:30" x14ac:dyDescent="0.3">
      <c r="Q236" s="194"/>
      <c r="R236" s="194"/>
      <c r="S236" s="194"/>
      <c r="T236" s="194"/>
      <c r="U236" s="194"/>
      <c r="V236" s="194"/>
      <c r="W236" s="194"/>
      <c r="X236" s="194"/>
      <c r="Y236" s="194"/>
      <c r="Z236" s="194"/>
      <c r="AA236" s="194"/>
      <c r="AB236" s="194"/>
      <c r="AC236" s="194"/>
      <c r="AD236" s="194"/>
    </row>
    <row r="237" spans="17:30" x14ac:dyDescent="0.3">
      <c r="Q237" s="194"/>
      <c r="R237" s="194"/>
      <c r="S237" s="194"/>
      <c r="T237" s="194"/>
      <c r="U237" s="194"/>
      <c r="V237" s="194"/>
      <c r="W237" s="194"/>
      <c r="X237" s="194"/>
      <c r="Y237" s="194"/>
      <c r="Z237" s="194"/>
      <c r="AA237" s="194"/>
      <c r="AB237" s="194"/>
      <c r="AC237" s="194"/>
      <c r="AD237" s="194"/>
    </row>
    <row r="238" spans="17:30" x14ac:dyDescent="0.3">
      <c r="Q238" s="194"/>
      <c r="R238" s="194"/>
      <c r="S238" s="194"/>
      <c r="T238" s="194"/>
      <c r="U238" s="194"/>
      <c r="V238" s="194"/>
      <c r="W238" s="194"/>
      <c r="X238" s="194"/>
      <c r="Y238" s="194"/>
      <c r="Z238" s="194"/>
      <c r="AA238" s="194"/>
      <c r="AB238" s="194"/>
      <c r="AC238" s="194"/>
      <c r="AD238" s="194"/>
    </row>
    <row r="239" spans="17:30" x14ac:dyDescent="0.3">
      <c r="Q239" s="194"/>
      <c r="R239" s="194"/>
      <c r="S239" s="194"/>
      <c r="T239" s="194"/>
      <c r="U239" s="194"/>
      <c r="V239" s="194"/>
      <c r="W239" s="194"/>
      <c r="X239" s="194"/>
      <c r="Y239" s="194"/>
      <c r="Z239" s="194"/>
      <c r="AA239" s="194"/>
      <c r="AB239" s="194"/>
      <c r="AC239" s="194"/>
      <c r="AD239" s="194"/>
    </row>
    <row r="240" spans="17:30" x14ac:dyDescent="0.3">
      <c r="Q240" s="194"/>
      <c r="R240" s="194"/>
      <c r="S240" s="194"/>
      <c r="T240" s="194"/>
      <c r="U240" s="194"/>
      <c r="V240" s="194"/>
      <c r="W240" s="194"/>
      <c r="X240" s="194"/>
      <c r="Y240" s="194"/>
      <c r="Z240" s="194"/>
      <c r="AA240" s="194"/>
      <c r="AB240" s="194"/>
      <c r="AC240" s="194"/>
      <c r="AD240" s="194"/>
    </row>
    <row r="241" spans="17:30" x14ac:dyDescent="0.3">
      <c r="Q241" s="194"/>
      <c r="R241" s="194"/>
      <c r="S241" s="194"/>
      <c r="T241" s="194"/>
      <c r="U241" s="194"/>
      <c r="V241" s="194"/>
      <c r="W241" s="194"/>
      <c r="X241" s="194"/>
      <c r="Y241" s="194"/>
      <c r="Z241" s="194"/>
      <c r="AA241" s="194"/>
      <c r="AB241" s="194"/>
      <c r="AC241" s="194"/>
      <c r="AD241" s="194"/>
    </row>
    <row r="242" spans="17:30" x14ac:dyDescent="0.3">
      <c r="Q242" s="194"/>
      <c r="R242" s="194"/>
      <c r="S242" s="194"/>
      <c r="T242" s="194"/>
      <c r="U242" s="194"/>
      <c r="V242" s="194"/>
      <c r="W242" s="194"/>
      <c r="X242" s="194"/>
      <c r="Y242" s="194"/>
      <c r="Z242" s="194"/>
      <c r="AA242" s="194"/>
      <c r="AB242" s="194"/>
      <c r="AC242" s="194"/>
      <c r="AD242" s="194"/>
    </row>
    <row r="243" spans="17:30" x14ac:dyDescent="0.3">
      <c r="Q243" s="194"/>
      <c r="R243" s="194"/>
      <c r="S243" s="194"/>
      <c r="T243" s="194"/>
      <c r="U243" s="194"/>
      <c r="V243" s="194"/>
      <c r="W243" s="194"/>
      <c r="X243" s="194"/>
      <c r="Y243" s="194"/>
      <c r="Z243" s="194"/>
      <c r="AA243" s="194"/>
      <c r="AB243" s="194"/>
      <c r="AC243" s="194"/>
      <c r="AD243" s="194"/>
    </row>
    <row r="244" spans="17:30" x14ac:dyDescent="0.3">
      <c r="Q244" s="194"/>
      <c r="R244" s="194"/>
      <c r="S244" s="194"/>
      <c r="T244" s="194"/>
      <c r="U244" s="194"/>
      <c r="V244" s="194"/>
      <c r="W244" s="194"/>
      <c r="X244" s="194"/>
      <c r="Y244" s="194"/>
      <c r="Z244" s="194"/>
      <c r="AA244" s="194"/>
      <c r="AB244" s="194"/>
      <c r="AC244" s="194"/>
      <c r="AD244" s="194"/>
    </row>
    <row r="245" spans="17:30" x14ac:dyDescent="0.3">
      <c r="Q245" s="194"/>
      <c r="R245" s="194"/>
      <c r="S245" s="194"/>
      <c r="T245" s="194"/>
      <c r="U245" s="194"/>
      <c r="V245" s="194"/>
      <c r="W245" s="194"/>
      <c r="X245" s="194"/>
      <c r="Y245" s="194"/>
      <c r="Z245" s="194"/>
      <c r="AA245" s="194"/>
      <c r="AB245" s="194"/>
      <c r="AC245" s="194"/>
      <c r="AD245" s="194"/>
    </row>
    <row r="246" spans="17:30" x14ac:dyDescent="0.3">
      <c r="Q246" s="194"/>
      <c r="R246" s="194"/>
      <c r="S246" s="194"/>
      <c r="T246" s="194"/>
      <c r="U246" s="194"/>
      <c r="V246" s="194"/>
      <c r="W246" s="194"/>
      <c r="X246" s="194"/>
      <c r="Y246" s="194"/>
      <c r="Z246" s="194"/>
      <c r="AA246" s="194"/>
      <c r="AB246" s="194"/>
      <c r="AC246" s="194"/>
      <c r="AD246" s="194"/>
    </row>
    <row r="247" spans="17:30" x14ac:dyDescent="0.3">
      <c r="Q247" s="194"/>
      <c r="R247" s="194"/>
      <c r="S247" s="194"/>
      <c r="T247" s="194"/>
      <c r="U247" s="194"/>
      <c r="V247" s="194"/>
      <c r="W247" s="194"/>
      <c r="X247" s="194"/>
      <c r="Y247" s="194"/>
      <c r="Z247" s="194"/>
      <c r="AA247" s="194"/>
      <c r="AB247" s="194"/>
      <c r="AC247" s="194"/>
      <c r="AD247" s="194"/>
    </row>
    <row r="248" spans="17:30" x14ac:dyDescent="0.3">
      <c r="Q248" s="194"/>
      <c r="R248" s="194"/>
      <c r="S248" s="194"/>
      <c r="T248" s="194"/>
      <c r="U248" s="194"/>
      <c r="V248" s="194"/>
      <c r="W248" s="194"/>
      <c r="X248" s="194"/>
      <c r="Y248" s="194"/>
      <c r="Z248" s="194"/>
      <c r="AA248" s="194"/>
      <c r="AB248" s="194"/>
      <c r="AC248" s="194"/>
      <c r="AD248" s="194"/>
    </row>
    <row r="249" spans="17:30" x14ac:dyDescent="0.3">
      <c r="Q249" s="194"/>
      <c r="R249" s="194"/>
      <c r="S249" s="194"/>
      <c r="T249" s="194"/>
      <c r="U249" s="194"/>
      <c r="V249" s="194"/>
      <c r="W249" s="194"/>
      <c r="X249" s="194"/>
      <c r="Y249" s="194"/>
      <c r="Z249" s="194"/>
      <c r="AA249" s="194"/>
      <c r="AB249" s="194"/>
      <c r="AC249" s="194"/>
      <c r="AD249" s="194"/>
    </row>
    <row r="250" spans="17:30" x14ac:dyDescent="0.3">
      <c r="Q250" s="194"/>
      <c r="R250" s="194"/>
      <c r="S250" s="194"/>
      <c r="T250" s="194"/>
      <c r="U250" s="194"/>
      <c r="V250" s="194"/>
      <c r="W250" s="194"/>
      <c r="X250" s="194"/>
      <c r="Y250" s="194"/>
      <c r="Z250" s="194"/>
      <c r="AA250" s="194"/>
      <c r="AB250" s="194"/>
      <c r="AC250" s="194"/>
      <c r="AD250" s="194"/>
    </row>
    <row r="251" spans="17:30" x14ac:dyDescent="0.3">
      <c r="Q251" s="194"/>
      <c r="R251" s="194"/>
      <c r="S251" s="194"/>
      <c r="T251" s="194"/>
      <c r="U251" s="194"/>
      <c r="V251" s="194"/>
      <c r="W251" s="194"/>
      <c r="X251" s="194"/>
      <c r="Y251" s="194"/>
      <c r="Z251" s="194"/>
      <c r="AA251" s="194"/>
      <c r="AB251" s="194"/>
      <c r="AC251" s="194"/>
      <c r="AD251" s="194"/>
    </row>
    <row r="252" spans="17:30" x14ac:dyDescent="0.3">
      <c r="Q252" s="194"/>
      <c r="R252" s="194"/>
      <c r="S252" s="194"/>
      <c r="T252" s="194"/>
      <c r="U252" s="194"/>
      <c r="V252" s="194"/>
      <c r="W252" s="194"/>
      <c r="X252" s="194"/>
      <c r="Y252" s="194"/>
      <c r="Z252" s="194"/>
      <c r="AA252" s="194"/>
      <c r="AB252" s="194"/>
      <c r="AC252" s="194"/>
      <c r="AD252" s="194"/>
    </row>
    <row r="253" spans="17:30" x14ac:dyDescent="0.3">
      <c r="Q253" s="194"/>
      <c r="R253" s="194"/>
      <c r="S253" s="194"/>
      <c r="T253" s="194"/>
      <c r="U253" s="194"/>
      <c r="V253" s="194"/>
      <c r="W253" s="194"/>
      <c r="X253" s="194"/>
      <c r="Y253" s="194"/>
      <c r="Z253" s="194"/>
      <c r="AA253" s="194"/>
      <c r="AB253" s="194"/>
      <c r="AC253" s="194"/>
      <c r="AD253" s="194"/>
    </row>
    <row r="254" spans="17:30" x14ac:dyDescent="0.3">
      <c r="Q254" s="194"/>
      <c r="R254" s="194"/>
      <c r="S254" s="194"/>
      <c r="T254" s="194"/>
      <c r="U254" s="194"/>
      <c r="V254" s="194"/>
      <c r="W254" s="194"/>
      <c r="X254" s="194"/>
      <c r="Y254" s="194"/>
      <c r="Z254" s="194"/>
      <c r="AA254" s="194"/>
      <c r="AB254" s="194"/>
      <c r="AC254" s="194"/>
      <c r="AD254" s="194"/>
    </row>
    <row r="255" spans="17:30" x14ac:dyDescent="0.3">
      <c r="Q255" s="194"/>
      <c r="R255" s="194"/>
      <c r="S255" s="194"/>
      <c r="T255" s="194"/>
      <c r="U255" s="194"/>
      <c r="V255" s="194"/>
      <c r="W255" s="194"/>
      <c r="X255" s="194"/>
      <c r="Y255" s="194"/>
      <c r="Z255" s="194"/>
      <c r="AA255" s="194"/>
      <c r="AB255" s="194"/>
      <c r="AC255" s="194"/>
      <c r="AD255" s="194"/>
    </row>
    <row r="256" spans="17:30" x14ac:dyDescent="0.3">
      <c r="Q256" s="194"/>
      <c r="R256" s="194"/>
      <c r="S256" s="194"/>
      <c r="T256" s="194"/>
      <c r="U256" s="194"/>
      <c r="V256" s="194"/>
      <c r="W256" s="194"/>
      <c r="X256" s="194"/>
      <c r="Y256" s="194"/>
      <c r="Z256" s="194"/>
      <c r="AA256" s="194"/>
      <c r="AB256" s="194"/>
      <c r="AC256" s="194"/>
      <c r="AD256" s="194"/>
    </row>
    <row r="257" spans="17:30" x14ac:dyDescent="0.3">
      <c r="Q257" s="194"/>
      <c r="R257" s="194"/>
      <c r="S257" s="194"/>
      <c r="T257" s="194"/>
      <c r="U257" s="194"/>
      <c r="V257" s="194"/>
      <c r="W257" s="194"/>
      <c r="X257" s="194"/>
      <c r="Y257" s="194"/>
      <c r="Z257" s="194"/>
      <c r="AA257" s="194"/>
      <c r="AB257" s="194"/>
      <c r="AC257" s="194"/>
      <c r="AD257" s="194"/>
    </row>
    <row r="258" spans="17:30" x14ac:dyDescent="0.3">
      <c r="Q258" s="194"/>
      <c r="R258" s="194"/>
      <c r="S258" s="194"/>
      <c r="T258" s="194"/>
      <c r="U258" s="194"/>
      <c r="V258" s="194"/>
      <c r="W258" s="194"/>
      <c r="X258" s="194"/>
      <c r="Y258" s="194"/>
      <c r="Z258" s="194"/>
      <c r="AA258" s="194"/>
      <c r="AB258" s="194"/>
      <c r="AC258" s="194"/>
      <c r="AD258" s="194"/>
    </row>
    <row r="259" spans="17:30" x14ac:dyDescent="0.3">
      <c r="Q259" s="194"/>
      <c r="R259" s="194"/>
      <c r="S259" s="194"/>
      <c r="T259" s="194"/>
      <c r="U259" s="194"/>
      <c r="V259" s="194"/>
      <c r="W259" s="194"/>
      <c r="X259" s="194"/>
      <c r="Y259" s="194"/>
      <c r="Z259" s="194"/>
      <c r="AA259" s="194"/>
      <c r="AB259" s="194"/>
      <c r="AC259" s="194"/>
      <c r="AD259" s="194"/>
    </row>
    <row r="260" spans="17:30" x14ac:dyDescent="0.3">
      <c r="Q260" s="194"/>
      <c r="R260" s="194"/>
      <c r="S260" s="194"/>
      <c r="T260" s="194"/>
      <c r="U260" s="194"/>
      <c r="V260" s="194"/>
      <c r="W260" s="194"/>
      <c r="X260" s="194"/>
      <c r="Y260" s="194"/>
      <c r="Z260" s="194"/>
      <c r="AA260" s="194"/>
      <c r="AB260" s="194"/>
      <c r="AC260" s="194"/>
      <c r="AD260" s="194"/>
    </row>
    <row r="261" spans="17:30" x14ac:dyDescent="0.3">
      <c r="Q261" s="194"/>
      <c r="R261" s="194"/>
      <c r="S261" s="194"/>
      <c r="T261" s="194"/>
      <c r="U261" s="194"/>
      <c r="V261" s="194"/>
      <c r="W261" s="194"/>
      <c r="X261" s="194"/>
      <c r="Y261" s="194"/>
      <c r="Z261" s="194"/>
      <c r="AA261" s="194"/>
      <c r="AB261" s="194"/>
      <c r="AC261" s="194"/>
      <c r="AD261" s="194"/>
    </row>
    <row r="262" spans="17:30" x14ac:dyDescent="0.3">
      <c r="Q262" s="194"/>
      <c r="R262" s="194"/>
      <c r="S262" s="194"/>
      <c r="T262" s="194"/>
      <c r="U262" s="194"/>
      <c r="V262" s="194"/>
      <c r="W262" s="194"/>
      <c r="X262" s="194"/>
      <c r="Y262" s="194"/>
      <c r="Z262" s="194"/>
      <c r="AA262" s="194"/>
      <c r="AB262" s="194"/>
      <c r="AC262" s="194"/>
      <c r="AD262" s="194"/>
    </row>
    <row r="263" spans="17:30" x14ac:dyDescent="0.3">
      <c r="Q263" s="194"/>
      <c r="R263" s="194"/>
      <c r="S263" s="194"/>
      <c r="T263" s="194"/>
      <c r="U263" s="194"/>
      <c r="V263" s="194"/>
      <c r="W263" s="194"/>
      <c r="X263" s="194"/>
      <c r="Y263" s="194"/>
      <c r="Z263" s="194"/>
      <c r="AA263" s="194"/>
      <c r="AB263" s="194"/>
      <c r="AC263" s="194"/>
      <c r="AD263" s="194"/>
    </row>
    <row r="264" spans="17:30" x14ac:dyDescent="0.3">
      <c r="Q264" s="194"/>
      <c r="R264" s="194"/>
      <c r="S264" s="194"/>
      <c r="T264" s="194"/>
      <c r="U264" s="194"/>
      <c r="V264" s="194"/>
      <c r="W264" s="194"/>
      <c r="X264" s="194"/>
      <c r="Y264" s="194"/>
      <c r="Z264" s="194"/>
      <c r="AA264" s="194"/>
      <c r="AB264" s="194"/>
      <c r="AC264" s="194"/>
      <c r="AD264" s="194"/>
    </row>
    <row r="265" spans="17:30" x14ac:dyDescent="0.3">
      <c r="Q265" s="194"/>
      <c r="R265" s="194"/>
      <c r="S265" s="194"/>
      <c r="T265" s="194"/>
      <c r="U265" s="194"/>
      <c r="V265" s="194"/>
      <c r="W265" s="194"/>
      <c r="X265" s="194"/>
      <c r="Y265" s="194"/>
      <c r="Z265" s="194"/>
      <c r="AA265" s="194"/>
      <c r="AB265" s="194"/>
      <c r="AC265" s="194"/>
      <c r="AD265" s="194"/>
    </row>
    <row r="266" spans="17:30" x14ac:dyDescent="0.3">
      <c r="Q266" s="194"/>
      <c r="R266" s="194"/>
      <c r="S266" s="194"/>
      <c r="T266" s="194"/>
      <c r="U266" s="194"/>
      <c r="V266" s="194"/>
      <c r="W266" s="194"/>
      <c r="X266" s="194"/>
      <c r="Y266" s="194"/>
      <c r="Z266" s="194"/>
      <c r="AA266" s="194"/>
      <c r="AB266" s="194"/>
      <c r="AC266" s="194"/>
      <c r="AD266" s="194"/>
    </row>
    <row r="267" spans="17:30" x14ac:dyDescent="0.3">
      <c r="Q267" s="194"/>
      <c r="R267" s="194"/>
      <c r="S267" s="194"/>
      <c r="T267" s="194"/>
      <c r="U267" s="194"/>
      <c r="V267" s="194"/>
      <c r="W267" s="194"/>
      <c r="X267" s="194"/>
      <c r="Y267" s="194"/>
      <c r="Z267" s="194"/>
      <c r="AA267" s="194"/>
      <c r="AB267" s="194"/>
      <c r="AC267" s="194"/>
      <c r="AD267" s="194"/>
    </row>
    <row r="268" spans="17:30" x14ac:dyDescent="0.3">
      <c r="Q268" s="194"/>
      <c r="R268" s="194"/>
      <c r="S268" s="194"/>
      <c r="T268" s="194"/>
      <c r="U268" s="194"/>
      <c r="V268" s="194"/>
      <c r="W268" s="194"/>
      <c r="X268" s="194"/>
      <c r="Y268" s="194"/>
      <c r="Z268" s="194"/>
      <c r="AA268" s="194"/>
      <c r="AB268" s="194"/>
      <c r="AC268" s="194"/>
      <c r="AD268" s="194"/>
    </row>
    <row r="269" spans="17:30" x14ac:dyDescent="0.3">
      <c r="Q269" s="194"/>
      <c r="R269" s="194"/>
      <c r="S269" s="194"/>
      <c r="T269" s="194"/>
      <c r="U269" s="194"/>
      <c r="V269" s="194"/>
      <c r="W269" s="194"/>
      <c r="X269" s="194"/>
      <c r="Y269" s="194"/>
      <c r="Z269" s="194"/>
      <c r="AA269" s="194"/>
      <c r="AB269" s="194"/>
      <c r="AC269" s="194"/>
      <c r="AD269" s="194"/>
    </row>
    <row r="270" spans="17:30" x14ac:dyDescent="0.3">
      <c r="Q270" s="194"/>
      <c r="R270" s="194"/>
      <c r="S270" s="194"/>
      <c r="T270" s="194"/>
      <c r="U270" s="194"/>
      <c r="V270" s="194"/>
      <c r="W270" s="194"/>
      <c r="X270" s="194"/>
      <c r="Y270" s="194"/>
      <c r="Z270" s="194"/>
      <c r="AA270" s="194"/>
      <c r="AB270" s="194"/>
      <c r="AC270" s="194"/>
      <c r="AD270" s="194"/>
    </row>
    <row r="271" spans="17:30" x14ac:dyDescent="0.3">
      <c r="Q271" s="194"/>
      <c r="R271" s="194"/>
      <c r="S271" s="194"/>
      <c r="T271" s="194"/>
      <c r="U271" s="194"/>
      <c r="V271" s="194"/>
      <c r="W271" s="194"/>
      <c r="X271" s="194"/>
      <c r="Y271" s="194"/>
      <c r="Z271" s="194"/>
      <c r="AA271" s="194"/>
      <c r="AB271" s="194"/>
      <c r="AC271" s="194"/>
      <c r="AD271" s="194"/>
    </row>
    <row r="272" spans="17:30" x14ac:dyDescent="0.3">
      <c r="Q272" s="194"/>
      <c r="R272" s="194"/>
      <c r="S272" s="194"/>
      <c r="T272" s="194"/>
      <c r="U272" s="194"/>
      <c r="V272" s="194"/>
      <c r="W272" s="194"/>
      <c r="X272" s="194"/>
      <c r="Y272" s="194"/>
      <c r="Z272" s="194"/>
      <c r="AA272" s="194"/>
      <c r="AB272" s="194"/>
      <c r="AC272" s="194"/>
      <c r="AD272" s="194"/>
    </row>
    <row r="273" spans="17:30" x14ac:dyDescent="0.3">
      <c r="Q273" s="194"/>
      <c r="R273" s="194"/>
      <c r="S273" s="194"/>
      <c r="T273" s="194"/>
      <c r="U273" s="194"/>
      <c r="V273" s="194"/>
      <c r="W273" s="194"/>
      <c r="X273" s="194"/>
      <c r="Y273" s="194"/>
      <c r="Z273" s="194"/>
      <c r="AA273" s="194"/>
      <c r="AB273" s="194"/>
      <c r="AC273" s="194"/>
      <c r="AD273" s="194"/>
    </row>
    <row r="274" spans="17:30" x14ac:dyDescent="0.3">
      <c r="Q274" s="194"/>
      <c r="R274" s="194"/>
      <c r="S274" s="194"/>
      <c r="T274" s="194"/>
      <c r="U274" s="194"/>
      <c r="V274" s="194"/>
      <c r="W274" s="194"/>
      <c r="X274" s="194"/>
      <c r="Y274" s="194"/>
      <c r="Z274" s="194"/>
      <c r="AA274" s="194"/>
      <c r="AB274" s="194"/>
      <c r="AC274" s="194"/>
      <c r="AD274" s="194"/>
    </row>
    <row r="275" spans="17:30" x14ac:dyDescent="0.3">
      <c r="Q275" s="194"/>
      <c r="R275" s="194"/>
      <c r="S275" s="194"/>
      <c r="T275" s="194"/>
      <c r="U275" s="194"/>
      <c r="V275" s="194"/>
      <c r="W275" s="194"/>
      <c r="X275" s="194"/>
      <c r="Y275" s="194"/>
      <c r="Z275" s="194"/>
      <c r="AA275" s="194"/>
      <c r="AB275" s="194"/>
      <c r="AC275" s="194"/>
      <c r="AD275" s="194"/>
    </row>
    <row r="276" spans="17:30" x14ac:dyDescent="0.3">
      <c r="Q276" s="194"/>
      <c r="R276" s="194"/>
      <c r="S276" s="194"/>
      <c r="T276" s="194"/>
      <c r="U276" s="194"/>
      <c r="V276" s="194"/>
      <c r="W276" s="194"/>
      <c r="X276" s="194"/>
      <c r="Y276" s="194"/>
      <c r="Z276" s="194"/>
      <c r="AA276" s="194"/>
      <c r="AB276" s="194"/>
      <c r="AC276" s="194"/>
      <c r="AD276" s="194"/>
    </row>
    <row r="277" spans="17:30" x14ac:dyDescent="0.3">
      <c r="Q277" s="194"/>
      <c r="R277" s="194"/>
      <c r="S277" s="194"/>
      <c r="T277" s="194"/>
      <c r="U277" s="194"/>
      <c r="V277" s="194"/>
      <c r="W277" s="194"/>
      <c r="X277" s="194"/>
      <c r="Y277" s="194"/>
      <c r="Z277" s="194"/>
      <c r="AA277" s="194"/>
      <c r="AB277" s="194"/>
      <c r="AC277" s="194"/>
      <c r="AD277" s="194"/>
    </row>
    <row r="278" spans="17:30" x14ac:dyDescent="0.3">
      <c r="Q278" s="194"/>
      <c r="R278" s="194"/>
      <c r="S278" s="194"/>
      <c r="T278" s="194"/>
      <c r="U278" s="194"/>
      <c r="V278" s="194"/>
      <c r="W278" s="194"/>
      <c r="X278" s="194"/>
      <c r="Y278" s="194"/>
      <c r="Z278" s="194"/>
      <c r="AA278" s="194"/>
      <c r="AB278" s="194"/>
      <c r="AC278" s="194"/>
      <c r="AD278" s="194"/>
    </row>
    <row r="279" spans="17:30" x14ac:dyDescent="0.3">
      <c r="Q279" s="194"/>
      <c r="R279" s="194"/>
      <c r="S279" s="194"/>
      <c r="T279" s="194"/>
      <c r="U279" s="194"/>
      <c r="V279" s="194"/>
      <c r="W279" s="194"/>
      <c r="X279" s="194"/>
      <c r="Y279" s="194"/>
      <c r="Z279" s="194"/>
      <c r="AA279" s="194"/>
      <c r="AB279" s="194"/>
      <c r="AC279" s="194"/>
      <c r="AD279" s="194"/>
    </row>
    <row r="280" spans="17:30" x14ac:dyDescent="0.3">
      <c r="Q280" s="194"/>
      <c r="R280" s="194"/>
      <c r="S280" s="194"/>
      <c r="T280" s="194"/>
      <c r="U280" s="194"/>
      <c r="V280" s="194"/>
      <c r="W280" s="194"/>
      <c r="X280" s="194"/>
      <c r="Y280" s="194"/>
      <c r="Z280" s="194"/>
      <c r="AA280" s="194"/>
      <c r="AB280" s="194"/>
      <c r="AC280" s="194"/>
      <c r="AD280" s="194"/>
    </row>
    <row r="281" spans="17:30" x14ac:dyDescent="0.3">
      <c r="Q281" s="194"/>
      <c r="R281" s="194"/>
      <c r="S281" s="194"/>
      <c r="T281" s="194"/>
      <c r="U281" s="194"/>
      <c r="V281" s="194"/>
      <c r="W281" s="194"/>
      <c r="X281" s="194"/>
      <c r="Y281" s="194"/>
      <c r="Z281" s="194"/>
      <c r="AA281" s="194"/>
      <c r="AB281" s="194"/>
      <c r="AC281" s="194"/>
      <c r="AD281" s="194"/>
    </row>
    <row r="282" spans="17:30" x14ac:dyDescent="0.3">
      <c r="Q282" s="194"/>
      <c r="R282" s="194"/>
      <c r="S282" s="194"/>
      <c r="T282" s="194"/>
      <c r="U282" s="194"/>
      <c r="V282" s="194"/>
      <c r="W282" s="194"/>
      <c r="X282" s="194"/>
      <c r="Y282" s="194"/>
      <c r="Z282" s="194"/>
      <c r="AA282" s="194"/>
      <c r="AB282" s="194"/>
      <c r="AC282" s="194"/>
      <c r="AD282" s="194"/>
    </row>
    <row r="283" spans="17:30" x14ac:dyDescent="0.3">
      <c r="Q283" s="194"/>
      <c r="R283" s="194"/>
      <c r="S283" s="194"/>
      <c r="T283" s="194"/>
      <c r="U283" s="194"/>
      <c r="V283" s="194"/>
      <c r="W283" s="194"/>
      <c r="X283" s="194"/>
      <c r="Y283" s="194"/>
      <c r="Z283" s="194"/>
      <c r="AA283" s="194"/>
      <c r="AB283" s="194"/>
      <c r="AC283" s="194"/>
      <c r="AD283" s="194"/>
    </row>
    <row r="284" spans="17:30" x14ac:dyDescent="0.3">
      <c r="Q284" s="194"/>
      <c r="R284" s="194"/>
      <c r="S284" s="194"/>
      <c r="T284" s="194"/>
      <c r="U284" s="194"/>
      <c r="V284" s="194"/>
      <c r="W284" s="194"/>
      <c r="X284" s="194"/>
      <c r="Y284" s="194"/>
      <c r="Z284" s="194"/>
      <c r="AA284" s="194"/>
      <c r="AB284" s="194"/>
      <c r="AC284" s="194"/>
      <c r="AD284" s="194"/>
    </row>
    <row r="285" spans="17:30" x14ac:dyDescent="0.3">
      <c r="Q285" s="194"/>
      <c r="R285" s="194"/>
      <c r="S285" s="194"/>
      <c r="T285" s="194"/>
      <c r="U285" s="194"/>
      <c r="V285" s="194"/>
      <c r="W285" s="194"/>
      <c r="X285" s="194"/>
      <c r="Y285" s="194"/>
      <c r="Z285" s="194"/>
      <c r="AA285" s="194"/>
      <c r="AB285" s="194"/>
      <c r="AC285" s="194"/>
      <c r="AD285" s="194"/>
    </row>
    <row r="286" spans="17:30" x14ac:dyDescent="0.3">
      <c r="Q286" s="194"/>
      <c r="R286" s="194"/>
      <c r="S286" s="194"/>
      <c r="T286" s="194"/>
      <c r="U286" s="194"/>
      <c r="V286" s="194"/>
      <c r="W286" s="194"/>
      <c r="X286" s="194"/>
      <c r="Y286" s="194"/>
      <c r="Z286" s="194"/>
      <c r="AA286" s="194"/>
      <c r="AB286" s="194"/>
      <c r="AC286" s="194"/>
      <c r="AD286" s="194"/>
    </row>
    <row r="287" spans="17:30" x14ac:dyDescent="0.3">
      <c r="Q287" s="194"/>
      <c r="R287" s="194"/>
      <c r="S287" s="194"/>
      <c r="T287" s="194"/>
      <c r="U287" s="194"/>
      <c r="V287" s="194"/>
      <c r="W287" s="194"/>
      <c r="X287" s="194"/>
      <c r="Y287" s="194"/>
      <c r="Z287" s="194"/>
      <c r="AA287" s="194"/>
      <c r="AB287" s="194"/>
      <c r="AC287" s="194"/>
      <c r="AD287" s="194"/>
    </row>
    <row r="288" spans="17:30" x14ac:dyDescent="0.3">
      <c r="Q288" s="194"/>
      <c r="R288" s="194"/>
      <c r="S288" s="194"/>
      <c r="T288" s="194"/>
      <c r="U288" s="194"/>
      <c r="V288" s="194"/>
      <c r="W288" s="194"/>
      <c r="X288" s="194"/>
      <c r="Y288" s="194"/>
      <c r="Z288" s="194"/>
      <c r="AA288" s="194"/>
      <c r="AB288" s="194"/>
      <c r="AC288" s="194"/>
      <c r="AD288" s="194"/>
    </row>
    <row r="289" spans="17:30" x14ac:dyDescent="0.3">
      <c r="Q289" s="194"/>
      <c r="R289" s="194"/>
      <c r="S289" s="194"/>
      <c r="T289" s="194"/>
      <c r="U289" s="194"/>
      <c r="V289" s="194"/>
      <c r="W289" s="194"/>
      <c r="X289" s="194"/>
      <c r="Y289" s="194"/>
      <c r="Z289" s="194"/>
      <c r="AA289" s="194"/>
      <c r="AB289" s="194"/>
      <c r="AC289" s="194"/>
      <c r="AD289" s="194"/>
    </row>
    <row r="290" spans="17:30" x14ac:dyDescent="0.3">
      <c r="Q290" s="194"/>
      <c r="R290" s="194"/>
      <c r="S290" s="194"/>
      <c r="T290" s="194"/>
      <c r="U290" s="194"/>
      <c r="V290" s="194"/>
      <c r="W290" s="194"/>
      <c r="X290" s="194"/>
      <c r="Y290" s="194"/>
      <c r="Z290" s="194"/>
      <c r="AA290" s="194"/>
      <c r="AB290" s="194"/>
      <c r="AC290" s="194"/>
      <c r="AD290" s="194"/>
    </row>
    <row r="291" spans="17:30" x14ac:dyDescent="0.3">
      <c r="Q291" s="194"/>
      <c r="R291" s="194"/>
      <c r="S291" s="194"/>
      <c r="T291" s="194"/>
      <c r="U291" s="194"/>
      <c r="V291" s="194"/>
      <c r="W291" s="194"/>
      <c r="X291" s="194"/>
      <c r="Y291" s="194"/>
      <c r="Z291" s="194"/>
      <c r="AA291" s="194"/>
      <c r="AB291" s="194"/>
      <c r="AC291" s="194"/>
      <c r="AD291" s="194"/>
    </row>
    <row r="292" spans="17:30" x14ac:dyDescent="0.3">
      <c r="Q292" s="194"/>
      <c r="R292" s="194"/>
      <c r="S292" s="194"/>
      <c r="T292" s="194"/>
      <c r="U292" s="194"/>
      <c r="V292" s="194"/>
      <c r="W292" s="194"/>
      <c r="X292" s="194"/>
      <c r="Y292" s="194"/>
      <c r="Z292" s="194"/>
      <c r="AA292" s="194"/>
      <c r="AB292" s="194"/>
      <c r="AC292" s="194"/>
      <c r="AD292" s="194"/>
    </row>
    <row r="293" spans="17:30" x14ac:dyDescent="0.3">
      <c r="Q293" s="194"/>
      <c r="R293" s="194"/>
      <c r="S293" s="194"/>
      <c r="T293" s="194"/>
      <c r="U293" s="194"/>
      <c r="V293" s="194"/>
      <c r="W293" s="194"/>
      <c r="X293" s="194"/>
      <c r="Y293" s="194"/>
      <c r="Z293" s="194"/>
      <c r="AA293" s="194"/>
      <c r="AB293" s="194"/>
      <c r="AC293" s="194"/>
      <c r="AD293" s="194"/>
    </row>
    <row r="294" spans="17:30" x14ac:dyDescent="0.3">
      <c r="Q294" s="194"/>
      <c r="R294" s="194"/>
      <c r="S294" s="194"/>
      <c r="T294" s="194"/>
      <c r="U294" s="194"/>
      <c r="V294" s="194"/>
      <c r="W294" s="194"/>
      <c r="X294" s="194"/>
      <c r="Y294" s="194"/>
      <c r="Z294" s="194"/>
      <c r="AA294" s="194"/>
      <c r="AB294" s="194"/>
      <c r="AC294" s="194"/>
      <c r="AD294" s="194"/>
    </row>
    <row r="295" spans="17:30" x14ac:dyDescent="0.3">
      <c r="Q295" s="194"/>
      <c r="R295" s="194"/>
      <c r="S295" s="194"/>
      <c r="T295" s="194"/>
      <c r="U295" s="194"/>
      <c r="V295" s="194"/>
      <c r="W295" s="194"/>
      <c r="X295" s="194"/>
      <c r="Y295" s="194"/>
      <c r="Z295" s="194"/>
      <c r="AA295" s="194"/>
      <c r="AB295" s="194"/>
      <c r="AC295" s="194"/>
      <c r="AD295" s="194"/>
    </row>
    <row r="296" spans="17:30" x14ac:dyDescent="0.3">
      <c r="Q296" s="194"/>
      <c r="R296" s="194"/>
      <c r="S296" s="194"/>
      <c r="T296" s="194"/>
      <c r="U296" s="194"/>
      <c r="V296" s="194"/>
      <c r="W296" s="194"/>
      <c r="X296" s="194"/>
      <c r="Y296" s="194"/>
      <c r="Z296" s="194"/>
      <c r="AA296" s="194"/>
      <c r="AB296" s="194"/>
      <c r="AC296" s="194"/>
      <c r="AD296" s="194"/>
    </row>
    <row r="297" spans="17:30" x14ac:dyDescent="0.3">
      <c r="Q297" s="194"/>
      <c r="R297" s="194"/>
      <c r="S297" s="194"/>
      <c r="T297" s="194"/>
      <c r="U297" s="194"/>
      <c r="V297" s="194"/>
      <c r="W297" s="194"/>
      <c r="X297" s="194"/>
      <c r="Y297" s="194"/>
      <c r="Z297" s="194"/>
      <c r="AA297" s="194"/>
      <c r="AB297" s="194"/>
      <c r="AC297" s="194"/>
      <c r="AD297" s="194"/>
    </row>
    <row r="298" spans="17:30" x14ac:dyDescent="0.3">
      <c r="Q298" s="194"/>
      <c r="R298" s="194"/>
      <c r="S298" s="194"/>
      <c r="T298" s="194"/>
      <c r="U298" s="194"/>
      <c r="V298" s="194"/>
      <c r="W298" s="194"/>
      <c r="X298" s="194"/>
      <c r="Y298" s="194"/>
      <c r="Z298" s="194"/>
      <c r="AA298" s="194"/>
      <c r="AB298" s="194"/>
      <c r="AC298" s="194"/>
      <c r="AD298" s="194"/>
    </row>
    <row r="299" spans="17:30" x14ac:dyDescent="0.3">
      <c r="Q299" s="194"/>
      <c r="R299" s="194"/>
      <c r="S299" s="194"/>
      <c r="T299" s="194"/>
      <c r="U299" s="194"/>
      <c r="V299" s="194"/>
      <c r="W299" s="194"/>
      <c r="X299" s="194"/>
      <c r="Y299" s="194"/>
      <c r="Z299" s="194"/>
      <c r="AA299" s="194"/>
      <c r="AB299" s="194"/>
      <c r="AC299" s="194"/>
      <c r="AD299" s="194"/>
    </row>
    <row r="300" spans="17:30" x14ac:dyDescent="0.3">
      <c r="Q300" s="194"/>
      <c r="R300" s="194"/>
      <c r="S300" s="194"/>
      <c r="T300" s="194"/>
      <c r="U300" s="194"/>
      <c r="V300" s="194"/>
      <c r="W300" s="194"/>
      <c r="X300" s="194"/>
      <c r="Y300" s="194"/>
      <c r="Z300" s="194"/>
      <c r="AA300" s="194"/>
      <c r="AB300" s="194"/>
      <c r="AC300" s="194"/>
      <c r="AD300" s="194"/>
    </row>
    <row r="301" spans="17:30" x14ac:dyDescent="0.3">
      <c r="Q301" s="194"/>
      <c r="R301" s="194"/>
      <c r="S301" s="194"/>
      <c r="T301" s="194"/>
      <c r="U301" s="194"/>
      <c r="V301" s="194"/>
      <c r="W301" s="194"/>
      <c r="X301" s="194"/>
      <c r="Y301" s="194"/>
      <c r="Z301" s="194"/>
      <c r="AA301" s="194"/>
      <c r="AB301" s="194"/>
      <c r="AC301" s="194"/>
      <c r="AD301" s="194"/>
    </row>
    <row r="302" spans="17:30" x14ac:dyDescent="0.3">
      <c r="Q302" s="194"/>
      <c r="R302" s="194"/>
      <c r="S302" s="194"/>
      <c r="T302" s="194"/>
      <c r="U302" s="194"/>
      <c r="V302" s="194"/>
      <c r="W302" s="194"/>
      <c r="X302" s="194"/>
      <c r="Y302" s="194"/>
      <c r="Z302" s="194"/>
      <c r="AA302" s="194"/>
      <c r="AB302" s="194"/>
      <c r="AC302" s="194"/>
      <c r="AD302" s="194"/>
    </row>
    <row r="303" spans="17:30" x14ac:dyDescent="0.3">
      <c r="Q303" s="194"/>
      <c r="R303" s="194"/>
      <c r="S303" s="194"/>
      <c r="T303" s="194"/>
      <c r="U303" s="194"/>
      <c r="V303" s="194"/>
      <c r="W303" s="194"/>
      <c r="X303" s="194"/>
      <c r="Y303" s="194"/>
      <c r="Z303" s="194"/>
      <c r="AA303" s="194"/>
      <c r="AB303" s="194"/>
      <c r="AC303" s="194"/>
      <c r="AD303" s="194"/>
    </row>
  </sheetData>
  <mergeCells count="99">
    <mergeCell ref="A67:A68"/>
    <mergeCell ref="B67:B68"/>
    <mergeCell ref="A59:A60"/>
    <mergeCell ref="B59:B60"/>
    <mergeCell ref="A69:A70"/>
    <mergeCell ref="B69:B70"/>
    <mergeCell ref="A61:A62"/>
    <mergeCell ref="B61:B62"/>
    <mergeCell ref="A63:A64"/>
    <mergeCell ref="B63:B64"/>
    <mergeCell ref="A65:A66"/>
    <mergeCell ref="B65:B66"/>
    <mergeCell ref="A55:A56"/>
    <mergeCell ref="B55:B56"/>
    <mergeCell ref="C55:P55"/>
    <mergeCell ref="A57:A58"/>
    <mergeCell ref="B57:B58"/>
    <mergeCell ref="Q44:AD45"/>
    <mergeCell ref="A40:A41"/>
    <mergeCell ref="Q40:AD41"/>
    <mergeCell ref="A42:A43"/>
    <mergeCell ref="Q42:AD43"/>
    <mergeCell ref="B40:B41"/>
    <mergeCell ref="B42:B43"/>
    <mergeCell ref="B44:B45"/>
    <mergeCell ref="A44:A45"/>
    <mergeCell ref="A38:A39"/>
    <mergeCell ref="Q38:AD39"/>
    <mergeCell ref="B38:B39"/>
    <mergeCell ref="W33:Z33"/>
    <mergeCell ref="AA33:AD33"/>
    <mergeCell ref="A34:A35"/>
    <mergeCell ref="B34:B35"/>
    <mergeCell ref="Q34:S35"/>
    <mergeCell ref="T34:V35"/>
    <mergeCell ref="W34:Z35"/>
    <mergeCell ref="AA34:AD35"/>
    <mergeCell ref="A36:A37"/>
    <mergeCell ref="B36:B37"/>
    <mergeCell ref="C36:P36"/>
    <mergeCell ref="Q36:AD36"/>
    <mergeCell ref="Q37:AD37"/>
    <mergeCell ref="B30:C30"/>
    <mergeCell ref="Q30:AD30"/>
    <mergeCell ref="A31:AD31"/>
    <mergeCell ref="A32:A33"/>
    <mergeCell ref="B32:B33"/>
    <mergeCell ref="C32:C33"/>
    <mergeCell ref="D32:P32"/>
    <mergeCell ref="Q32:AD32"/>
    <mergeCell ref="Q33:S33"/>
    <mergeCell ref="T33:V33"/>
    <mergeCell ref="A28:A29"/>
    <mergeCell ref="B28:C29"/>
    <mergeCell ref="D28:O28"/>
    <mergeCell ref="P28:P29"/>
    <mergeCell ref="Q28:AD29"/>
    <mergeCell ref="Q20:AD20"/>
    <mergeCell ref="A22:B22"/>
    <mergeCell ref="A23:B23"/>
    <mergeCell ref="A25:B25"/>
    <mergeCell ref="A27:AD27"/>
    <mergeCell ref="A24:B24"/>
    <mergeCell ref="AC17:AD17"/>
    <mergeCell ref="A15:B15"/>
    <mergeCell ref="C15:K15"/>
    <mergeCell ref="L15:Q15"/>
    <mergeCell ref="R15:X15"/>
    <mergeCell ref="Y15:Z15"/>
    <mergeCell ref="C16:AB16"/>
    <mergeCell ref="A17:B17"/>
    <mergeCell ref="C17:Q17"/>
    <mergeCell ref="R17:V17"/>
    <mergeCell ref="W17:X17"/>
    <mergeCell ref="Y17:AB17"/>
    <mergeCell ref="A19:AD19"/>
    <mergeCell ref="C20:P20"/>
    <mergeCell ref="I7:J9"/>
    <mergeCell ref="K7:L9"/>
    <mergeCell ref="M7:N7"/>
    <mergeCell ref="O7:P7"/>
    <mergeCell ref="A11:B13"/>
    <mergeCell ref="C11:AD13"/>
    <mergeCell ref="A7:B9"/>
    <mergeCell ref="C7:C9"/>
    <mergeCell ref="D7:H9"/>
    <mergeCell ref="M8:N8"/>
    <mergeCell ref="O8:P8"/>
    <mergeCell ref="M9:N9"/>
    <mergeCell ref="O9:P9"/>
    <mergeCell ref="AA15:AD15"/>
    <mergeCell ref="A1:A4"/>
    <mergeCell ref="B1:AA1"/>
    <mergeCell ref="AB1:AD1"/>
    <mergeCell ref="B2:AA2"/>
    <mergeCell ref="AB2:AD2"/>
    <mergeCell ref="B3:AA4"/>
    <mergeCell ref="AB3:AD3"/>
    <mergeCell ref="AB4:AD4"/>
  </mergeCells>
  <phoneticPr fontId="66" type="noConversion"/>
  <dataValidations count="3">
    <dataValidation type="textLength" operator="lessThanOrEqual" allowBlank="1" showInputMessage="1" showErrorMessage="1" errorTitle="Máximo 2.000 caracteres" error="Máximo 2.000 caracteres" sqref="Q38:AD45" xr:uid="{00000000-0002-0000-0300-000000000000}">
      <formula1>2000</formula1>
    </dataValidation>
    <dataValidation type="textLength" operator="lessThanOrEqual" allowBlank="1" showInputMessage="1" showErrorMessage="1" errorTitle="Máximo 2.000 caracteres" error="Máximo 2.000 caracteres" promptTitle="2.000 caracteres" sqref="Q30:AD30" xr:uid="{00000000-0002-0000-0300-000001000000}">
      <formula1>2000</formula1>
    </dataValidation>
    <dataValidation type="list" allowBlank="1" showInputMessage="1" showErrorMessage="1" sqref="C7:C9" xr:uid="{00000000-0002-0000-0300-000002000000}">
      <formula1>$C$21:$N$21</formula1>
    </dataValidation>
  </dataValidations>
  <printOptions horizontalCentered="1"/>
  <pageMargins left="0.39370078740157483" right="0.39370078740157483" top="0.39370078740157483" bottom="0.39370078740157483" header="0" footer="0"/>
  <pageSetup paperSize="9" scale="22" orientation="landscape" r:id="rId1"/>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7" tint="0.39997558519241921"/>
    <pageSetUpPr fitToPage="1"/>
  </sheetPr>
  <dimension ref="A1:AO303"/>
  <sheetViews>
    <sheetView showGridLines="0" view="pageBreakPreview" topLeftCell="P25" zoomScale="75" zoomScaleNormal="60" zoomScaleSheetLayoutView="75" workbookViewId="0">
      <selection activeCell="Z25" sqref="Z25"/>
    </sheetView>
  </sheetViews>
  <sheetFormatPr baseColWidth="10" defaultColWidth="10.6640625" defaultRowHeight="14.4" x14ac:dyDescent="0.3"/>
  <cols>
    <col min="1" max="1" width="38.44140625" style="50" customWidth="1"/>
    <col min="2" max="2" width="15.44140625" style="50" customWidth="1"/>
    <col min="3" max="14" width="20.6640625" style="50" customWidth="1"/>
    <col min="15" max="15" width="16.109375" style="50" customWidth="1"/>
    <col min="16" max="16" width="18.109375" style="50" customWidth="1"/>
    <col min="17" max="17" width="19.88671875" style="50" customWidth="1"/>
    <col min="18" max="18" width="21" style="50" customWidth="1"/>
    <col min="19" max="27" width="18.109375" style="50" customWidth="1"/>
    <col min="28" max="28" width="22.6640625" style="50" customWidth="1"/>
    <col min="29" max="29" width="19" style="50" customWidth="1"/>
    <col min="30" max="30" width="19.44140625" style="50" customWidth="1"/>
    <col min="31" max="31" width="6.33203125" style="50" bestFit="1" customWidth="1"/>
    <col min="32" max="32" width="22.6640625" style="50" customWidth="1"/>
    <col min="33" max="33" width="18.44140625" style="50" bestFit="1" customWidth="1"/>
    <col min="34" max="34" width="8.44140625" style="50" customWidth="1"/>
    <col min="35" max="35" width="18.44140625" style="50" bestFit="1" customWidth="1"/>
    <col min="36" max="36" width="5.6640625" style="50" customWidth="1"/>
    <col min="37" max="37" width="18.44140625" style="50" bestFit="1" customWidth="1"/>
    <col min="38" max="38" width="4.6640625" style="50" customWidth="1"/>
    <col min="39" max="39" width="23" style="50" bestFit="1" customWidth="1"/>
    <col min="40" max="40" width="10.6640625" style="50"/>
    <col min="41" max="41" width="18.44140625" style="50" bestFit="1" customWidth="1"/>
    <col min="42" max="42" width="16.109375" style="50" customWidth="1"/>
    <col min="43" max="16384" width="10.6640625" style="50"/>
  </cols>
  <sheetData>
    <row r="1" spans="1:33" ht="32.25" customHeight="1" thickBot="1" x14ac:dyDescent="0.35">
      <c r="A1" s="503"/>
      <c r="B1" s="506" t="s">
        <v>0</v>
      </c>
      <c r="C1" s="507"/>
      <c r="D1" s="507"/>
      <c r="E1" s="507"/>
      <c r="F1" s="507"/>
      <c r="G1" s="507"/>
      <c r="H1" s="507"/>
      <c r="I1" s="507"/>
      <c r="J1" s="507"/>
      <c r="K1" s="507"/>
      <c r="L1" s="507"/>
      <c r="M1" s="507"/>
      <c r="N1" s="507"/>
      <c r="O1" s="507"/>
      <c r="P1" s="507"/>
      <c r="Q1" s="507"/>
      <c r="R1" s="507"/>
      <c r="S1" s="507"/>
      <c r="T1" s="507"/>
      <c r="U1" s="507"/>
      <c r="V1" s="507"/>
      <c r="W1" s="507"/>
      <c r="X1" s="507"/>
      <c r="Y1" s="507"/>
      <c r="Z1" s="507"/>
      <c r="AA1" s="508"/>
      <c r="AB1" s="509" t="s">
        <v>1</v>
      </c>
      <c r="AC1" s="510"/>
      <c r="AD1" s="511"/>
    </row>
    <row r="2" spans="1:33" ht="30.75" customHeight="1" thickBot="1" x14ac:dyDescent="0.35">
      <c r="A2" s="504"/>
      <c r="B2" s="506" t="s">
        <v>2</v>
      </c>
      <c r="C2" s="507"/>
      <c r="D2" s="507"/>
      <c r="E2" s="507"/>
      <c r="F2" s="507"/>
      <c r="G2" s="507"/>
      <c r="H2" s="507"/>
      <c r="I2" s="507"/>
      <c r="J2" s="507"/>
      <c r="K2" s="507"/>
      <c r="L2" s="507"/>
      <c r="M2" s="507"/>
      <c r="N2" s="507"/>
      <c r="O2" s="507"/>
      <c r="P2" s="507"/>
      <c r="Q2" s="507"/>
      <c r="R2" s="507"/>
      <c r="S2" s="507"/>
      <c r="T2" s="507"/>
      <c r="U2" s="507"/>
      <c r="V2" s="507"/>
      <c r="W2" s="507"/>
      <c r="X2" s="507"/>
      <c r="Y2" s="507"/>
      <c r="Z2" s="507"/>
      <c r="AA2" s="508"/>
      <c r="AB2" s="512" t="s">
        <v>3</v>
      </c>
      <c r="AC2" s="513"/>
      <c r="AD2" s="514"/>
    </row>
    <row r="3" spans="1:33" ht="24" customHeight="1" x14ac:dyDescent="0.3">
      <c r="A3" s="504"/>
      <c r="B3" s="764" t="s">
        <v>4</v>
      </c>
      <c r="C3" s="460"/>
      <c r="D3" s="460"/>
      <c r="E3" s="460"/>
      <c r="F3" s="460"/>
      <c r="G3" s="460"/>
      <c r="H3" s="460"/>
      <c r="I3" s="460"/>
      <c r="J3" s="460"/>
      <c r="K3" s="460"/>
      <c r="L3" s="460"/>
      <c r="M3" s="460"/>
      <c r="N3" s="460"/>
      <c r="O3" s="460"/>
      <c r="P3" s="460"/>
      <c r="Q3" s="460"/>
      <c r="R3" s="460"/>
      <c r="S3" s="460"/>
      <c r="T3" s="460"/>
      <c r="U3" s="460"/>
      <c r="V3" s="460"/>
      <c r="W3" s="460"/>
      <c r="X3" s="460"/>
      <c r="Y3" s="460"/>
      <c r="Z3" s="460"/>
      <c r="AA3" s="461"/>
      <c r="AB3" s="512" t="s">
        <v>5</v>
      </c>
      <c r="AC3" s="513"/>
      <c r="AD3" s="514"/>
    </row>
    <row r="4" spans="1:33" ht="21.75" customHeight="1" thickBot="1" x14ac:dyDescent="0.35">
      <c r="A4" s="505"/>
      <c r="B4" s="765"/>
      <c r="C4" s="766"/>
      <c r="D4" s="766"/>
      <c r="E4" s="766"/>
      <c r="F4" s="766"/>
      <c r="G4" s="766"/>
      <c r="H4" s="766"/>
      <c r="I4" s="766"/>
      <c r="J4" s="766"/>
      <c r="K4" s="766"/>
      <c r="L4" s="766"/>
      <c r="M4" s="766"/>
      <c r="N4" s="766"/>
      <c r="O4" s="766"/>
      <c r="P4" s="766"/>
      <c r="Q4" s="766"/>
      <c r="R4" s="766"/>
      <c r="S4" s="766"/>
      <c r="T4" s="766"/>
      <c r="U4" s="766"/>
      <c r="V4" s="766"/>
      <c r="W4" s="766"/>
      <c r="X4" s="766"/>
      <c r="Y4" s="766"/>
      <c r="Z4" s="766"/>
      <c r="AA4" s="767"/>
      <c r="AB4" s="524" t="s">
        <v>6</v>
      </c>
      <c r="AC4" s="525"/>
      <c r="AD4" s="526"/>
    </row>
    <row r="5" spans="1:33" ht="9" customHeight="1" thickBot="1" x14ac:dyDescent="0.35">
      <c r="A5" s="239"/>
      <c r="B5" s="240"/>
      <c r="C5" s="241"/>
      <c r="D5" s="242"/>
      <c r="E5" s="242"/>
      <c r="F5" s="242"/>
      <c r="G5" s="242"/>
      <c r="H5" s="242"/>
      <c r="I5" s="242"/>
      <c r="J5" s="242"/>
      <c r="K5" s="242"/>
      <c r="L5" s="242"/>
      <c r="M5" s="242"/>
      <c r="N5" s="242"/>
      <c r="O5" s="242"/>
      <c r="P5" s="242"/>
      <c r="Q5" s="242"/>
      <c r="R5" s="242"/>
      <c r="S5" s="242"/>
      <c r="T5" s="242"/>
      <c r="U5" s="242"/>
      <c r="V5" s="242"/>
      <c r="W5" s="242"/>
      <c r="X5" s="242"/>
      <c r="Y5" s="242"/>
      <c r="Z5" s="243"/>
      <c r="AA5" s="242"/>
      <c r="AB5" s="244"/>
      <c r="AC5" s="245"/>
      <c r="AD5" s="246"/>
    </row>
    <row r="6" spans="1:33" ht="9" customHeight="1" thickBot="1" x14ac:dyDescent="0.35">
      <c r="A6" s="247"/>
      <c r="B6" s="242"/>
      <c r="C6" s="242"/>
      <c r="D6" s="242"/>
      <c r="E6" s="242"/>
      <c r="F6" s="242"/>
      <c r="G6" s="242"/>
      <c r="H6" s="242"/>
      <c r="I6" s="242"/>
      <c r="J6" s="242"/>
      <c r="K6" s="242"/>
      <c r="L6" s="242"/>
      <c r="M6" s="242"/>
      <c r="N6" s="242"/>
      <c r="O6" s="242"/>
      <c r="P6" s="242"/>
      <c r="Q6" s="242"/>
      <c r="R6" s="242"/>
      <c r="S6" s="242"/>
      <c r="T6" s="242"/>
      <c r="U6" s="242"/>
      <c r="V6" s="242"/>
      <c r="W6" s="242"/>
      <c r="X6" s="242"/>
      <c r="Y6" s="242"/>
      <c r="Z6" s="243"/>
      <c r="AA6" s="242"/>
      <c r="AB6" s="242"/>
      <c r="AC6" s="248"/>
      <c r="AD6" s="249"/>
    </row>
    <row r="7" spans="1:33" ht="15.6" x14ac:dyDescent="0.3">
      <c r="A7" s="467" t="s">
        <v>7</v>
      </c>
      <c r="B7" s="468"/>
      <c r="C7" s="473" t="s">
        <v>38</v>
      </c>
      <c r="D7" s="527" t="s">
        <v>9</v>
      </c>
      <c r="E7" s="528"/>
      <c r="F7" s="528"/>
      <c r="G7" s="528"/>
      <c r="H7" s="529"/>
      <c r="I7" s="536">
        <v>45232</v>
      </c>
      <c r="J7" s="537"/>
      <c r="K7" s="527" t="s">
        <v>10</v>
      </c>
      <c r="L7" s="529"/>
      <c r="M7" s="465" t="s">
        <v>11</v>
      </c>
      <c r="N7" s="466"/>
      <c r="O7" s="768"/>
      <c r="P7" s="769"/>
      <c r="Q7" s="250"/>
      <c r="R7" s="250"/>
      <c r="S7" s="250"/>
      <c r="T7" s="250"/>
      <c r="U7" s="250"/>
      <c r="V7" s="250"/>
      <c r="W7" s="250"/>
      <c r="X7" s="250"/>
      <c r="Y7" s="250"/>
      <c r="Z7" s="251"/>
      <c r="AA7" s="250"/>
      <c r="AB7" s="250"/>
      <c r="AC7" s="252"/>
      <c r="AD7" s="253"/>
      <c r="AE7" s="194"/>
      <c r="AF7" s="194"/>
      <c r="AG7" s="194"/>
    </row>
    <row r="8" spans="1:33" ht="15.6" x14ac:dyDescent="0.3">
      <c r="A8" s="469"/>
      <c r="B8" s="470"/>
      <c r="C8" s="474"/>
      <c r="D8" s="530"/>
      <c r="E8" s="531"/>
      <c r="F8" s="531"/>
      <c r="G8" s="531"/>
      <c r="H8" s="532"/>
      <c r="I8" s="538"/>
      <c r="J8" s="539"/>
      <c r="K8" s="530"/>
      <c r="L8" s="532"/>
      <c r="M8" s="544" t="s">
        <v>12</v>
      </c>
      <c r="N8" s="545"/>
      <c r="O8" s="463"/>
      <c r="P8" s="464"/>
      <c r="Q8" s="250"/>
      <c r="R8" s="250"/>
      <c r="S8" s="250"/>
      <c r="T8" s="250"/>
      <c r="U8" s="250"/>
      <c r="V8" s="250"/>
      <c r="W8" s="250"/>
      <c r="X8" s="250"/>
      <c r="Y8" s="250"/>
      <c r="Z8" s="251"/>
      <c r="AA8" s="250"/>
      <c r="AB8" s="250"/>
      <c r="AC8" s="252"/>
      <c r="AD8" s="253"/>
      <c r="AE8" s="194"/>
      <c r="AF8" s="194"/>
      <c r="AG8" s="194"/>
    </row>
    <row r="9" spans="1:33" ht="16.2" thickBot="1" x14ac:dyDescent="0.35">
      <c r="A9" s="471"/>
      <c r="B9" s="472"/>
      <c r="C9" s="475"/>
      <c r="D9" s="533"/>
      <c r="E9" s="534"/>
      <c r="F9" s="534"/>
      <c r="G9" s="534"/>
      <c r="H9" s="535"/>
      <c r="I9" s="540"/>
      <c r="J9" s="541"/>
      <c r="K9" s="533"/>
      <c r="L9" s="535"/>
      <c r="M9" s="484" t="s">
        <v>13</v>
      </c>
      <c r="N9" s="485"/>
      <c r="O9" s="486" t="s">
        <v>14</v>
      </c>
      <c r="P9" s="487"/>
      <c r="Q9" s="250"/>
      <c r="R9" s="250"/>
      <c r="S9" s="250"/>
      <c r="T9" s="250"/>
      <c r="U9" s="250"/>
      <c r="V9" s="250"/>
      <c r="W9" s="250"/>
      <c r="X9" s="250"/>
      <c r="Y9" s="250"/>
      <c r="Z9" s="251"/>
      <c r="AA9" s="250"/>
      <c r="AB9" s="250"/>
      <c r="AC9" s="252"/>
      <c r="AD9" s="253"/>
      <c r="AE9" s="194"/>
      <c r="AF9" s="194"/>
      <c r="AG9" s="194"/>
    </row>
    <row r="10" spans="1:33" ht="15" customHeight="1" thickBot="1" x14ac:dyDescent="0.35">
      <c r="A10" s="254"/>
      <c r="B10" s="255"/>
      <c r="C10" s="255"/>
      <c r="D10" s="256"/>
      <c r="E10" s="256"/>
      <c r="F10" s="256"/>
      <c r="G10" s="256"/>
      <c r="H10" s="256"/>
      <c r="I10" s="257"/>
      <c r="J10" s="257"/>
      <c r="K10" s="256"/>
      <c r="L10" s="256"/>
      <c r="M10" s="258"/>
      <c r="N10" s="258"/>
      <c r="O10" s="259"/>
      <c r="P10" s="259"/>
      <c r="Q10" s="255"/>
      <c r="R10" s="255"/>
      <c r="S10" s="255"/>
      <c r="T10" s="255"/>
      <c r="U10" s="255"/>
      <c r="V10" s="255"/>
      <c r="W10" s="255"/>
      <c r="X10" s="255"/>
      <c r="Y10" s="255"/>
      <c r="Z10" s="260"/>
      <c r="AA10" s="255"/>
      <c r="AB10" s="255"/>
      <c r="AC10" s="261"/>
      <c r="AD10" s="262"/>
    </row>
    <row r="11" spans="1:33" ht="15" customHeight="1" x14ac:dyDescent="0.3">
      <c r="A11" s="467" t="s">
        <v>15</v>
      </c>
      <c r="B11" s="468"/>
      <c r="C11" s="488" t="s">
        <v>129</v>
      </c>
      <c r="D11" s="489"/>
      <c r="E11" s="489"/>
      <c r="F11" s="489"/>
      <c r="G11" s="489"/>
      <c r="H11" s="489"/>
      <c r="I11" s="489"/>
      <c r="J11" s="489"/>
      <c r="K11" s="489"/>
      <c r="L11" s="489"/>
      <c r="M11" s="489"/>
      <c r="N11" s="489"/>
      <c r="O11" s="489"/>
      <c r="P11" s="489"/>
      <c r="Q11" s="489"/>
      <c r="R11" s="489"/>
      <c r="S11" s="489"/>
      <c r="T11" s="489"/>
      <c r="U11" s="489"/>
      <c r="V11" s="489"/>
      <c r="W11" s="489"/>
      <c r="X11" s="489"/>
      <c r="Y11" s="489"/>
      <c r="Z11" s="489"/>
      <c r="AA11" s="489"/>
      <c r="AB11" s="489"/>
      <c r="AC11" s="489"/>
      <c r="AD11" s="490"/>
    </row>
    <row r="12" spans="1:33" ht="15" customHeight="1" x14ac:dyDescent="0.3">
      <c r="A12" s="469"/>
      <c r="B12" s="470"/>
      <c r="C12" s="491"/>
      <c r="D12" s="492"/>
      <c r="E12" s="492"/>
      <c r="F12" s="492"/>
      <c r="G12" s="492"/>
      <c r="H12" s="492"/>
      <c r="I12" s="492"/>
      <c r="J12" s="492"/>
      <c r="K12" s="492"/>
      <c r="L12" s="492"/>
      <c r="M12" s="492"/>
      <c r="N12" s="492"/>
      <c r="O12" s="492"/>
      <c r="P12" s="492"/>
      <c r="Q12" s="492"/>
      <c r="R12" s="492"/>
      <c r="S12" s="492"/>
      <c r="T12" s="492"/>
      <c r="U12" s="492"/>
      <c r="V12" s="492"/>
      <c r="W12" s="492"/>
      <c r="X12" s="492"/>
      <c r="Y12" s="492"/>
      <c r="Z12" s="492"/>
      <c r="AA12" s="492"/>
      <c r="AB12" s="492"/>
      <c r="AC12" s="492"/>
      <c r="AD12" s="493"/>
    </row>
    <row r="13" spans="1:33" ht="15" customHeight="1" thickBot="1" x14ac:dyDescent="0.35">
      <c r="A13" s="471"/>
      <c r="B13" s="472"/>
      <c r="C13" s="494"/>
      <c r="D13" s="495"/>
      <c r="E13" s="495"/>
      <c r="F13" s="495"/>
      <c r="G13" s="495"/>
      <c r="H13" s="495"/>
      <c r="I13" s="495"/>
      <c r="J13" s="495"/>
      <c r="K13" s="495"/>
      <c r="L13" s="495"/>
      <c r="M13" s="495"/>
      <c r="N13" s="495"/>
      <c r="O13" s="495"/>
      <c r="P13" s="495"/>
      <c r="Q13" s="495"/>
      <c r="R13" s="495"/>
      <c r="S13" s="495"/>
      <c r="T13" s="495"/>
      <c r="U13" s="495"/>
      <c r="V13" s="495"/>
      <c r="W13" s="495"/>
      <c r="X13" s="495"/>
      <c r="Y13" s="495"/>
      <c r="Z13" s="495"/>
      <c r="AA13" s="495"/>
      <c r="AB13" s="495"/>
      <c r="AC13" s="495"/>
      <c r="AD13" s="496"/>
    </row>
    <row r="14" spans="1:33" ht="9" customHeight="1" thickBot="1" x14ac:dyDescent="0.35">
      <c r="A14" s="263"/>
      <c r="B14" s="264"/>
      <c r="C14" s="265"/>
      <c r="D14" s="265"/>
      <c r="E14" s="265"/>
      <c r="F14" s="265"/>
      <c r="G14" s="265"/>
      <c r="H14" s="265"/>
      <c r="I14" s="265"/>
      <c r="J14" s="265"/>
      <c r="K14" s="265"/>
      <c r="L14" s="265"/>
      <c r="M14" s="266"/>
      <c r="N14" s="266"/>
      <c r="O14" s="266"/>
      <c r="P14" s="266"/>
      <c r="Q14" s="266"/>
      <c r="R14" s="267"/>
      <c r="S14" s="267"/>
      <c r="T14" s="267"/>
      <c r="U14" s="267"/>
      <c r="V14" s="267"/>
      <c r="W14" s="267"/>
      <c r="X14" s="267"/>
      <c r="Y14" s="256"/>
      <c r="Z14" s="256"/>
      <c r="AA14" s="256"/>
      <c r="AB14" s="256"/>
      <c r="AC14" s="256"/>
      <c r="AD14" s="268"/>
    </row>
    <row r="15" spans="1:33" ht="41.1" customHeight="1" thickBot="1" x14ac:dyDescent="0.35">
      <c r="A15" s="449" t="s">
        <v>17</v>
      </c>
      <c r="B15" s="450"/>
      <c r="C15" s="515" t="s">
        <v>130</v>
      </c>
      <c r="D15" s="516"/>
      <c r="E15" s="516"/>
      <c r="F15" s="516"/>
      <c r="G15" s="516"/>
      <c r="H15" s="516"/>
      <c r="I15" s="516"/>
      <c r="J15" s="516"/>
      <c r="K15" s="517"/>
      <c r="L15" s="479" t="s">
        <v>19</v>
      </c>
      <c r="M15" s="483"/>
      <c r="N15" s="483"/>
      <c r="O15" s="483"/>
      <c r="P15" s="483"/>
      <c r="Q15" s="480"/>
      <c r="R15" s="476" t="s">
        <v>20</v>
      </c>
      <c r="S15" s="477"/>
      <c r="T15" s="477"/>
      <c r="U15" s="477"/>
      <c r="V15" s="477"/>
      <c r="W15" s="477"/>
      <c r="X15" s="478"/>
      <c r="Y15" s="479" t="s">
        <v>21</v>
      </c>
      <c r="Z15" s="480"/>
      <c r="AA15" s="437" t="s">
        <v>131</v>
      </c>
      <c r="AB15" s="438"/>
      <c r="AC15" s="438"/>
      <c r="AD15" s="439"/>
    </row>
    <row r="16" spans="1:33" ht="9" customHeight="1" thickBot="1" x14ac:dyDescent="0.35">
      <c r="A16" s="247"/>
      <c r="B16" s="242"/>
      <c r="C16" s="448"/>
      <c r="D16" s="448"/>
      <c r="E16" s="448"/>
      <c r="F16" s="448"/>
      <c r="G16" s="448"/>
      <c r="H16" s="448"/>
      <c r="I16" s="448"/>
      <c r="J16" s="448"/>
      <c r="K16" s="448"/>
      <c r="L16" s="448"/>
      <c r="M16" s="448"/>
      <c r="N16" s="448"/>
      <c r="O16" s="448"/>
      <c r="P16" s="448"/>
      <c r="Q16" s="448"/>
      <c r="R16" s="448"/>
      <c r="S16" s="448"/>
      <c r="T16" s="448"/>
      <c r="U16" s="448"/>
      <c r="V16" s="448"/>
      <c r="W16" s="448"/>
      <c r="X16" s="448"/>
      <c r="Y16" s="448"/>
      <c r="Z16" s="448"/>
      <c r="AA16" s="448"/>
      <c r="AB16" s="448"/>
      <c r="AC16" s="269"/>
      <c r="AD16" s="270"/>
    </row>
    <row r="17" spans="1:41" s="76" customFormat="1" ht="37.5" customHeight="1" thickBot="1" x14ac:dyDescent="0.35">
      <c r="A17" s="449" t="s">
        <v>23</v>
      </c>
      <c r="B17" s="450"/>
      <c r="C17" s="770" t="s">
        <v>132</v>
      </c>
      <c r="D17" s="771"/>
      <c r="E17" s="771"/>
      <c r="F17" s="771"/>
      <c r="G17" s="771"/>
      <c r="H17" s="771"/>
      <c r="I17" s="771"/>
      <c r="J17" s="771"/>
      <c r="K17" s="771"/>
      <c r="L17" s="771"/>
      <c r="M17" s="771"/>
      <c r="N17" s="771"/>
      <c r="O17" s="771"/>
      <c r="P17" s="771"/>
      <c r="Q17" s="772"/>
      <c r="R17" s="479" t="s">
        <v>25</v>
      </c>
      <c r="S17" s="483"/>
      <c r="T17" s="483"/>
      <c r="U17" s="483"/>
      <c r="V17" s="480"/>
      <c r="W17" s="481">
        <v>0.3</v>
      </c>
      <c r="X17" s="482"/>
      <c r="Y17" s="483" t="s">
        <v>26</v>
      </c>
      <c r="Z17" s="483"/>
      <c r="AA17" s="483"/>
      <c r="AB17" s="480"/>
      <c r="AC17" s="446">
        <v>0.09</v>
      </c>
      <c r="AD17" s="447"/>
    </row>
    <row r="18" spans="1:41" ht="16.5" customHeight="1" thickBot="1" x14ac:dyDescent="0.35">
      <c r="A18" s="271"/>
      <c r="B18" s="272"/>
      <c r="C18" s="272"/>
      <c r="D18" s="272"/>
      <c r="E18" s="272"/>
      <c r="F18" s="272"/>
      <c r="G18" s="272"/>
      <c r="H18" s="272"/>
      <c r="I18" s="272"/>
      <c r="J18" s="272"/>
      <c r="K18" s="272"/>
      <c r="L18" s="272"/>
      <c r="M18" s="272"/>
      <c r="N18" s="272"/>
      <c r="O18" s="272"/>
      <c r="P18" s="272"/>
      <c r="Q18" s="272"/>
      <c r="R18" s="272"/>
      <c r="S18" s="272"/>
      <c r="T18" s="272"/>
      <c r="U18" s="272"/>
      <c r="V18" s="272"/>
      <c r="W18" s="272"/>
      <c r="X18" s="272"/>
      <c r="Y18" s="272"/>
      <c r="Z18" s="272"/>
      <c r="AA18" s="272"/>
      <c r="AB18" s="272"/>
      <c r="AC18" s="272"/>
      <c r="AD18" s="273"/>
    </row>
    <row r="19" spans="1:41" ht="32.1" customHeight="1" thickBot="1" x14ac:dyDescent="0.35">
      <c r="A19" s="479" t="s">
        <v>27</v>
      </c>
      <c r="B19" s="483"/>
      <c r="C19" s="483"/>
      <c r="D19" s="483"/>
      <c r="E19" s="483"/>
      <c r="F19" s="483"/>
      <c r="G19" s="483"/>
      <c r="H19" s="483"/>
      <c r="I19" s="483"/>
      <c r="J19" s="483"/>
      <c r="K19" s="483"/>
      <c r="L19" s="483"/>
      <c r="M19" s="483"/>
      <c r="N19" s="483"/>
      <c r="O19" s="483"/>
      <c r="P19" s="483"/>
      <c r="Q19" s="483"/>
      <c r="R19" s="483"/>
      <c r="S19" s="483"/>
      <c r="T19" s="483"/>
      <c r="U19" s="483"/>
      <c r="V19" s="483"/>
      <c r="W19" s="483"/>
      <c r="X19" s="483"/>
      <c r="Y19" s="483"/>
      <c r="Z19" s="483"/>
      <c r="AA19" s="483"/>
      <c r="AB19" s="483"/>
      <c r="AC19" s="483"/>
      <c r="AD19" s="480"/>
      <c r="AE19" s="83"/>
      <c r="AF19" s="83"/>
    </row>
    <row r="20" spans="1:41" ht="32.1" customHeight="1" thickBot="1" x14ac:dyDescent="0.35">
      <c r="A20" s="274"/>
      <c r="B20" s="248"/>
      <c r="C20" s="500" t="s">
        <v>28</v>
      </c>
      <c r="D20" s="501"/>
      <c r="E20" s="501"/>
      <c r="F20" s="501"/>
      <c r="G20" s="501"/>
      <c r="H20" s="501"/>
      <c r="I20" s="501"/>
      <c r="J20" s="501"/>
      <c r="K20" s="501"/>
      <c r="L20" s="501"/>
      <c r="M20" s="501"/>
      <c r="N20" s="501"/>
      <c r="O20" s="501"/>
      <c r="P20" s="502"/>
      <c r="Q20" s="497" t="s">
        <v>29</v>
      </c>
      <c r="R20" s="498"/>
      <c r="S20" s="498"/>
      <c r="T20" s="498"/>
      <c r="U20" s="498"/>
      <c r="V20" s="498"/>
      <c r="W20" s="498"/>
      <c r="X20" s="498"/>
      <c r="Y20" s="498"/>
      <c r="Z20" s="498"/>
      <c r="AA20" s="498"/>
      <c r="AB20" s="498"/>
      <c r="AC20" s="498"/>
      <c r="AD20" s="499"/>
      <c r="AE20" s="83"/>
      <c r="AF20" s="83"/>
    </row>
    <row r="21" spans="1:41" ht="32.1" customHeight="1" thickBot="1" x14ac:dyDescent="0.35">
      <c r="A21" s="247"/>
      <c r="B21" s="242"/>
      <c r="C21" s="275" t="s">
        <v>30</v>
      </c>
      <c r="D21" s="276" t="s">
        <v>31</v>
      </c>
      <c r="E21" s="276" t="s">
        <v>32</v>
      </c>
      <c r="F21" s="276" t="s">
        <v>33</v>
      </c>
      <c r="G21" s="276" t="s">
        <v>34</v>
      </c>
      <c r="H21" s="276" t="s">
        <v>35</v>
      </c>
      <c r="I21" s="276" t="s">
        <v>36</v>
      </c>
      <c r="J21" s="276" t="s">
        <v>37</v>
      </c>
      <c r="K21" s="276" t="s">
        <v>8</v>
      </c>
      <c r="L21" s="276" t="s">
        <v>38</v>
      </c>
      <c r="M21" s="276" t="s">
        <v>39</v>
      </c>
      <c r="N21" s="276" t="s">
        <v>40</v>
      </c>
      <c r="O21" s="276" t="s">
        <v>41</v>
      </c>
      <c r="P21" s="277" t="s">
        <v>42</v>
      </c>
      <c r="Q21" s="275" t="s">
        <v>30</v>
      </c>
      <c r="R21" s="276" t="s">
        <v>31</v>
      </c>
      <c r="S21" s="276" t="s">
        <v>32</v>
      </c>
      <c r="T21" s="276" t="s">
        <v>33</v>
      </c>
      <c r="U21" s="276" t="s">
        <v>34</v>
      </c>
      <c r="V21" s="276" t="s">
        <v>35</v>
      </c>
      <c r="W21" s="276" t="s">
        <v>36</v>
      </c>
      <c r="X21" s="276" t="s">
        <v>37</v>
      </c>
      <c r="Y21" s="276" t="s">
        <v>8</v>
      </c>
      <c r="Z21" s="276" t="s">
        <v>38</v>
      </c>
      <c r="AA21" s="276" t="s">
        <v>39</v>
      </c>
      <c r="AB21" s="276" t="s">
        <v>40</v>
      </c>
      <c r="AC21" s="276" t="s">
        <v>41</v>
      </c>
      <c r="AD21" s="277" t="s">
        <v>42</v>
      </c>
      <c r="AE21" s="3"/>
      <c r="AF21" s="3"/>
    </row>
    <row r="22" spans="1:41" ht="32.1" customHeight="1" x14ac:dyDescent="0.3">
      <c r="A22" s="392" t="s">
        <v>43</v>
      </c>
      <c r="B22" s="445"/>
      <c r="C22" s="278"/>
      <c r="D22" s="279"/>
      <c r="E22" s="279"/>
      <c r="F22" s="279"/>
      <c r="G22" s="279"/>
      <c r="H22" s="279"/>
      <c r="I22" s="279"/>
      <c r="J22" s="279"/>
      <c r="K22" s="279"/>
      <c r="L22" s="279"/>
      <c r="M22" s="279"/>
      <c r="N22" s="279"/>
      <c r="O22" s="279">
        <f>SUM(C22:N22)</f>
        <v>0</v>
      </c>
      <c r="P22" s="280"/>
      <c r="Q22" s="281">
        <v>389272925</v>
      </c>
      <c r="R22" s="282">
        <v>8537488</v>
      </c>
      <c r="S22" s="282">
        <v>8390000</v>
      </c>
      <c r="T22" s="282">
        <v>0</v>
      </c>
      <c r="U22" s="282">
        <v>45000000</v>
      </c>
      <c r="V22" s="282">
        <v>15000000</v>
      </c>
      <c r="W22" s="282">
        <v>0</v>
      </c>
      <c r="X22" s="282">
        <v>0</v>
      </c>
      <c r="Y22" s="282">
        <v>0</v>
      </c>
      <c r="Z22" s="282">
        <v>-16329365</v>
      </c>
      <c r="AA22" s="282">
        <v>0</v>
      </c>
      <c r="AB22" s="282">
        <v>0</v>
      </c>
      <c r="AC22" s="283">
        <f>SUM(Q22:AB22)</f>
        <v>449871048</v>
      </c>
      <c r="AD22" s="284"/>
      <c r="AE22" s="3"/>
      <c r="AF22" s="3"/>
    </row>
    <row r="23" spans="1:41" ht="32.1" customHeight="1" x14ac:dyDescent="0.3">
      <c r="A23" s="434" t="s">
        <v>44</v>
      </c>
      <c r="B23" s="435"/>
      <c r="C23" s="286"/>
      <c r="D23" s="287"/>
      <c r="E23" s="287"/>
      <c r="F23" s="287"/>
      <c r="G23" s="287"/>
      <c r="H23" s="287"/>
      <c r="I23" s="287"/>
      <c r="J23" s="287"/>
      <c r="K23" s="287"/>
      <c r="L23" s="287"/>
      <c r="M23" s="287"/>
      <c r="N23" s="287"/>
      <c r="O23" s="287">
        <f>SUM(C23:N23)</f>
        <v>0</v>
      </c>
      <c r="P23" s="288" t="str">
        <f>IFERROR(O23/(SUMIF(C23:N23,"&gt;0",C22:N22))," ")</f>
        <v xml:space="preserve"> </v>
      </c>
      <c r="Q23" s="289">
        <f>136170675</f>
        <v>136170675</v>
      </c>
      <c r="R23" s="290">
        <f>315660175-Q23</f>
        <v>179489500</v>
      </c>
      <c r="S23" s="290">
        <f>328562115-Q23-R23</f>
        <v>12901940</v>
      </c>
      <c r="T23" s="290">
        <f>317785408-Q23-R23-S23</f>
        <v>-10776707</v>
      </c>
      <c r="U23" s="290">
        <f>392910919-Q23-R23-S23-T23</f>
        <v>75125511</v>
      </c>
      <c r="V23" s="290">
        <f>422088119-Q23-R23-S23-T23-U23</f>
        <v>29177200</v>
      </c>
      <c r="W23" s="290">
        <f>427091611-Q23-R23-S23-T23-U23-V23</f>
        <v>5003492</v>
      </c>
      <c r="X23" s="290">
        <f>426919038-Q23-R23-S23-T23-U23-V23-W23</f>
        <v>-172573</v>
      </c>
      <c r="Y23" s="290">
        <f>426544038-Q23-R23-S23-T23-U23-V23-W23-X23</f>
        <v>-375000</v>
      </c>
      <c r="Z23" s="290">
        <f>426544038-Q23-R23-S23-T23-U23-V23-W23-X23-Y23</f>
        <v>0</v>
      </c>
      <c r="AA23" s="290"/>
      <c r="AB23" s="290"/>
      <c r="AC23" s="279">
        <f>SUM(Q23:AB23)</f>
        <v>426544038</v>
      </c>
      <c r="AD23" s="291">
        <f>AC23/AC22</f>
        <v>0.94814734110206622</v>
      </c>
      <c r="AE23" s="3"/>
      <c r="AF23" s="3"/>
    </row>
    <row r="24" spans="1:41" ht="32.1" customHeight="1" x14ac:dyDescent="0.3">
      <c r="A24" s="434" t="s">
        <v>45</v>
      </c>
      <c r="B24" s="435"/>
      <c r="C24" s="286"/>
      <c r="D24" s="287"/>
      <c r="E24" s="287"/>
      <c r="F24" s="287"/>
      <c r="G24" s="287"/>
      <c r="H24" s="287"/>
      <c r="I24" s="287"/>
      <c r="J24" s="287"/>
      <c r="K24" s="287"/>
      <c r="L24" s="287"/>
      <c r="M24" s="287"/>
      <c r="N24" s="287"/>
      <c r="O24" s="287">
        <f>SUM(C24:N24)</f>
        <v>0</v>
      </c>
      <c r="P24" s="292"/>
      <c r="Q24" s="289"/>
      <c r="R24" s="346">
        <v>16917651</v>
      </c>
      <c r="S24" s="345">
        <v>30675087</v>
      </c>
      <c r="T24" s="345">
        <v>30424287</v>
      </c>
      <c r="U24" s="345">
        <v>30424287</v>
      </c>
      <c r="V24" s="345">
        <v>30424287</v>
      </c>
      <c r="W24" s="346">
        <v>43624037</v>
      </c>
      <c r="X24" s="346">
        <v>55678037</v>
      </c>
      <c r="Y24" s="346">
        <v>58678037</v>
      </c>
      <c r="Z24" s="346">
        <v>60348102</v>
      </c>
      <c r="AA24" s="346">
        <v>42897543</v>
      </c>
      <c r="AB24" s="346">
        <f>66109058.4066667-16329365</f>
        <v>49779693.406666704</v>
      </c>
      <c r="AC24" s="287">
        <f>SUM(Q24:AB24)</f>
        <v>449871048.4066667</v>
      </c>
      <c r="AD24" s="291"/>
      <c r="AE24" s="3"/>
      <c r="AF24" s="3"/>
    </row>
    <row r="25" spans="1:41" ht="32.1" customHeight="1" thickBot="1" x14ac:dyDescent="0.35">
      <c r="A25" s="393" t="s">
        <v>46</v>
      </c>
      <c r="B25" s="436"/>
      <c r="C25" s="296"/>
      <c r="D25" s="297"/>
      <c r="E25" s="297"/>
      <c r="F25" s="297"/>
      <c r="G25" s="297"/>
      <c r="H25" s="297"/>
      <c r="I25" s="297"/>
      <c r="J25" s="297"/>
      <c r="K25" s="297"/>
      <c r="L25" s="297"/>
      <c r="M25" s="297"/>
      <c r="N25" s="297"/>
      <c r="O25" s="297">
        <f>SUM(C25:N25)</f>
        <v>0</v>
      </c>
      <c r="P25" s="299" t="str">
        <f>IFERROR(O25/(SUMIF(C25:N25,"&gt;0",C24:N24))," ")</f>
        <v xml:space="preserve"> </v>
      </c>
      <c r="Q25" s="348"/>
      <c r="R25" s="298">
        <f>2487274</f>
        <v>2487274</v>
      </c>
      <c r="S25" s="298">
        <f>22155991-R25</f>
        <v>19668717</v>
      </c>
      <c r="T25" s="298">
        <f>51355125-R25-S25</f>
        <v>29199134</v>
      </c>
      <c r="U25" s="298">
        <f>80850825-R25-S25-T25</f>
        <v>29495700</v>
      </c>
      <c r="V25" s="298">
        <f>111507850-R25-S25-T25-U25</f>
        <v>30657025</v>
      </c>
      <c r="W25" s="298">
        <f>164602312-R25-S25-T25-U25-V25</f>
        <v>53094462</v>
      </c>
      <c r="X25" s="298">
        <f>224405566-R25-S25-T25-U25-V25-W25</f>
        <v>59803254</v>
      </c>
      <c r="Y25" s="298">
        <f>265215366-R25-S25-T25-U25-V25-W25-X25</f>
        <v>40809800</v>
      </c>
      <c r="Z25" s="298">
        <f>298809300-Q25-R25-S25-T25-U25-V25-W25-X25-Y25</f>
        <v>33593934</v>
      </c>
      <c r="AA25" s="298"/>
      <c r="AB25" s="298"/>
      <c r="AC25" s="297">
        <f>SUM(Q25:AB25)</f>
        <v>298809300</v>
      </c>
      <c r="AD25" s="302">
        <f>AC25/AC24</f>
        <v>0.66421100237125619</v>
      </c>
      <c r="AE25" s="3"/>
      <c r="AF25" s="3"/>
    </row>
    <row r="26" spans="1:41" ht="32.1" customHeight="1" thickBot="1" x14ac:dyDescent="0.35">
      <c r="A26" s="247"/>
      <c r="B26" s="242"/>
      <c r="C26" s="304"/>
      <c r="D26" s="304"/>
      <c r="E26" s="304"/>
      <c r="F26" s="304"/>
      <c r="G26" s="304"/>
      <c r="H26" s="304"/>
      <c r="I26" s="304"/>
      <c r="J26" s="304"/>
      <c r="K26" s="304"/>
      <c r="L26" s="304"/>
      <c r="M26" s="304"/>
      <c r="N26" s="304"/>
      <c r="O26" s="304"/>
      <c r="P26" s="304"/>
      <c r="Q26" s="304"/>
      <c r="R26" s="304"/>
      <c r="S26" s="304"/>
      <c r="T26" s="304"/>
      <c r="U26" s="304"/>
      <c r="V26" s="304"/>
      <c r="W26" s="304"/>
      <c r="X26" s="304"/>
      <c r="Y26" s="304"/>
      <c r="Z26" s="304"/>
      <c r="AA26" s="304"/>
      <c r="AB26" s="304"/>
      <c r="AC26" s="248"/>
      <c r="AD26" s="262"/>
    </row>
    <row r="27" spans="1:41" ht="33.75" customHeight="1" x14ac:dyDescent="0.3">
      <c r="A27" s="430" t="s">
        <v>47</v>
      </c>
      <c r="B27" s="431"/>
      <c r="C27" s="432"/>
      <c r="D27" s="432"/>
      <c r="E27" s="432"/>
      <c r="F27" s="432"/>
      <c r="G27" s="432"/>
      <c r="H27" s="432"/>
      <c r="I27" s="432"/>
      <c r="J27" s="432"/>
      <c r="K27" s="432"/>
      <c r="L27" s="432"/>
      <c r="M27" s="432"/>
      <c r="N27" s="432"/>
      <c r="O27" s="432"/>
      <c r="P27" s="432"/>
      <c r="Q27" s="432"/>
      <c r="R27" s="432"/>
      <c r="S27" s="432"/>
      <c r="T27" s="432"/>
      <c r="U27" s="432"/>
      <c r="V27" s="432"/>
      <c r="W27" s="432"/>
      <c r="X27" s="432"/>
      <c r="Y27" s="432"/>
      <c r="Z27" s="432"/>
      <c r="AA27" s="432"/>
      <c r="AB27" s="432"/>
      <c r="AC27" s="432"/>
      <c r="AD27" s="433"/>
    </row>
    <row r="28" spans="1:41" ht="15" customHeight="1" x14ac:dyDescent="0.3">
      <c r="A28" s="440" t="s">
        <v>48</v>
      </c>
      <c r="B28" s="442" t="s">
        <v>49</v>
      </c>
      <c r="C28" s="443"/>
      <c r="D28" s="435" t="s">
        <v>50</v>
      </c>
      <c r="E28" s="444"/>
      <c r="F28" s="444"/>
      <c r="G28" s="444"/>
      <c r="H28" s="444"/>
      <c r="I28" s="444"/>
      <c r="J28" s="444"/>
      <c r="K28" s="444"/>
      <c r="L28" s="444"/>
      <c r="M28" s="444"/>
      <c r="N28" s="444"/>
      <c r="O28" s="423"/>
      <c r="P28" s="424" t="s">
        <v>41</v>
      </c>
      <c r="Q28" s="424" t="s">
        <v>51</v>
      </c>
      <c r="R28" s="424"/>
      <c r="S28" s="424"/>
      <c r="T28" s="424"/>
      <c r="U28" s="424"/>
      <c r="V28" s="424"/>
      <c r="W28" s="424"/>
      <c r="X28" s="424"/>
      <c r="Y28" s="424"/>
      <c r="Z28" s="424"/>
      <c r="AA28" s="424"/>
      <c r="AB28" s="424"/>
      <c r="AC28" s="424"/>
      <c r="AD28" s="425"/>
    </row>
    <row r="29" spans="1:41" ht="27" customHeight="1" x14ac:dyDescent="0.3">
      <c r="A29" s="441"/>
      <c r="B29" s="426"/>
      <c r="C29" s="428"/>
      <c r="D29" s="305" t="s">
        <v>30</v>
      </c>
      <c r="E29" s="305" t="s">
        <v>31</v>
      </c>
      <c r="F29" s="305" t="s">
        <v>32</v>
      </c>
      <c r="G29" s="305" t="s">
        <v>33</v>
      </c>
      <c r="H29" s="305" t="s">
        <v>34</v>
      </c>
      <c r="I29" s="305" t="s">
        <v>35</v>
      </c>
      <c r="J29" s="305" t="s">
        <v>36</v>
      </c>
      <c r="K29" s="305" t="s">
        <v>37</v>
      </c>
      <c r="L29" s="305" t="s">
        <v>8</v>
      </c>
      <c r="M29" s="305" t="s">
        <v>38</v>
      </c>
      <c r="N29" s="305" t="s">
        <v>39</v>
      </c>
      <c r="O29" s="305" t="s">
        <v>40</v>
      </c>
      <c r="P29" s="423"/>
      <c r="Q29" s="424"/>
      <c r="R29" s="424"/>
      <c r="S29" s="424"/>
      <c r="T29" s="424"/>
      <c r="U29" s="424"/>
      <c r="V29" s="424"/>
      <c r="W29" s="424"/>
      <c r="X29" s="424"/>
      <c r="Y29" s="424"/>
      <c r="Z29" s="424"/>
      <c r="AA29" s="424"/>
      <c r="AB29" s="424"/>
      <c r="AC29" s="424"/>
      <c r="AD29" s="425"/>
    </row>
    <row r="30" spans="1:41" ht="72" customHeight="1" thickBot="1" x14ac:dyDescent="0.35">
      <c r="A30" s="332" t="s">
        <v>133</v>
      </c>
      <c r="B30" s="773"/>
      <c r="C30" s="774"/>
      <c r="D30" s="308"/>
      <c r="E30" s="308"/>
      <c r="F30" s="308"/>
      <c r="G30" s="308"/>
      <c r="H30" s="308"/>
      <c r="I30" s="308"/>
      <c r="J30" s="308"/>
      <c r="K30" s="308"/>
      <c r="L30" s="308"/>
      <c r="M30" s="308"/>
      <c r="N30" s="308"/>
      <c r="O30" s="308"/>
      <c r="P30" s="309">
        <f>SUM(D30:O30)</f>
        <v>0</v>
      </c>
      <c r="Q30" s="456"/>
      <c r="R30" s="456"/>
      <c r="S30" s="456"/>
      <c r="T30" s="456"/>
      <c r="U30" s="456"/>
      <c r="V30" s="456"/>
      <c r="W30" s="456"/>
      <c r="X30" s="456"/>
      <c r="Y30" s="456"/>
      <c r="Z30" s="456"/>
      <c r="AA30" s="456"/>
      <c r="AB30" s="456"/>
      <c r="AC30" s="456"/>
      <c r="AD30" s="457"/>
    </row>
    <row r="31" spans="1:41" ht="45" customHeight="1" thickBot="1" x14ac:dyDescent="0.35">
      <c r="A31" s="458" t="s">
        <v>53</v>
      </c>
      <c r="B31" s="459"/>
      <c r="C31" s="459"/>
      <c r="D31" s="459"/>
      <c r="E31" s="459"/>
      <c r="F31" s="459"/>
      <c r="G31" s="459"/>
      <c r="H31" s="459"/>
      <c r="I31" s="459"/>
      <c r="J31" s="459"/>
      <c r="K31" s="459"/>
      <c r="L31" s="459"/>
      <c r="M31" s="459"/>
      <c r="N31" s="459"/>
      <c r="O31" s="459"/>
      <c r="P31" s="459"/>
      <c r="Q31" s="459"/>
      <c r="R31" s="459"/>
      <c r="S31" s="459"/>
      <c r="T31" s="459"/>
      <c r="U31" s="459"/>
      <c r="V31" s="459"/>
      <c r="W31" s="459"/>
      <c r="X31" s="459"/>
      <c r="Y31" s="459"/>
      <c r="Z31" s="459"/>
      <c r="AA31" s="459"/>
      <c r="AB31" s="459"/>
      <c r="AC31" s="459"/>
      <c r="AD31" s="831"/>
    </row>
    <row r="32" spans="1:41" ht="23.1" customHeight="1" x14ac:dyDescent="0.3">
      <c r="A32" s="392" t="s">
        <v>54</v>
      </c>
      <c r="B32" s="396" t="s">
        <v>55</v>
      </c>
      <c r="C32" s="396" t="s">
        <v>49</v>
      </c>
      <c r="D32" s="396" t="s">
        <v>56</v>
      </c>
      <c r="E32" s="396"/>
      <c r="F32" s="396"/>
      <c r="G32" s="396"/>
      <c r="H32" s="396"/>
      <c r="I32" s="396"/>
      <c r="J32" s="396"/>
      <c r="K32" s="396"/>
      <c r="L32" s="396"/>
      <c r="M32" s="396"/>
      <c r="N32" s="396"/>
      <c r="O32" s="396"/>
      <c r="P32" s="396"/>
      <c r="Q32" s="396" t="s">
        <v>57</v>
      </c>
      <c r="R32" s="396"/>
      <c r="S32" s="396"/>
      <c r="T32" s="396"/>
      <c r="U32" s="396"/>
      <c r="V32" s="396"/>
      <c r="W32" s="396"/>
      <c r="X32" s="396"/>
      <c r="Y32" s="396"/>
      <c r="Z32" s="396"/>
      <c r="AA32" s="396"/>
      <c r="AB32" s="396"/>
      <c r="AC32" s="396"/>
      <c r="AD32" s="397"/>
      <c r="AG32" s="87"/>
      <c r="AH32" s="87"/>
      <c r="AI32" s="87"/>
      <c r="AJ32" s="87"/>
      <c r="AK32" s="87"/>
      <c r="AL32" s="87"/>
      <c r="AM32" s="87"/>
      <c r="AN32" s="87"/>
      <c r="AO32" s="87"/>
    </row>
    <row r="33" spans="1:41" ht="27" customHeight="1" thickBot="1" x14ac:dyDescent="0.35">
      <c r="A33" s="832"/>
      <c r="B33" s="833"/>
      <c r="C33" s="834"/>
      <c r="D33" s="351" t="s">
        <v>30</v>
      </c>
      <c r="E33" s="351" t="s">
        <v>31</v>
      </c>
      <c r="F33" s="351" t="s">
        <v>32</v>
      </c>
      <c r="G33" s="351" t="s">
        <v>33</v>
      </c>
      <c r="H33" s="351" t="s">
        <v>34</v>
      </c>
      <c r="I33" s="351" t="s">
        <v>35</v>
      </c>
      <c r="J33" s="351" t="s">
        <v>36</v>
      </c>
      <c r="K33" s="351" t="s">
        <v>37</v>
      </c>
      <c r="L33" s="351" t="s">
        <v>8</v>
      </c>
      <c r="M33" s="351" t="s">
        <v>38</v>
      </c>
      <c r="N33" s="351" t="s">
        <v>39</v>
      </c>
      <c r="O33" s="351" t="s">
        <v>40</v>
      </c>
      <c r="P33" s="351" t="s">
        <v>41</v>
      </c>
      <c r="Q33" s="833" t="s">
        <v>58</v>
      </c>
      <c r="R33" s="833"/>
      <c r="S33" s="833"/>
      <c r="T33" s="833" t="s">
        <v>59</v>
      </c>
      <c r="U33" s="833"/>
      <c r="V33" s="833"/>
      <c r="W33" s="841" t="s">
        <v>60</v>
      </c>
      <c r="X33" s="498"/>
      <c r="Y33" s="498"/>
      <c r="Z33" s="842"/>
      <c r="AA33" s="841" t="s">
        <v>61</v>
      </c>
      <c r="AB33" s="498"/>
      <c r="AC33" s="498"/>
      <c r="AD33" s="499"/>
      <c r="AG33" s="87"/>
      <c r="AH33" s="87"/>
      <c r="AI33" s="87"/>
      <c r="AJ33" s="87"/>
      <c r="AK33" s="87"/>
      <c r="AL33" s="87"/>
      <c r="AM33" s="87"/>
      <c r="AN33" s="87"/>
      <c r="AO33" s="87"/>
    </row>
    <row r="34" spans="1:41" ht="289.35000000000002" customHeight="1" x14ac:dyDescent="0.3">
      <c r="A34" s="843" t="s">
        <v>133</v>
      </c>
      <c r="B34" s="845">
        <v>0.09</v>
      </c>
      <c r="C34" s="352" t="s">
        <v>62</v>
      </c>
      <c r="D34" s="353">
        <f>D69</f>
        <v>0</v>
      </c>
      <c r="E34" s="353">
        <f t="shared" ref="E34:P34" si="0">E69</f>
        <v>9.0000000000000011E-3</v>
      </c>
      <c r="F34" s="353">
        <f t="shared" si="0"/>
        <v>1.6E-2</v>
      </c>
      <c r="G34" s="353">
        <f t="shared" si="0"/>
        <v>2.4999999999999998E-2</v>
      </c>
      <c r="H34" s="353">
        <f t="shared" si="0"/>
        <v>0.03</v>
      </c>
      <c r="I34" s="353">
        <f t="shared" si="0"/>
        <v>3.4999999999999996E-2</v>
      </c>
      <c r="J34" s="353">
        <f t="shared" si="0"/>
        <v>3.9999999999999994E-2</v>
      </c>
      <c r="K34" s="353">
        <f t="shared" si="0"/>
        <v>3.9999999999999994E-2</v>
      </c>
      <c r="L34" s="353">
        <f t="shared" si="0"/>
        <v>3.9999999999999994E-2</v>
      </c>
      <c r="M34" s="353">
        <f t="shared" si="0"/>
        <v>0.03</v>
      </c>
      <c r="N34" s="353">
        <f t="shared" si="0"/>
        <v>0.02</v>
      </c>
      <c r="O34" s="353">
        <f t="shared" si="0"/>
        <v>1.4999999999999999E-2</v>
      </c>
      <c r="P34" s="353">
        <f t="shared" si="0"/>
        <v>0.29999999999999993</v>
      </c>
      <c r="Q34" s="846" t="s">
        <v>582</v>
      </c>
      <c r="R34" s="846"/>
      <c r="S34" s="846"/>
      <c r="T34" s="846" t="s">
        <v>554</v>
      </c>
      <c r="U34" s="846"/>
      <c r="V34" s="846"/>
      <c r="W34" s="850" t="s">
        <v>134</v>
      </c>
      <c r="X34" s="851"/>
      <c r="Y34" s="851"/>
      <c r="Z34" s="852"/>
      <c r="AA34" s="846" t="s">
        <v>135</v>
      </c>
      <c r="AB34" s="846"/>
      <c r="AC34" s="846"/>
      <c r="AD34" s="847"/>
      <c r="AG34" s="87"/>
      <c r="AH34" s="87"/>
      <c r="AI34" s="87"/>
      <c r="AJ34" s="87"/>
      <c r="AK34" s="87"/>
      <c r="AL34" s="87"/>
      <c r="AM34" s="87"/>
      <c r="AN34" s="87"/>
      <c r="AO34" s="87"/>
    </row>
    <row r="35" spans="1:41" ht="97.35" customHeight="1" thickBot="1" x14ac:dyDescent="0.35">
      <c r="A35" s="844"/>
      <c r="B35" s="412"/>
      <c r="C35" s="314" t="s">
        <v>63</v>
      </c>
      <c r="D35" s="315">
        <f>D66</f>
        <v>0</v>
      </c>
      <c r="E35" s="315">
        <f t="shared" ref="E35:P35" si="1">E66</f>
        <v>9.0000000000000011E-3</v>
      </c>
      <c r="F35" s="315">
        <f t="shared" si="1"/>
        <v>1.6E-2</v>
      </c>
      <c r="G35" s="315">
        <f t="shared" si="1"/>
        <v>2.4999999999999998E-2</v>
      </c>
      <c r="H35" s="315">
        <f t="shared" si="1"/>
        <v>0.03</v>
      </c>
      <c r="I35" s="315">
        <f t="shared" si="1"/>
        <v>3.4999999999999996E-2</v>
      </c>
      <c r="J35" s="315">
        <f t="shared" si="1"/>
        <v>3.9999999999999994E-2</v>
      </c>
      <c r="K35" s="315">
        <f t="shared" si="1"/>
        <v>3.9999999999999994E-2</v>
      </c>
      <c r="L35" s="315">
        <f t="shared" si="1"/>
        <v>3.9999999999999994E-2</v>
      </c>
      <c r="M35" s="315">
        <f t="shared" si="1"/>
        <v>0.03</v>
      </c>
      <c r="N35" s="315">
        <f t="shared" si="1"/>
        <v>0</v>
      </c>
      <c r="O35" s="315">
        <f t="shared" si="1"/>
        <v>0</v>
      </c>
      <c r="P35" s="315">
        <f t="shared" si="1"/>
        <v>0.2649999999999999</v>
      </c>
      <c r="Q35" s="848"/>
      <c r="R35" s="848"/>
      <c r="S35" s="848"/>
      <c r="T35" s="848"/>
      <c r="U35" s="848"/>
      <c r="V35" s="848"/>
      <c r="W35" s="853"/>
      <c r="X35" s="854"/>
      <c r="Y35" s="854"/>
      <c r="Z35" s="855"/>
      <c r="AA35" s="848"/>
      <c r="AB35" s="848"/>
      <c r="AC35" s="848"/>
      <c r="AD35" s="849"/>
      <c r="AE35" s="49"/>
      <c r="AG35" s="87"/>
      <c r="AH35" s="87"/>
      <c r="AI35" s="87"/>
      <c r="AJ35" s="87"/>
      <c r="AK35" s="87"/>
      <c r="AL35" s="87"/>
      <c r="AM35" s="87"/>
      <c r="AN35" s="87"/>
      <c r="AO35" s="87"/>
    </row>
    <row r="36" spans="1:41" ht="26.1" customHeight="1" x14ac:dyDescent="0.3">
      <c r="A36" s="775" t="s">
        <v>64</v>
      </c>
      <c r="B36" s="777" t="s">
        <v>65</v>
      </c>
      <c r="C36" s="392" t="s">
        <v>66</v>
      </c>
      <c r="D36" s="396"/>
      <c r="E36" s="396"/>
      <c r="F36" s="396"/>
      <c r="G36" s="396"/>
      <c r="H36" s="396"/>
      <c r="I36" s="396"/>
      <c r="J36" s="396"/>
      <c r="K36" s="396"/>
      <c r="L36" s="396"/>
      <c r="M36" s="396"/>
      <c r="N36" s="396"/>
      <c r="O36" s="396"/>
      <c r="P36" s="445"/>
      <c r="Q36" s="392" t="s">
        <v>67</v>
      </c>
      <c r="R36" s="396"/>
      <c r="S36" s="396"/>
      <c r="T36" s="396"/>
      <c r="U36" s="396"/>
      <c r="V36" s="396"/>
      <c r="W36" s="396"/>
      <c r="X36" s="396"/>
      <c r="Y36" s="396"/>
      <c r="Z36" s="396"/>
      <c r="AA36" s="396"/>
      <c r="AB36" s="396"/>
      <c r="AC36" s="396"/>
      <c r="AD36" s="397"/>
      <c r="AG36" s="87"/>
      <c r="AH36" s="87"/>
      <c r="AI36" s="87"/>
      <c r="AJ36" s="87"/>
      <c r="AK36" s="87"/>
      <c r="AL36" s="87"/>
      <c r="AM36" s="87"/>
      <c r="AN36" s="87"/>
      <c r="AO36" s="87"/>
    </row>
    <row r="37" spans="1:41" ht="40.5" customHeight="1" thickBot="1" x14ac:dyDescent="0.35">
      <c r="A37" s="776"/>
      <c r="B37" s="778"/>
      <c r="C37" s="294" t="s">
        <v>68</v>
      </c>
      <c r="D37" s="317" t="s">
        <v>69</v>
      </c>
      <c r="E37" s="317" t="s">
        <v>70</v>
      </c>
      <c r="F37" s="317" t="s">
        <v>71</v>
      </c>
      <c r="G37" s="317" t="s">
        <v>72</v>
      </c>
      <c r="H37" s="317" t="s">
        <v>73</v>
      </c>
      <c r="I37" s="317" t="s">
        <v>74</v>
      </c>
      <c r="J37" s="317" t="s">
        <v>75</v>
      </c>
      <c r="K37" s="317" t="s">
        <v>76</v>
      </c>
      <c r="L37" s="317" t="s">
        <v>77</v>
      </c>
      <c r="M37" s="317" t="s">
        <v>78</v>
      </c>
      <c r="N37" s="317" t="s">
        <v>79</v>
      </c>
      <c r="O37" s="317" t="s">
        <v>80</v>
      </c>
      <c r="P37" s="295" t="s">
        <v>81</v>
      </c>
      <c r="Q37" s="393" t="s">
        <v>82</v>
      </c>
      <c r="R37" s="856"/>
      <c r="S37" s="856"/>
      <c r="T37" s="856"/>
      <c r="U37" s="856"/>
      <c r="V37" s="856"/>
      <c r="W37" s="856"/>
      <c r="X37" s="856"/>
      <c r="Y37" s="856"/>
      <c r="Z37" s="856"/>
      <c r="AA37" s="856"/>
      <c r="AB37" s="856"/>
      <c r="AC37" s="856"/>
      <c r="AD37" s="857"/>
      <c r="AG37" s="94"/>
      <c r="AH37" s="94"/>
      <c r="AI37" s="94"/>
      <c r="AJ37" s="94"/>
      <c r="AK37" s="94"/>
      <c r="AL37" s="94"/>
      <c r="AM37" s="94"/>
      <c r="AN37" s="94"/>
      <c r="AO37" s="94"/>
    </row>
    <row r="38" spans="1:41" ht="77.099999999999994" customHeight="1" x14ac:dyDescent="0.3">
      <c r="A38" s="798" t="s">
        <v>136</v>
      </c>
      <c r="B38" s="805">
        <v>0.03</v>
      </c>
      <c r="C38" s="334" t="s">
        <v>62</v>
      </c>
      <c r="D38" s="319">
        <v>0</v>
      </c>
      <c r="E38" s="319">
        <v>0.02</v>
      </c>
      <c r="F38" s="319">
        <v>0.03</v>
      </c>
      <c r="G38" s="319">
        <v>0.1</v>
      </c>
      <c r="H38" s="319">
        <v>0.1</v>
      </c>
      <c r="I38" s="319">
        <v>0.15</v>
      </c>
      <c r="J38" s="319">
        <v>0.15</v>
      </c>
      <c r="K38" s="319">
        <v>0.15</v>
      </c>
      <c r="L38" s="319">
        <v>0.15</v>
      </c>
      <c r="M38" s="319">
        <v>0.05</v>
      </c>
      <c r="N38" s="319">
        <v>0.05</v>
      </c>
      <c r="O38" s="319">
        <v>0.05</v>
      </c>
      <c r="P38" s="354">
        <f t="shared" ref="P38:P43" si="2">SUM(D38:O38)</f>
        <v>1.0000000000000002</v>
      </c>
      <c r="Q38" s="835" t="s">
        <v>555</v>
      </c>
      <c r="R38" s="836"/>
      <c r="S38" s="836"/>
      <c r="T38" s="836"/>
      <c r="U38" s="836"/>
      <c r="V38" s="836"/>
      <c r="W38" s="836"/>
      <c r="X38" s="836"/>
      <c r="Y38" s="836"/>
      <c r="Z38" s="836"/>
      <c r="AA38" s="836"/>
      <c r="AB38" s="836"/>
      <c r="AC38" s="836"/>
      <c r="AD38" s="837"/>
      <c r="AE38" s="97"/>
      <c r="AG38" s="98"/>
      <c r="AH38" s="98"/>
      <c r="AI38" s="98"/>
      <c r="AJ38" s="98"/>
      <c r="AK38" s="98"/>
      <c r="AL38" s="98"/>
      <c r="AM38" s="98"/>
      <c r="AN38" s="98"/>
      <c r="AO38" s="98"/>
    </row>
    <row r="39" spans="1:41" ht="77.099999999999994" customHeight="1" x14ac:dyDescent="0.3">
      <c r="A39" s="787"/>
      <c r="B39" s="805"/>
      <c r="C39" s="335" t="s">
        <v>63</v>
      </c>
      <c r="D39" s="322">
        <v>0</v>
      </c>
      <c r="E39" s="322">
        <v>0.02</v>
      </c>
      <c r="F39" s="322">
        <v>0.03</v>
      </c>
      <c r="G39" s="322">
        <v>0.1</v>
      </c>
      <c r="H39" s="322">
        <v>0.1</v>
      </c>
      <c r="I39" s="322">
        <v>0.15</v>
      </c>
      <c r="J39" s="322">
        <v>0.15</v>
      </c>
      <c r="K39" s="322">
        <v>0.15</v>
      </c>
      <c r="L39" s="322">
        <v>0.15</v>
      </c>
      <c r="M39" s="322">
        <v>0.05</v>
      </c>
      <c r="N39" s="322"/>
      <c r="O39" s="322"/>
      <c r="P39" s="326">
        <f t="shared" si="2"/>
        <v>0.90000000000000013</v>
      </c>
      <c r="Q39" s="838"/>
      <c r="R39" s="839"/>
      <c r="S39" s="839"/>
      <c r="T39" s="839"/>
      <c r="U39" s="839"/>
      <c r="V39" s="839"/>
      <c r="W39" s="839"/>
      <c r="X39" s="839"/>
      <c r="Y39" s="839"/>
      <c r="Z39" s="839"/>
      <c r="AA39" s="839"/>
      <c r="AB39" s="839"/>
      <c r="AC39" s="839"/>
      <c r="AD39" s="840"/>
      <c r="AE39" s="97"/>
    </row>
    <row r="40" spans="1:41" ht="77.099999999999994" customHeight="1" x14ac:dyDescent="0.3">
      <c r="A40" s="567" t="s">
        <v>137</v>
      </c>
      <c r="B40" s="866">
        <v>0.03</v>
      </c>
      <c r="C40" s="337" t="s">
        <v>62</v>
      </c>
      <c r="D40" s="325">
        <v>0</v>
      </c>
      <c r="E40" s="325">
        <v>0.02</v>
      </c>
      <c r="F40" s="325">
        <v>0.03</v>
      </c>
      <c r="G40" s="325">
        <v>0.05</v>
      </c>
      <c r="H40" s="325">
        <v>0.1</v>
      </c>
      <c r="I40" s="325">
        <v>0.1</v>
      </c>
      <c r="J40" s="325">
        <v>0.15</v>
      </c>
      <c r="K40" s="325">
        <v>0.15</v>
      </c>
      <c r="L40" s="325">
        <v>0.15</v>
      </c>
      <c r="M40" s="325">
        <v>0.15</v>
      </c>
      <c r="N40" s="325">
        <v>0.05</v>
      </c>
      <c r="O40" s="325">
        <v>0.05</v>
      </c>
      <c r="P40" s="355">
        <f t="shared" si="2"/>
        <v>1.0000000000000002</v>
      </c>
      <c r="Q40" s="858" t="s">
        <v>556</v>
      </c>
      <c r="R40" s="859"/>
      <c r="S40" s="859"/>
      <c r="T40" s="859"/>
      <c r="U40" s="859"/>
      <c r="V40" s="859"/>
      <c r="W40" s="859"/>
      <c r="X40" s="859"/>
      <c r="Y40" s="859"/>
      <c r="Z40" s="859"/>
      <c r="AA40" s="859"/>
      <c r="AB40" s="859"/>
      <c r="AC40" s="859"/>
      <c r="AD40" s="860"/>
      <c r="AE40" s="97"/>
    </row>
    <row r="41" spans="1:41" ht="77.099999999999994" customHeight="1" x14ac:dyDescent="0.3">
      <c r="A41" s="567"/>
      <c r="B41" s="785"/>
      <c r="C41" s="335" t="s">
        <v>63</v>
      </c>
      <c r="D41" s="322">
        <v>0</v>
      </c>
      <c r="E41" s="322">
        <v>0.02</v>
      </c>
      <c r="F41" s="322">
        <v>0.03</v>
      </c>
      <c r="G41" s="322">
        <v>0.05</v>
      </c>
      <c r="H41" s="322">
        <v>0.1</v>
      </c>
      <c r="I41" s="322">
        <v>0.1</v>
      </c>
      <c r="J41" s="322">
        <v>0.15</v>
      </c>
      <c r="K41" s="322">
        <v>0.15</v>
      </c>
      <c r="L41" s="322">
        <v>0.15</v>
      </c>
      <c r="M41" s="322">
        <v>0.15</v>
      </c>
      <c r="N41" s="322"/>
      <c r="O41" s="322"/>
      <c r="P41" s="326">
        <f t="shared" si="2"/>
        <v>0.90000000000000013</v>
      </c>
      <c r="Q41" s="858"/>
      <c r="R41" s="859"/>
      <c r="S41" s="859"/>
      <c r="T41" s="859"/>
      <c r="U41" s="859"/>
      <c r="V41" s="859"/>
      <c r="W41" s="859"/>
      <c r="X41" s="859"/>
      <c r="Y41" s="859"/>
      <c r="Z41" s="859"/>
      <c r="AA41" s="859"/>
      <c r="AB41" s="859"/>
      <c r="AC41" s="859"/>
      <c r="AD41" s="860"/>
      <c r="AE41" s="97"/>
    </row>
    <row r="42" spans="1:41" ht="77.099999999999994" customHeight="1" x14ac:dyDescent="0.3">
      <c r="A42" s="861" t="s">
        <v>138</v>
      </c>
      <c r="B42" s="785">
        <v>0.03</v>
      </c>
      <c r="C42" s="334" t="s">
        <v>62</v>
      </c>
      <c r="D42" s="319">
        <v>0</v>
      </c>
      <c r="E42" s="319">
        <v>0.05</v>
      </c>
      <c r="F42" s="319">
        <v>0.1</v>
      </c>
      <c r="G42" s="319">
        <v>0.1</v>
      </c>
      <c r="H42" s="319">
        <v>0.1</v>
      </c>
      <c r="I42" s="319">
        <v>0.1</v>
      </c>
      <c r="J42" s="319">
        <v>0.1</v>
      </c>
      <c r="K42" s="319">
        <v>0.1</v>
      </c>
      <c r="L42" s="319">
        <v>0.1</v>
      </c>
      <c r="M42" s="319">
        <v>0.1</v>
      </c>
      <c r="N42" s="319">
        <v>0.1</v>
      </c>
      <c r="O42" s="319">
        <v>0.05</v>
      </c>
      <c r="P42" s="354">
        <f t="shared" si="2"/>
        <v>0.99999999999999989</v>
      </c>
      <c r="Q42" s="838" t="s">
        <v>557</v>
      </c>
      <c r="R42" s="839"/>
      <c r="S42" s="839"/>
      <c r="T42" s="839"/>
      <c r="U42" s="839"/>
      <c r="V42" s="839"/>
      <c r="W42" s="839"/>
      <c r="X42" s="839"/>
      <c r="Y42" s="839"/>
      <c r="Z42" s="839"/>
      <c r="AA42" s="839"/>
      <c r="AB42" s="839"/>
      <c r="AC42" s="839"/>
      <c r="AD42" s="840"/>
      <c r="AE42" s="97"/>
    </row>
    <row r="43" spans="1:41" ht="77.099999999999994" customHeight="1" thickBot="1" x14ac:dyDescent="0.35">
      <c r="A43" s="862"/>
      <c r="B43" s="757"/>
      <c r="C43" s="340" t="s">
        <v>63</v>
      </c>
      <c r="D43" s="327">
        <v>0</v>
      </c>
      <c r="E43" s="327">
        <v>0.05</v>
      </c>
      <c r="F43" s="327">
        <v>0.1</v>
      </c>
      <c r="G43" s="327">
        <v>0.1</v>
      </c>
      <c r="H43" s="327">
        <v>0.1</v>
      </c>
      <c r="I43" s="327">
        <v>0.1</v>
      </c>
      <c r="J43" s="327">
        <v>0.1</v>
      </c>
      <c r="K43" s="327">
        <v>0.1</v>
      </c>
      <c r="L43" s="328">
        <v>0.1</v>
      </c>
      <c r="M43" s="328">
        <v>0.1</v>
      </c>
      <c r="N43" s="328"/>
      <c r="O43" s="328"/>
      <c r="P43" s="356">
        <f t="shared" si="2"/>
        <v>0.84999999999999987</v>
      </c>
      <c r="Q43" s="863"/>
      <c r="R43" s="864"/>
      <c r="S43" s="864"/>
      <c r="T43" s="864"/>
      <c r="U43" s="864"/>
      <c r="V43" s="864"/>
      <c r="W43" s="864"/>
      <c r="X43" s="864"/>
      <c r="Y43" s="864"/>
      <c r="Z43" s="864"/>
      <c r="AA43" s="864"/>
      <c r="AB43" s="864"/>
      <c r="AC43" s="864"/>
      <c r="AD43" s="865"/>
      <c r="AE43" s="97"/>
    </row>
    <row r="44" spans="1:41" x14ac:dyDescent="0.3">
      <c r="A44" s="194"/>
      <c r="Q44" s="194"/>
      <c r="R44" s="194"/>
      <c r="S44" s="194"/>
      <c r="T44" s="194"/>
      <c r="U44" s="194"/>
      <c r="V44" s="194"/>
      <c r="W44" s="194"/>
      <c r="X44" s="194"/>
      <c r="Y44" s="194"/>
      <c r="Z44" s="194"/>
      <c r="AA44" s="194"/>
      <c r="AB44" s="194"/>
      <c r="AC44" s="194"/>
      <c r="AD44" s="194"/>
    </row>
    <row r="45" spans="1:41" x14ac:dyDescent="0.3">
      <c r="A45" s="194"/>
      <c r="Q45" s="194"/>
      <c r="R45" s="194"/>
      <c r="S45" s="194"/>
      <c r="T45" s="194"/>
      <c r="U45" s="194"/>
      <c r="V45" s="194"/>
      <c r="W45" s="194"/>
      <c r="X45" s="194"/>
      <c r="Y45" s="194"/>
      <c r="Z45" s="194"/>
      <c r="AA45" s="194"/>
      <c r="AB45" s="194"/>
      <c r="AC45" s="194"/>
      <c r="AD45" s="194"/>
    </row>
    <row r="46" spans="1:41" x14ac:dyDescent="0.3">
      <c r="A46" s="194"/>
      <c r="Q46" s="194"/>
      <c r="R46" s="194"/>
      <c r="S46" s="194"/>
      <c r="T46" s="194"/>
      <c r="U46" s="194"/>
      <c r="V46" s="194"/>
      <c r="W46" s="194"/>
      <c r="X46" s="194"/>
      <c r="Y46" s="194"/>
      <c r="Z46" s="194"/>
      <c r="AA46" s="194"/>
      <c r="AB46" s="194"/>
      <c r="AC46" s="194"/>
      <c r="AD46" s="194"/>
    </row>
    <row r="47" spans="1:41" x14ac:dyDescent="0.3">
      <c r="A47" s="194"/>
      <c r="Q47" s="194"/>
      <c r="R47" s="194"/>
      <c r="S47" s="194"/>
      <c r="T47" s="194"/>
      <c r="U47" s="194"/>
      <c r="V47" s="194"/>
      <c r="W47" s="194"/>
      <c r="X47" s="194"/>
      <c r="Y47" s="194"/>
      <c r="Z47" s="194"/>
      <c r="AA47" s="194"/>
      <c r="AB47" s="194"/>
      <c r="AC47" s="194"/>
      <c r="AD47" s="194"/>
    </row>
    <row r="48" spans="1:41" x14ac:dyDescent="0.3">
      <c r="A48" s="194"/>
      <c r="Q48" s="194"/>
      <c r="R48" s="194"/>
      <c r="S48" s="194"/>
      <c r="T48" s="194"/>
      <c r="U48" s="194"/>
      <c r="V48" s="194"/>
      <c r="W48" s="194"/>
      <c r="X48" s="194"/>
      <c r="Y48" s="194"/>
      <c r="Z48" s="194"/>
      <c r="AA48" s="194"/>
      <c r="AB48" s="194"/>
      <c r="AC48" s="194"/>
      <c r="AD48" s="194"/>
    </row>
    <row r="49" spans="1:30" x14ac:dyDescent="0.3">
      <c r="A49" s="194"/>
      <c r="Q49" s="194"/>
      <c r="R49" s="194"/>
      <c r="S49" s="194"/>
      <c r="T49" s="194"/>
      <c r="U49" s="194"/>
      <c r="V49" s="194"/>
      <c r="W49" s="194"/>
      <c r="X49" s="194"/>
      <c r="Y49" s="194"/>
      <c r="Z49" s="194"/>
      <c r="AA49" s="194"/>
      <c r="AB49" s="194"/>
      <c r="AC49" s="194"/>
      <c r="AD49" s="194"/>
    </row>
    <row r="50" spans="1:30" x14ac:dyDescent="0.3">
      <c r="A50" s="194"/>
      <c r="Q50" s="194"/>
      <c r="R50" s="194"/>
      <c r="S50" s="194"/>
      <c r="T50" s="194"/>
      <c r="U50" s="194"/>
      <c r="V50" s="194"/>
      <c r="W50" s="194"/>
      <c r="X50" s="194"/>
      <c r="Y50" s="194"/>
      <c r="Z50" s="194"/>
      <c r="AA50" s="194"/>
      <c r="AB50" s="194"/>
      <c r="AC50" s="194"/>
      <c r="AD50" s="194"/>
    </row>
    <row r="51" spans="1:30" x14ac:dyDescent="0.3">
      <c r="A51" s="194"/>
      <c r="Q51" s="194"/>
      <c r="R51" s="194"/>
      <c r="S51" s="194"/>
      <c r="T51" s="194"/>
      <c r="U51" s="194"/>
      <c r="V51" s="194"/>
      <c r="W51" s="194"/>
      <c r="X51" s="194"/>
      <c r="Y51" s="194"/>
      <c r="Z51" s="194"/>
      <c r="AA51" s="194"/>
      <c r="AB51" s="194"/>
      <c r="AC51" s="194"/>
      <c r="AD51" s="194"/>
    </row>
    <row r="52" spans="1:30" x14ac:dyDescent="0.3">
      <c r="A52" s="194"/>
      <c r="Q52" s="194"/>
      <c r="R52" s="194"/>
      <c r="S52" s="194"/>
      <c r="T52" s="194"/>
      <c r="U52" s="194"/>
      <c r="V52" s="194"/>
      <c r="W52" s="194"/>
      <c r="X52" s="194"/>
      <c r="Y52" s="194"/>
      <c r="Z52" s="194"/>
      <c r="AA52" s="194"/>
      <c r="AB52" s="194"/>
      <c r="AC52" s="194"/>
      <c r="AD52" s="194"/>
    </row>
    <row r="53" spans="1:30" x14ac:dyDescent="0.3">
      <c r="A53" s="194"/>
      <c r="Q53" s="194"/>
      <c r="R53" s="194"/>
      <c r="S53" s="194"/>
      <c r="T53" s="194"/>
      <c r="U53" s="194"/>
      <c r="V53" s="194"/>
      <c r="W53" s="194"/>
      <c r="X53" s="194"/>
      <c r="Y53" s="194"/>
      <c r="Z53" s="194"/>
      <c r="AA53" s="194"/>
      <c r="AB53" s="194"/>
      <c r="AC53" s="194"/>
      <c r="AD53" s="194"/>
    </row>
    <row r="54" spans="1:30" x14ac:dyDescent="0.3">
      <c r="A54" s="194"/>
      <c r="Q54" s="194"/>
      <c r="R54" s="194"/>
      <c r="S54" s="194"/>
      <c r="T54" s="194"/>
      <c r="U54" s="194"/>
      <c r="V54" s="194"/>
      <c r="W54" s="194"/>
      <c r="X54" s="194"/>
      <c r="Y54" s="194"/>
      <c r="Z54" s="194"/>
      <c r="AA54" s="194"/>
      <c r="AB54" s="194"/>
      <c r="AC54" s="194"/>
      <c r="AD54" s="194"/>
    </row>
    <row r="55" spans="1:30" x14ac:dyDescent="0.3">
      <c r="A55" s="558" t="s">
        <v>90</v>
      </c>
      <c r="B55" s="560" t="s">
        <v>65</v>
      </c>
      <c r="C55" s="562" t="s">
        <v>66</v>
      </c>
      <c r="D55" s="794"/>
      <c r="E55" s="794"/>
      <c r="F55" s="794"/>
      <c r="G55" s="794"/>
      <c r="H55" s="794"/>
      <c r="I55" s="794"/>
      <c r="J55" s="794"/>
      <c r="K55" s="794"/>
      <c r="L55" s="794"/>
      <c r="M55" s="794"/>
      <c r="N55" s="794"/>
      <c r="O55" s="794"/>
      <c r="P55" s="795"/>
      <c r="Q55" s="195"/>
      <c r="R55" s="195"/>
      <c r="S55" s="194"/>
      <c r="T55" s="194"/>
      <c r="U55" s="194"/>
      <c r="V55" s="194"/>
      <c r="W55" s="194"/>
      <c r="X55" s="194"/>
      <c r="Y55" s="194"/>
      <c r="Z55" s="194"/>
      <c r="AA55" s="194"/>
      <c r="AB55" s="194"/>
      <c r="AC55" s="194"/>
      <c r="AD55" s="194"/>
    </row>
    <row r="56" spans="1:30" x14ac:dyDescent="0.3">
      <c r="A56" s="792"/>
      <c r="B56" s="793"/>
      <c r="C56" s="177" t="s">
        <v>68</v>
      </c>
      <c r="D56" s="177" t="s">
        <v>69</v>
      </c>
      <c r="E56" s="177" t="s">
        <v>70</v>
      </c>
      <c r="F56" s="177" t="s">
        <v>71</v>
      </c>
      <c r="G56" s="177" t="s">
        <v>72</v>
      </c>
      <c r="H56" s="177" t="s">
        <v>73</v>
      </c>
      <c r="I56" s="177" t="s">
        <v>74</v>
      </c>
      <c r="J56" s="177" t="s">
        <v>75</v>
      </c>
      <c r="K56" s="177" t="s">
        <v>76</v>
      </c>
      <c r="L56" s="177" t="s">
        <v>77</v>
      </c>
      <c r="M56" s="177" t="s">
        <v>78</v>
      </c>
      <c r="N56" s="177" t="s">
        <v>79</v>
      </c>
      <c r="O56" s="177" t="s">
        <v>80</v>
      </c>
      <c r="P56" s="177" t="s">
        <v>81</v>
      </c>
      <c r="Q56" s="195"/>
      <c r="R56" s="195"/>
      <c r="S56" s="194"/>
      <c r="T56" s="194"/>
      <c r="U56" s="194"/>
      <c r="V56" s="194"/>
      <c r="W56" s="194"/>
      <c r="X56" s="194"/>
      <c r="Y56" s="194"/>
      <c r="Z56" s="194"/>
      <c r="AA56" s="194"/>
      <c r="AB56" s="194"/>
      <c r="AC56" s="194"/>
      <c r="AD56" s="194"/>
    </row>
    <row r="57" spans="1:30" x14ac:dyDescent="0.3">
      <c r="A57" s="546" t="str">
        <f>A38</f>
        <v>21.  Promover los apoyos de acceso a educación superior a través del acompañamiento, preparación (PRE ICFES) y financiación del Examen Saber 11°  (ICFES).</v>
      </c>
      <c r="B57" s="565">
        <f>B38</f>
        <v>0.03</v>
      </c>
      <c r="C57" s="176" t="s">
        <v>62</v>
      </c>
      <c r="D57" s="175">
        <f>D38*$B$38/$P$38</f>
        <v>0</v>
      </c>
      <c r="E57" s="175">
        <f t="shared" ref="D57:O58" si="3">E38*$B$38/$P$38</f>
        <v>5.9999999999999984E-4</v>
      </c>
      <c r="F57" s="175">
        <f t="shared" si="3"/>
        <v>8.9999999999999976E-4</v>
      </c>
      <c r="G57" s="175">
        <f t="shared" si="3"/>
        <v>2.9999999999999992E-3</v>
      </c>
      <c r="H57" s="175">
        <f t="shared" si="3"/>
        <v>2.9999999999999992E-3</v>
      </c>
      <c r="I57" s="175">
        <f t="shared" si="3"/>
        <v>4.4999999999999988E-3</v>
      </c>
      <c r="J57" s="175">
        <f t="shared" si="3"/>
        <v>4.4999999999999988E-3</v>
      </c>
      <c r="K57" s="175">
        <f t="shared" si="3"/>
        <v>4.4999999999999988E-3</v>
      </c>
      <c r="L57" s="175">
        <f t="shared" si="3"/>
        <v>4.4999999999999988E-3</v>
      </c>
      <c r="M57" s="175">
        <f t="shared" si="3"/>
        <v>1.4999999999999996E-3</v>
      </c>
      <c r="N57" s="175">
        <f t="shared" si="3"/>
        <v>1.4999999999999996E-3</v>
      </c>
      <c r="O57" s="175">
        <f t="shared" si="3"/>
        <v>1.4999999999999996E-3</v>
      </c>
      <c r="P57" s="174">
        <f t="shared" ref="P57:P62" si="4">SUM(D57:O57)</f>
        <v>2.9999999999999992E-2</v>
      </c>
      <c r="Q57" s="197">
        <v>0.05</v>
      </c>
      <c r="R57" s="198">
        <f t="shared" ref="R57:R65" si="5">+P57-Q57</f>
        <v>-2.0000000000000011E-2</v>
      </c>
      <c r="S57" s="194"/>
      <c r="T57" s="194"/>
      <c r="U57" s="194"/>
      <c r="V57" s="194"/>
      <c r="W57" s="194"/>
      <c r="X57" s="194"/>
      <c r="Y57" s="194"/>
      <c r="Z57" s="194"/>
      <c r="AA57" s="194"/>
      <c r="AB57" s="194"/>
      <c r="AC57" s="194"/>
      <c r="AD57" s="194"/>
    </row>
    <row r="58" spans="1:30" x14ac:dyDescent="0.3">
      <c r="A58" s="547"/>
      <c r="B58" s="824"/>
      <c r="C58" s="173" t="s">
        <v>63</v>
      </c>
      <c r="D58" s="172">
        <f t="shared" si="3"/>
        <v>0</v>
      </c>
      <c r="E58" s="172">
        <f t="shared" si="3"/>
        <v>5.9999999999999984E-4</v>
      </c>
      <c r="F58" s="172">
        <f t="shared" si="3"/>
        <v>8.9999999999999976E-4</v>
      </c>
      <c r="G58" s="172">
        <f t="shared" si="3"/>
        <v>2.9999999999999992E-3</v>
      </c>
      <c r="H58" s="172">
        <f t="shared" si="3"/>
        <v>2.9999999999999992E-3</v>
      </c>
      <c r="I58" s="172">
        <f t="shared" si="3"/>
        <v>4.4999999999999988E-3</v>
      </c>
      <c r="J58" s="172">
        <f t="shared" si="3"/>
        <v>4.4999999999999988E-3</v>
      </c>
      <c r="K58" s="172">
        <f t="shared" si="3"/>
        <v>4.4999999999999988E-3</v>
      </c>
      <c r="L58" s="172">
        <f t="shared" si="3"/>
        <v>4.4999999999999988E-3</v>
      </c>
      <c r="M58" s="172">
        <f t="shared" si="3"/>
        <v>1.4999999999999996E-3</v>
      </c>
      <c r="N58" s="172">
        <f t="shared" si="3"/>
        <v>0</v>
      </c>
      <c r="O58" s="172">
        <f t="shared" si="3"/>
        <v>0</v>
      </c>
      <c r="P58" s="171">
        <f t="shared" si="4"/>
        <v>2.6999999999999989E-2</v>
      </c>
      <c r="Q58" s="199">
        <f>+P58</f>
        <v>2.6999999999999989E-2</v>
      </c>
      <c r="R58" s="198">
        <f t="shared" si="5"/>
        <v>0</v>
      </c>
      <c r="S58" s="194"/>
      <c r="T58" s="194"/>
      <c r="U58" s="194"/>
      <c r="V58" s="194"/>
      <c r="W58" s="194"/>
      <c r="X58" s="194"/>
      <c r="Y58" s="194"/>
      <c r="Z58" s="194"/>
      <c r="AA58" s="194"/>
      <c r="AB58" s="194"/>
      <c r="AC58" s="194"/>
      <c r="AD58" s="194"/>
    </row>
    <row r="59" spans="1:30" x14ac:dyDescent="0.3">
      <c r="A59" s="546" t="str">
        <f>A40</f>
        <v>22. Promover la vinculación de las mujeres en toda su diversidad a la educación superior a través de ferias universitarias, y la divulgación/socialización de herramientas formativas (manuales, documentos, caja de herramientas) con diversas Universidades e Instituciones educativas que permitan facilitar el acceso, permanencia y culminación de los estudios superiores.</v>
      </c>
      <c r="B59" s="548">
        <f>B40</f>
        <v>0.03</v>
      </c>
      <c r="C59" s="176" t="s">
        <v>62</v>
      </c>
      <c r="D59" s="175">
        <f t="shared" ref="D59:O60" si="6">D40*$B$40/$P$40</f>
        <v>0</v>
      </c>
      <c r="E59" s="175">
        <f t="shared" si="6"/>
        <v>5.9999999999999984E-4</v>
      </c>
      <c r="F59" s="175">
        <f t="shared" si="6"/>
        <v>8.9999999999999976E-4</v>
      </c>
      <c r="G59" s="175">
        <f t="shared" si="6"/>
        <v>1.4999999999999996E-3</v>
      </c>
      <c r="H59" s="175">
        <f t="shared" si="6"/>
        <v>2.9999999999999992E-3</v>
      </c>
      <c r="I59" s="175">
        <f t="shared" si="6"/>
        <v>2.9999999999999992E-3</v>
      </c>
      <c r="J59" s="175">
        <f t="shared" si="6"/>
        <v>4.4999999999999988E-3</v>
      </c>
      <c r="K59" s="175">
        <f t="shared" si="6"/>
        <v>4.4999999999999988E-3</v>
      </c>
      <c r="L59" s="175">
        <f t="shared" si="6"/>
        <v>4.4999999999999988E-3</v>
      </c>
      <c r="M59" s="175">
        <f t="shared" si="6"/>
        <v>4.4999999999999988E-3</v>
      </c>
      <c r="N59" s="175">
        <f t="shared" si="6"/>
        <v>1.4999999999999996E-3</v>
      </c>
      <c r="O59" s="175">
        <f t="shared" si="6"/>
        <v>1.4999999999999996E-3</v>
      </c>
      <c r="P59" s="174">
        <f t="shared" si="4"/>
        <v>2.9999999999999992E-2</v>
      </c>
      <c r="Q59" s="197">
        <v>2.5000000000000001E-2</v>
      </c>
      <c r="R59" s="198">
        <f t="shared" si="5"/>
        <v>4.9999999999999906E-3</v>
      </c>
      <c r="S59" s="194"/>
      <c r="T59" s="194"/>
      <c r="U59" s="194"/>
      <c r="V59" s="194"/>
      <c r="W59" s="194"/>
      <c r="X59" s="194"/>
      <c r="Y59" s="194"/>
      <c r="Z59" s="194"/>
      <c r="AA59" s="194"/>
      <c r="AB59" s="194"/>
      <c r="AC59" s="194"/>
      <c r="AD59" s="194"/>
    </row>
    <row r="60" spans="1:30" x14ac:dyDescent="0.3">
      <c r="A60" s="867"/>
      <c r="B60" s="828"/>
      <c r="C60" s="173" t="s">
        <v>63</v>
      </c>
      <c r="D60" s="172">
        <f t="shared" si="6"/>
        <v>0</v>
      </c>
      <c r="E60" s="172">
        <f t="shared" si="6"/>
        <v>5.9999999999999984E-4</v>
      </c>
      <c r="F60" s="172">
        <f t="shared" si="6"/>
        <v>8.9999999999999976E-4</v>
      </c>
      <c r="G60" s="172">
        <f t="shared" si="6"/>
        <v>1.4999999999999996E-3</v>
      </c>
      <c r="H60" s="172">
        <f t="shared" si="6"/>
        <v>2.9999999999999992E-3</v>
      </c>
      <c r="I60" s="172">
        <f t="shared" si="6"/>
        <v>2.9999999999999992E-3</v>
      </c>
      <c r="J60" s="172">
        <f t="shared" si="6"/>
        <v>4.4999999999999988E-3</v>
      </c>
      <c r="K60" s="172">
        <f t="shared" si="6"/>
        <v>4.4999999999999988E-3</v>
      </c>
      <c r="L60" s="172">
        <f t="shared" si="6"/>
        <v>4.4999999999999988E-3</v>
      </c>
      <c r="M60" s="172">
        <f t="shared" si="6"/>
        <v>4.4999999999999988E-3</v>
      </c>
      <c r="N60" s="172">
        <f t="shared" si="6"/>
        <v>0</v>
      </c>
      <c r="O60" s="172">
        <f t="shared" si="6"/>
        <v>0</v>
      </c>
      <c r="P60" s="171">
        <f t="shared" si="4"/>
        <v>2.6999999999999989E-2</v>
      </c>
      <c r="Q60" s="199">
        <f>+P60</f>
        <v>2.6999999999999989E-2</v>
      </c>
      <c r="R60" s="198">
        <f t="shared" si="5"/>
        <v>0</v>
      </c>
      <c r="S60" s="194"/>
      <c r="T60" s="194"/>
      <c r="U60" s="194"/>
      <c r="V60" s="194"/>
      <c r="W60" s="194"/>
      <c r="X60" s="194"/>
      <c r="Y60" s="194"/>
      <c r="Z60" s="194"/>
      <c r="AA60" s="194"/>
      <c r="AB60" s="194"/>
      <c r="AC60" s="194"/>
      <c r="AD60" s="194"/>
    </row>
    <row r="61" spans="1:30" x14ac:dyDescent="0.3">
      <c r="A61" s="546" t="str">
        <f>A42</f>
        <v xml:space="preserve">23. Promover y acompañar a las mujeres en toda su diversidad en las estrategias de educación flexible y en los procesos de vinculación a la formación complementaria (cursos cortos) a través de alianzas interinstitucionales públicas y privadas. </v>
      </c>
      <c r="B61" s="548">
        <f>B42</f>
        <v>0.03</v>
      </c>
      <c r="C61" s="176" t="s">
        <v>62</v>
      </c>
      <c r="D61" s="175">
        <f t="shared" ref="D61:O62" si="7">D42*$B$42/$P$42</f>
        <v>0</v>
      </c>
      <c r="E61" s="175">
        <f t="shared" si="7"/>
        <v>1.5000000000000002E-3</v>
      </c>
      <c r="F61" s="175">
        <f t="shared" si="7"/>
        <v>3.0000000000000005E-3</v>
      </c>
      <c r="G61" s="175">
        <f t="shared" si="7"/>
        <v>3.0000000000000005E-3</v>
      </c>
      <c r="H61" s="175">
        <f t="shared" si="7"/>
        <v>3.0000000000000005E-3</v>
      </c>
      <c r="I61" s="175">
        <f t="shared" si="7"/>
        <v>3.0000000000000005E-3</v>
      </c>
      <c r="J61" s="175">
        <f t="shared" si="7"/>
        <v>3.0000000000000005E-3</v>
      </c>
      <c r="K61" s="175">
        <f t="shared" si="7"/>
        <v>3.0000000000000005E-3</v>
      </c>
      <c r="L61" s="175">
        <f t="shared" si="7"/>
        <v>3.0000000000000005E-3</v>
      </c>
      <c r="M61" s="175">
        <f t="shared" si="7"/>
        <v>3.0000000000000005E-3</v>
      </c>
      <c r="N61" s="175">
        <f t="shared" si="7"/>
        <v>3.0000000000000005E-3</v>
      </c>
      <c r="O61" s="175">
        <f t="shared" si="7"/>
        <v>1.5000000000000002E-3</v>
      </c>
      <c r="P61" s="174">
        <f t="shared" si="4"/>
        <v>3.0000000000000002E-2</v>
      </c>
      <c r="Q61" s="197">
        <v>2.5000000000000001E-2</v>
      </c>
      <c r="R61" s="198">
        <f t="shared" si="5"/>
        <v>5.000000000000001E-3</v>
      </c>
      <c r="S61" s="194"/>
      <c r="T61" s="194"/>
      <c r="U61" s="194"/>
      <c r="V61" s="194"/>
      <c r="W61" s="194"/>
      <c r="X61" s="194"/>
      <c r="Y61" s="194"/>
      <c r="Z61" s="194"/>
      <c r="AA61" s="194"/>
      <c r="AB61" s="194"/>
      <c r="AC61" s="194"/>
      <c r="AD61" s="194"/>
    </row>
    <row r="62" spans="1:30" x14ac:dyDescent="0.3">
      <c r="A62" s="867"/>
      <c r="B62" s="828"/>
      <c r="C62" s="173" t="s">
        <v>63</v>
      </c>
      <c r="D62" s="172">
        <f t="shared" si="7"/>
        <v>0</v>
      </c>
      <c r="E62" s="172">
        <f t="shared" si="7"/>
        <v>1.5000000000000002E-3</v>
      </c>
      <c r="F62" s="172">
        <f t="shared" si="7"/>
        <v>3.0000000000000005E-3</v>
      </c>
      <c r="G62" s="172">
        <f t="shared" si="7"/>
        <v>3.0000000000000005E-3</v>
      </c>
      <c r="H62" s="172">
        <f t="shared" si="7"/>
        <v>3.0000000000000005E-3</v>
      </c>
      <c r="I62" s="172">
        <f t="shared" si="7"/>
        <v>3.0000000000000005E-3</v>
      </c>
      <c r="J62" s="172">
        <f t="shared" si="7"/>
        <v>3.0000000000000005E-3</v>
      </c>
      <c r="K62" s="172">
        <f t="shared" si="7"/>
        <v>3.0000000000000005E-3</v>
      </c>
      <c r="L62" s="172">
        <f t="shared" si="7"/>
        <v>3.0000000000000005E-3</v>
      </c>
      <c r="M62" s="172">
        <f t="shared" si="7"/>
        <v>3.0000000000000005E-3</v>
      </c>
      <c r="N62" s="172">
        <f t="shared" si="7"/>
        <v>0</v>
      </c>
      <c r="O62" s="172">
        <f t="shared" si="7"/>
        <v>0</v>
      </c>
      <c r="P62" s="171">
        <f t="shared" si="4"/>
        <v>2.5500000000000002E-2</v>
      </c>
      <c r="Q62" s="199">
        <f>+P62</f>
        <v>2.5500000000000002E-2</v>
      </c>
      <c r="R62" s="198">
        <f t="shared" si="5"/>
        <v>0</v>
      </c>
      <c r="S62" s="194"/>
      <c r="T62" s="194"/>
      <c r="U62" s="194"/>
      <c r="V62" s="194"/>
      <c r="W62" s="194"/>
      <c r="X62" s="194"/>
      <c r="Y62" s="194"/>
      <c r="Z62" s="194"/>
      <c r="AA62" s="194"/>
      <c r="AB62" s="194"/>
      <c r="AC62" s="194"/>
      <c r="AD62" s="194"/>
    </row>
    <row r="63" spans="1:30" x14ac:dyDescent="0.3">
      <c r="A63" s="182"/>
      <c r="B63" s="183"/>
      <c r="C63" s="184"/>
      <c r="D63" s="175"/>
      <c r="E63" s="175"/>
      <c r="F63" s="175"/>
      <c r="G63" s="175"/>
      <c r="H63" s="175"/>
      <c r="I63" s="175"/>
      <c r="J63" s="175"/>
      <c r="K63" s="175"/>
      <c r="L63" s="175"/>
      <c r="M63" s="175"/>
      <c r="N63" s="175"/>
      <c r="O63" s="175"/>
      <c r="P63" s="185"/>
      <c r="Q63" s="197"/>
      <c r="R63" s="198"/>
      <c r="S63" s="194"/>
      <c r="T63" s="194"/>
      <c r="U63" s="194"/>
      <c r="V63" s="194"/>
      <c r="W63" s="194"/>
      <c r="X63" s="194"/>
      <c r="Y63" s="194"/>
      <c r="Z63" s="194"/>
      <c r="AA63" s="194"/>
      <c r="AB63" s="194"/>
      <c r="AC63" s="194"/>
      <c r="AD63" s="194"/>
    </row>
    <row r="64" spans="1:30" x14ac:dyDescent="0.3">
      <c r="A64" s="186"/>
      <c r="B64" s="187"/>
      <c r="C64" s="184"/>
      <c r="D64" s="168"/>
      <c r="E64" s="168"/>
      <c r="F64" s="168"/>
      <c r="G64" s="168"/>
      <c r="H64" s="168"/>
      <c r="I64" s="168"/>
      <c r="J64" s="168"/>
      <c r="K64" s="168"/>
      <c r="L64" s="168"/>
      <c r="M64" s="168"/>
      <c r="N64" s="168"/>
      <c r="O64" s="168"/>
      <c r="P64" s="185"/>
      <c r="Q64" s="199"/>
      <c r="R64" s="198"/>
      <c r="S64" s="194"/>
      <c r="T64" s="194"/>
      <c r="U64" s="194"/>
      <c r="V64" s="194"/>
      <c r="W64" s="194"/>
      <c r="X64" s="194"/>
      <c r="Y64" s="194"/>
      <c r="Z64" s="194"/>
      <c r="AA64" s="194"/>
      <c r="AB64" s="194"/>
      <c r="AC64" s="194"/>
      <c r="AD64" s="194"/>
    </row>
    <row r="65" spans="1:30" x14ac:dyDescent="0.3">
      <c r="A65" s="195"/>
      <c r="B65" s="169"/>
      <c r="C65" s="170"/>
      <c r="D65" s="165">
        <f>D58+D60+D62</f>
        <v>0</v>
      </c>
      <c r="E65" s="165">
        <f t="shared" ref="E65:O65" si="8">E58+E60+E62</f>
        <v>2.7000000000000001E-3</v>
      </c>
      <c r="F65" s="165">
        <f t="shared" si="8"/>
        <v>4.8000000000000004E-3</v>
      </c>
      <c r="G65" s="165">
        <f t="shared" si="8"/>
        <v>7.4999999999999997E-3</v>
      </c>
      <c r="H65" s="165">
        <f t="shared" si="8"/>
        <v>8.9999999999999993E-3</v>
      </c>
      <c r="I65" s="165">
        <f t="shared" si="8"/>
        <v>1.0499999999999999E-2</v>
      </c>
      <c r="J65" s="165">
        <f t="shared" si="8"/>
        <v>1.1999999999999999E-2</v>
      </c>
      <c r="K65" s="165">
        <f t="shared" si="8"/>
        <v>1.1999999999999999E-2</v>
      </c>
      <c r="L65" s="165">
        <f t="shared" si="8"/>
        <v>1.1999999999999999E-2</v>
      </c>
      <c r="M65" s="165">
        <f t="shared" si="8"/>
        <v>8.9999999999999993E-3</v>
      </c>
      <c r="N65" s="165">
        <f t="shared" si="8"/>
        <v>0</v>
      </c>
      <c r="O65" s="165">
        <f t="shared" si="8"/>
        <v>0</v>
      </c>
      <c r="P65" s="165">
        <f>P58+P60+P62</f>
        <v>7.9499999999999987E-2</v>
      </c>
      <c r="Q65" s="195"/>
      <c r="R65" s="198">
        <f t="shared" si="5"/>
        <v>7.9499999999999987E-2</v>
      </c>
      <c r="S65" s="194"/>
      <c r="T65" s="194"/>
      <c r="U65" s="194"/>
      <c r="V65" s="194"/>
      <c r="W65" s="194"/>
      <c r="X65" s="194"/>
      <c r="Y65" s="194"/>
      <c r="Z65" s="194"/>
      <c r="AA65" s="194"/>
      <c r="AB65" s="194"/>
      <c r="AC65" s="194"/>
      <c r="AD65" s="194"/>
    </row>
    <row r="66" spans="1:30" x14ac:dyDescent="0.3">
      <c r="A66" s="195"/>
      <c r="B66" s="167"/>
      <c r="C66" s="164" t="s">
        <v>63</v>
      </c>
      <c r="D66" s="163">
        <f>D65*$W$17/$B$34</f>
        <v>0</v>
      </c>
      <c r="E66" s="163">
        <f t="shared" ref="E66:O66" si="9">E65*$W$17/$B$34</f>
        <v>9.0000000000000011E-3</v>
      </c>
      <c r="F66" s="163">
        <f t="shared" si="9"/>
        <v>1.6E-2</v>
      </c>
      <c r="G66" s="163">
        <f t="shared" si="9"/>
        <v>2.4999999999999998E-2</v>
      </c>
      <c r="H66" s="163">
        <f t="shared" si="9"/>
        <v>0.03</v>
      </c>
      <c r="I66" s="163">
        <f t="shared" si="9"/>
        <v>3.4999999999999996E-2</v>
      </c>
      <c r="J66" s="163">
        <f t="shared" si="9"/>
        <v>3.9999999999999994E-2</v>
      </c>
      <c r="K66" s="163">
        <f t="shared" si="9"/>
        <v>3.9999999999999994E-2</v>
      </c>
      <c r="L66" s="163">
        <f t="shared" si="9"/>
        <v>3.9999999999999994E-2</v>
      </c>
      <c r="M66" s="163">
        <f t="shared" si="9"/>
        <v>0.03</v>
      </c>
      <c r="N66" s="163">
        <f t="shared" si="9"/>
        <v>0</v>
      </c>
      <c r="O66" s="163">
        <f t="shared" si="9"/>
        <v>0</v>
      </c>
      <c r="P66" s="162">
        <f>SUM(D66:O66)</f>
        <v>0.2649999999999999</v>
      </c>
      <c r="Q66" s="196"/>
      <c r="R66" s="195"/>
      <c r="S66" s="194"/>
      <c r="T66" s="194"/>
      <c r="U66" s="194"/>
      <c r="V66" s="194"/>
      <c r="W66" s="194"/>
      <c r="X66" s="194"/>
      <c r="Y66" s="194"/>
      <c r="Z66" s="194"/>
      <c r="AA66" s="194"/>
      <c r="AB66" s="194"/>
      <c r="AC66" s="194"/>
      <c r="AD66" s="194"/>
    </row>
    <row r="67" spans="1:30" x14ac:dyDescent="0.3">
      <c r="A67" s="196"/>
      <c r="B67" s="166"/>
      <c r="C67" s="166"/>
      <c r="D67" s="166"/>
      <c r="E67" s="166"/>
      <c r="F67" s="166"/>
      <c r="G67" s="166"/>
      <c r="H67" s="166"/>
      <c r="I67" s="166"/>
      <c r="J67" s="166"/>
      <c r="K67" s="166"/>
      <c r="L67" s="166"/>
      <c r="M67" s="166"/>
      <c r="N67" s="166"/>
      <c r="O67" s="166"/>
      <c r="P67" s="166"/>
      <c r="Q67" s="196"/>
      <c r="R67" s="196"/>
      <c r="S67" s="194"/>
      <c r="T67" s="194"/>
      <c r="U67" s="194"/>
      <c r="V67" s="194"/>
      <c r="W67" s="194"/>
      <c r="X67" s="194"/>
      <c r="Y67" s="194"/>
      <c r="Z67" s="194"/>
      <c r="AA67" s="194"/>
      <c r="AB67" s="194"/>
      <c r="AC67" s="194"/>
      <c r="AD67" s="194"/>
    </row>
    <row r="68" spans="1:30" x14ac:dyDescent="0.3">
      <c r="A68" s="197"/>
      <c r="B68" s="108"/>
      <c r="C68" s="108"/>
      <c r="D68" s="165">
        <f t="shared" ref="D68:P68" si="10">+D57+D59+D61</f>
        <v>0</v>
      </c>
      <c r="E68" s="165">
        <f t="shared" si="10"/>
        <v>2.7000000000000001E-3</v>
      </c>
      <c r="F68" s="165">
        <f t="shared" si="10"/>
        <v>4.8000000000000004E-3</v>
      </c>
      <c r="G68" s="165">
        <f t="shared" si="10"/>
        <v>7.4999999999999997E-3</v>
      </c>
      <c r="H68" s="165">
        <f t="shared" si="10"/>
        <v>8.9999999999999993E-3</v>
      </c>
      <c r="I68" s="165">
        <f t="shared" si="10"/>
        <v>1.0499999999999999E-2</v>
      </c>
      <c r="J68" s="165">
        <f t="shared" si="10"/>
        <v>1.1999999999999999E-2</v>
      </c>
      <c r="K68" s="165">
        <f t="shared" si="10"/>
        <v>1.1999999999999999E-2</v>
      </c>
      <c r="L68" s="165">
        <f t="shared" si="10"/>
        <v>1.1999999999999999E-2</v>
      </c>
      <c r="M68" s="165">
        <f t="shared" si="10"/>
        <v>8.9999999999999993E-3</v>
      </c>
      <c r="N68" s="165">
        <f t="shared" si="10"/>
        <v>6.0000000000000001E-3</v>
      </c>
      <c r="O68" s="165">
        <f t="shared" si="10"/>
        <v>4.4999999999999997E-3</v>
      </c>
      <c r="P68" s="165">
        <f t="shared" si="10"/>
        <v>8.9999999999999983E-2</v>
      </c>
      <c r="Q68" s="197"/>
      <c r="R68" s="197"/>
      <c r="S68" s="194"/>
      <c r="T68" s="194"/>
      <c r="U68" s="194"/>
      <c r="V68" s="194"/>
      <c r="W68" s="194"/>
      <c r="X68" s="194"/>
      <c r="Y68" s="194"/>
      <c r="Z68" s="194"/>
      <c r="AA68" s="194"/>
      <c r="AB68" s="194"/>
      <c r="AC68" s="194"/>
      <c r="AD68" s="194"/>
    </row>
    <row r="69" spans="1:30" x14ac:dyDescent="0.3">
      <c r="A69" s="197"/>
      <c r="B69" s="108"/>
      <c r="C69" s="164" t="s">
        <v>62</v>
      </c>
      <c r="D69" s="163">
        <f t="shared" ref="D69:O69" si="11">D68*$W$17/$B$34</f>
        <v>0</v>
      </c>
      <c r="E69" s="163">
        <f t="shared" si="11"/>
        <v>9.0000000000000011E-3</v>
      </c>
      <c r="F69" s="163">
        <f t="shared" si="11"/>
        <v>1.6E-2</v>
      </c>
      <c r="G69" s="163">
        <f t="shared" si="11"/>
        <v>2.4999999999999998E-2</v>
      </c>
      <c r="H69" s="163">
        <f t="shared" si="11"/>
        <v>0.03</v>
      </c>
      <c r="I69" s="163">
        <f t="shared" si="11"/>
        <v>3.4999999999999996E-2</v>
      </c>
      <c r="J69" s="163">
        <f t="shared" si="11"/>
        <v>3.9999999999999994E-2</v>
      </c>
      <c r="K69" s="163">
        <f t="shared" si="11"/>
        <v>3.9999999999999994E-2</v>
      </c>
      <c r="L69" s="163">
        <f t="shared" si="11"/>
        <v>3.9999999999999994E-2</v>
      </c>
      <c r="M69" s="163">
        <f t="shared" si="11"/>
        <v>0.03</v>
      </c>
      <c r="N69" s="163">
        <f t="shared" si="11"/>
        <v>0.02</v>
      </c>
      <c r="O69" s="163">
        <f t="shared" si="11"/>
        <v>1.4999999999999999E-2</v>
      </c>
      <c r="P69" s="162">
        <f>SUM(D69:O69)</f>
        <v>0.29999999999999993</v>
      </c>
      <c r="Q69" s="197"/>
      <c r="R69" s="197"/>
      <c r="S69" s="194"/>
      <c r="T69" s="194"/>
      <c r="U69" s="194"/>
      <c r="V69" s="194"/>
      <c r="W69" s="194"/>
      <c r="X69" s="194"/>
      <c r="Y69" s="194"/>
      <c r="Z69" s="194"/>
      <c r="AA69" s="194"/>
      <c r="AB69" s="194"/>
      <c r="AC69" s="194"/>
      <c r="AD69" s="194"/>
    </row>
    <row r="70" spans="1:30" x14ac:dyDescent="0.3">
      <c r="A70" s="194"/>
      <c r="Q70" s="194"/>
      <c r="R70" s="194"/>
      <c r="S70" s="194"/>
      <c r="T70" s="194"/>
      <c r="U70" s="194"/>
      <c r="V70" s="194"/>
      <c r="W70" s="194"/>
      <c r="X70" s="194"/>
      <c r="Y70" s="194"/>
      <c r="Z70" s="194"/>
      <c r="AA70" s="194"/>
      <c r="AB70" s="194"/>
      <c r="AC70" s="194"/>
      <c r="AD70" s="194"/>
    </row>
    <row r="71" spans="1:30" x14ac:dyDescent="0.3">
      <c r="A71" s="194"/>
      <c r="Q71" s="194"/>
      <c r="R71" s="194"/>
      <c r="S71" s="194"/>
      <c r="T71" s="194"/>
      <c r="U71" s="194"/>
      <c r="V71" s="194"/>
      <c r="W71" s="194"/>
      <c r="X71" s="194"/>
      <c r="Y71" s="194"/>
      <c r="Z71" s="194"/>
      <c r="AA71" s="194"/>
      <c r="AB71" s="194"/>
      <c r="AC71" s="194"/>
      <c r="AD71" s="194"/>
    </row>
    <row r="72" spans="1:30" x14ac:dyDescent="0.3">
      <c r="A72" s="194"/>
      <c r="Q72" s="194"/>
      <c r="R72" s="194"/>
      <c r="S72" s="194"/>
      <c r="T72" s="194"/>
      <c r="U72" s="194"/>
      <c r="V72" s="194"/>
      <c r="W72" s="194"/>
      <c r="X72" s="194"/>
      <c r="Y72" s="194"/>
      <c r="Z72" s="194"/>
      <c r="AA72" s="194"/>
      <c r="AB72" s="194"/>
      <c r="AC72" s="194"/>
      <c r="AD72" s="194"/>
    </row>
    <row r="73" spans="1:30" x14ac:dyDescent="0.3">
      <c r="A73" s="194"/>
      <c r="Q73" s="194"/>
      <c r="R73" s="194"/>
      <c r="S73" s="194"/>
      <c r="T73" s="194"/>
      <c r="U73" s="194"/>
      <c r="V73" s="194"/>
      <c r="W73" s="194"/>
      <c r="X73" s="194"/>
      <c r="Y73" s="194"/>
      <c r="Z73" s="194"/>
      <c r="AA73" s="194"/>
      <c r="AB73" s="194"/>
      <c r="AC73" s="194"/>
      <c r="AD73" s="194"/>
    </row>
    <row r="74" spans="1:30" x14ac:dyDescent="0.3">
      <c r="A74" s="194"/>
      <c r="Q74" s="194"/>
      <c r="R74" s="194"/>
      <c r="S74" s="194"/>
      <c r="T74" s="194"/>
      <c r="U74" s="194"/>
      <c r="V74" s="194"/>
      <c r="W74" s="194"/>
      <c r="X74" s="194"/>
      <c r="Y74" s="194"/>
      <c r="Z74" s="194"/>
      <c r="AA74" s="194"/>
      <c r="AB74" s="194"/>
      <c r="AC74" s="194"/>
      <c r="AD74" s="194"/>
    </row>
    <row r="75" spans="1:30" x14ac:dyDescent="0.3">
      <c r="A75" s="194"/>
      <c r="Q75" s="194"/>
      <c r="R75" s="194"/>
      <c r="S75" s="194"/>
      <c r="T75" s="194"/>
      <c r="U75" s="194"/>
      <c r="V75" s="194"/>
      <c r="W75" s="194"/>
      <c r="X75" s="194"/>
      <c r="Y75" s="194"/>
      <c r="Z75" s="194"/>
      <c r="AA75" s="194"/>
      <c r="AB75" s="194"/>
      <c r="AC75" s="194"/>
      <c r="AD75" s="194"/>
    </row>
    <row r="76" spans="1:30" x14ac:dyDescent="0.3">
      <c r="A76" s="194"/>
      <c r="Q76" s="194"/>
      <c r="R76" s="194"/>
      <c r="S76" s="194"/>
      <c r="T76" s="194"/>
      <c r="U76" s="194"/>
      <c r="V76" s="194"/>
      <c r="W76" s="194"/>
      <c r="X76" s="194"/>
      <c r="Y76" s="194"/>
      <c r="Z76" s="194"/>
      <c r="AA76" s="194"/>
      <c r="AB76" s="194"/>
      <c r="AC76" s="194"/>
      <c r="AD76" s="194"/>
    </row>
    <row r="77" spans="1:30" x14ac:dyDescent="0.3">
      <c r="A77" s="194"/>
      <c r="Q77" s="194"/>
      <c r="R77" s="194"/>
      <c r="S77" s="194"/>
      <c r="T77" s="194"/>
      <c r="U77" s="194"/>
      <c r="V77" s="194"/>
      <c r="W77" s="194"/>
      <c r="X77" s="194"/>
      <c r="Y77" s="194"/>
      <c r="Z77" s="194"/>
      <c r="AA77" s="194"/>
      <c r="AB77" s="194"/>
      <c r="AC77" s="194"/>
      <c r="AD77" s="194"/>
    </row>
    <row r="78" spans="1:30" x14ac:dyDescent="0.3">
      <c r="A78" s="194"/>
      <c r="Q78" s="194"/>
      <c r="R78" s="194"/>
      <c r="S78" s="194"/>
      <c r="T78" s="194"/>
      <c r="U78" s="194"/>
      <c r="V78" s="194"/>
      <c r="W78" s="194"/>
      <c r="X78" s="194"/>
      <c r="Y78" s="194"/>
      <c r="Z78" s="194"/>
      <c r="AA78" s="194"/>
      <c r="AB78" s="194"/>
      <c r="AC78" s="194"/>
      <c r="AD78" s="194"/>
    </row>
    <row r="79" spans="1:30" x14ac:dyDescent="0.3">
      <c r="A79" s="194"/>
      <c r="Q79" s="194"/>
      <c r="R79" s="194"/>
      <c r="S79" s="194"/>
      <c r="T79" s="194"/>
      <c r="U79" s="194"/>
      <c r="V79" s="194"/>
      <c r="W79" s="194"/>
      <c r="X79" s="194"/>
      <c r="Y79" s="194"/>
      <c r="Z79" s="194"/>
      <c r="AA79" s="194"/>
      <c r="AB79" s="194"/>
      <c r="AC79" s="194"/>
      <c r="AD79" s="194"/>
    </row>
    <row r="80" spans="1:30" x14ac:dyDescent="0.3">
      <c r="A80" s="194"/>
      <c r="Q80" s="194"/>
      <c r="R80" s="194"/>
      <c r="S80" s="194"/>
      <c r="T80" s="194"/>
      <c r="U80" s="194"/>
      <c r="V80" s="194"/>
      <c r="W80" s="194"/>
      <c r="X80" s="194"/>
      <c r="Y80" s="194"/>
      <c r="Z80" s="194"/>
      <c r="AA80" s="194"/>
      <c r="AB80" s="194"/>
      <c r="AC80" s="194"/>
      <c r="AD80" s="194"/>
    </row>
    <row r="81" spans="1:30" x14ac:dyDescent="0.3">
      <c r="A81" s="194"/>
      <c r="Q81" s="194"/>
      <c r="R81" s="194"/>
      <c r="S81" s="194"/>
      <c r="T81" s="194"/>
      <c r="U81" s="194"/>
      <c r="V81" s="194"/>
      <c r="W81" s="194"/>
      <c r="X81" s="194"/>
      <c r="Y81" s="194"/>
      <c r="Z81" s="194"/>
      <c r="AA81" s="194"/>
      <c r="AB81" s="194"/>
      <c r="AC81" s="194"/>
      <c r="AD81" s="194"/>
    </row>
    <row r="82" spans="1:30" x14ac:dyDescent="0.3">
      <c r="A82" s="194"/>
      <c r="Q82" s="194"/>
      <c r="R82" s="194"/>
      <c r="S82" s="194"/>
      <c r="T82" s="194"/>
      <c r="U82" s="194"/>
      <c r="V82" s="194"/>
      <c r="W82" s="194"/>
      <c r="X82" s="194"/>
      <c r="Y82" s="194"/>
      <c r="Z82" s="194"/>
      <c r="AA82" s="194"/>
      <c r="AB82" s="194"/>
      <c r="AC82" s="194"/>
      <c r="AD82" s="194"/>
    </row>
    <row r="83" spans="1:30" x14ac:dyDescent="0.3">
      <c r="A83" s="194"/>
      <c r="Q83" s="194"/>
      <c r="R83" s="194"/>
      <c r="S83" s="194"/>
      <c r="T83" s="194"/>
      <c r="U83" s="194"/>
      <c r="V83" s="194"/>
      <c r="W83" s="194"/>
      <c r="X83" s="194"/>
      <c r="Y83" s="194"/>
      <c r="Z83" s="194"/>
      <c r="AA83" s="194"/>
      <c r="AB83" s="194"/>
      <c r="AC83" s="194"/>
      <c r="AD83" s="194"/>
    </row>
    <row r="84" spans="1:30" x14ac:dyDescent="0.3">
      <c r="A84" s="194"/>
      <c r="Q84" s="194"/>
      <c r="R84" s="194"/>
      <c r="S84" s="194"/>
      <c r="T84" s="194"/>
      <c r="U84" s="194"/>
      <c r="V84" s="194"/>
      <c r="W84" s="194"/>
      <c r="X84" s="194"/>
      <c r="Y84" s="194"/>
      <c r="Z84" s="194"/>
      <c r="AA84" s="194"/>
      <c r="AB84" s="194"/>
      <c r="AC84" s="194"/>
      <c r="AD84" s="194"/>
    </row>
    <row r="85" spans="1:30" x14ac:dyDescent="0.3">
      <c r="A85" s="194"/>
      <c r="Q85" s="194"/>
      <c r="R85" s="194"/>
      <c r="S85" s="194"/>
      <c r="T85" s="194"/>
      <c r="U85" s="194"/>
      <c r="V85" s="194"/>
      <c r="W85" s="194"/>
      <c r="X85" s="194"/>
      <c r="Y85" s="194"/>
      <c r="Z85" s="194"/>
      <c r="AA85" s="194"/>
      <c r="AB85" s="194"/>
      <c r="AC85" s="194"/>
      <c r="AD85" s="194"/>
    </row>
    <row r="86" spans="1:30" x14ac:dyDescent="0.3">
      <c r="A86" s="194"/>
      <c r="Q86" s="194"/>
      <c r="R86" s="194"/>
      <c r="S86" s="194"/>
      <c r="T86" s="194"/>
      <c r="U86" s="194"/>
      <c r="V86" s="194"/>
      <c r="W86" s="194"/>
      <c r="X86" s="194"/>
      <c r="Y86" s="194"/>
      <c r="Z86" s="194"/>
      <c r="AA86" s="194"/>
      <c r="AB86" s="194"/>
      <c r="AC86" s="194"/>
      <c r="AD86" s="194"/>
    </row>
    <row r="87" spans="1:30" x14ac:dyDescent="0.3">
      <c r="A87" s="194"/>
      <c r="Q87" s="194"/>
      <c r="R87" s="194"/>
      <c r="S87" s="194"/>
      <c r="T87" s="194"/>
      <c r="U87" s="194"/>
      <c r="V87" s="194"/>
      <c r="W87" s="194"/>
      <c r="X87" s="194"/>
      <c r="Y87" s="194"/>
      <c r="Z87" s="194"/>
      <c r="AA87" s="194"/>
      <c r="AB87" s="194"/>
      <c r="AC87" s="194"/>
      <c r="AD87" s="194"/>
    </row>
    <row r="88" spans="1:30" x14ac:dyDescent="0.3">
      <c r="A88" s="194"/>
      <c r="Q88" s="194"/>
      <c r="R88" s="194"/>
      <c r="S88" s="194"/>
      <c r="T88" s="194"/>
      <c r="U88" s="194"/>
      <c r="V88" s="194"/>
      <c r="W88" s="194"/>
      <c r="X88" s="194"/>
      <c r="Y88" s="194"/>
      <c r="Z88" s="194"/>
      <c r="AA88" s="194"/>
      <c r="AB88" s="194"/>
      <c r="AC88" s="194"/>
      <c r="AD88" s="194"/>
    </row>
    <row r="89" spans="1:30" x14ac:dyDescent="0.3">
      <c r="A89" s="194"/>
      <c r="Q89" s="194"/>
      <c r="R89" s="194"/>
      <c r="S89" s="194"/>
      <c r="T89" s="194"/>
      <c r="U89" s="194"/>
      <c r="V89" s="194"/>
      <c r="W89" s="194"/>
      <c r="X89" s="194"/>
      <c r="Y89" s="194"/>
      <c r="Z89" s="194"/>
      <c r="AA89" s="194"/>
      <c r="AB89" s="194"/>
      <c r="AC89" s="194"/>
      <c r="AD89" s="194"/>
    </row>
    <row r="90" spans="1:30" x14ac:dyDescent="0.3">
      <c r="A90" s="194"/>
      <c r="Q90" s="194"/>
      <c r="R90" s="194"/>
      <c r="S90" s="194"/>
      <c r="T90" s="194"/>
      <c r="U90" s="194"/>
      <c r="V90" s="194"/>
      <c r="W90" s="194"/>
      <c r="X90" s="194"/>
      <c r="Y90" s="194"/>
      <c r="Z90" s="194"/>
      <c r="AA90" s="194"/>
      <c r="AB90" s="194"/>
      <c r="AC90" s="194"/>
      <c r="AD90" s="194"/>
    </row>
    <row r="91" spans="1:30" x14ac:dyDescent="0.3">
      <c r="A91" s="194"/>
      <c r="Q91" s="194"/>
      <c r="R91" s="194"/>
      <c r="S91" s="194"/>
      <c r="T91" s="194"/>
      <c r="U91" s="194"/>
      <c r="V91" s="194"/>
      <c r="W91" s="194"/>
      <c r="X91" s="194"/>
      <c r="Y91" s="194"/>
      <c r="Z91" s="194"/>
      <c r="AA91" s="194"/>
      <c r="AB91" s="194"/>
      <c r="AC91" s="194"/>
      <c r="AD91" s="194"/>
    </row>
    <row r="92" spans="1:30" x14ac:dyDescent="0.3">
      <c r="A92" s="194"/>
      <c r="Q92" s="194"/>
      <c r="R92" s="194"/>
      <c r="S92" s="194"/>
      <c r="T92" s="194"/>
      <c r="U92" s="194"/>
      <c r="V92" s="194"/>
      <c r="W92" s="194"/>
      <c r="X92" s="194"/>
      <c r="Y92" s="194"/>
      <c r="Z92" s="194"/>
      <c r="AA92" s="194"/>
      <c r="AB92" s="194"/>
      <c r="AC92" s="194"/>
      <c r="AD92" s="194"/>
    </row>
    <row r="93" spans="1:30" x14ac:dyDescent="0.3">
      <c r="A93" s="194"/>
      <c r="Q93" s="194"/>
      <c r="R93" s="194"/>
      <c r="S93" s="194"/>
      <c r="T93" s="194"/>
      <c r="U93" s="194"/>
      <c r="V93" s="194"/>
      <c r="W93" s="194"/>
      <c r="X93" s="194"/>
      <c r="Y93" s="194"/>
      <c r="Z93" s="194"/>
      <c r="AA93" s="194"/>
      <c r="AB93" s="194"/>
      <c r="AC93" s="194"/>
      <c r="AD93" s="194"/>
    </row>
    <row r="94" spans="1:30" x14ac:dyDescent="0.3">
      <c r="A94" s="194"/>
      <c r="Q94" s="194"/>
      <c r="R94" s="194"/>
      <c r="S94" s="194"/>
      <c r="T94" s="194"/>
      <c r="U94" s="194"/>
      <c r="V94" s="194"/>
      <c r="W94" s="194"/>
      <c r="X94" s="194"/>
      <c r="Y94" s="194"/>
      <c r="Z94" s="194"/>
      <c r="AA94" s="194"/>
      <c r="AB94" s="194"/>
      <c r="AC94" s="194"/>
      <c r="AD94" s="194"/>
    </row>
    <row r="95" spans="1:30" x14ac:dyDescent="0.3">
      <c r="A95" s="194"/>
      <c r="Q95" s="194"/>
      <c r="R95" s="194"/>
      <c r="S95" s="194"/>
      <c r="T95" s="194"/>
      <c r="U95" s="194"/>
      <c r="V95" s="194"/>
      <c r="W95" s="194"/>
      <c r="X95" s="194"/>
      <c r="Y95" s="194"/>
      <c r="Z95" s="194"/>
      <c r="AA95" s="194"/>
      <c r="AB95" s="194"/>
      <c r="AC95" s="194"/>
      <c r="AD95" s="194"/>
    </row>
    <row r="96" spans="1:30" x14ac:dyDescent="0.3">
      <c r="A96" s="194"/>
      <c r="Q96" s="194"/>
      <c r="R96" s="194"/>
      <c r="S96" s="194"/>
      <c r="T96" s="194"/>
      <c r="U96" s="194"/>
      <c r="V96" s="194"/>
      <c r="W96" s="194"/>
      <c r="X96" s="194"/>
      <c r="Y96" s="194"/>
      <c r="Z96" s="194"/>
      <c r="AA96" s="194"/>
      <c r="AB96" s="194"/>
      <c r="AC96" s="194"/>
      <c r="AD96" s="194"/>
    </row>
    <row r="97" spans="1:30" x14ac:dyDescent="0.3">
      <c r="A97" s="194"/>
      <c r="Q97" s="194"/>
      <c r="R97" s="194"/>
      <c r="S97" s="194"/>
      <c r="T97" s="194"/>
      <c r="U97" s="194"/>
      <c r="V97" s="194"/>
      <c r="W97" s="194"/>
      <c r="X97" s="194"/>
      <c r="Y97" s="194"/>
      <c r="Z97" s="194"/>
      <c r="AA97" s="194"/>
      <c r="AB97" s="194"/>
      <c r="AC97" s="194"/>
      <c r="AD97" s="194"/>
    </row>
    <row r="98" spans="1:30" x14ac:dyDescent="0.3">
      <c r="A98" s="194"/>
      <c r="Q98" s="194"/>
      <c r="R98" s="194"/>
      <c r="S98" s="194"/>
      <c r="T98" s="194"/>
      <c r="U98" s="194"/>
      <c r="V98" s="194"/>
      <c r="W98" s="194"/>
      <c r="X98" s="194"/>
      <c r="Y98" s="194"/>
      <c r="Z98" s="194"/>
      <c r="AA98" s="194"/>
      <c r="AB98" s="194"/>
      <c r="AC98" s="194"/>
      <c r="AD98" s="194"/>
    </row>
    <row r="99" spans="1:30" x14ac:dyDescent="0.3">
      <c r="A99" s="194"/>
      <c r="Q99" s="194"/>
      <c r="R99" s="194"/>
      <c r="S99" s="194"/>
      <c r="T99" s="194"/>
      <c r="U99" s="194"/>
      <c r="V99" s="194"/>
      <c r="W99" s="194"/>
      <c r="X99" s="194"/>
      <c r="Y99" s="194"/>
      <c r="Z99" s="194"/>
      <c r="AA99" s="194"/>
      <c r="AB99" s="194"/>
      <c r="AC99" s="194"/>
      <c r="AD99" s="194"/>
    </row>
    <row r="100" spans="1:30" x14ac:dyDescent="0.3">
      <c r="A100" s="194"/>
      <c r="Q100" s="194"/>
      <c r="R100" s="194"/>
      <c r="S100" s="194"/>
      <c r="T100" s="194"/>
      <c r="U100" s="194"/>
      <c r="V100" s="194"/>
      <c r="W100" s="194"/>
      <c r="X100" s="194"/>
      <c r="Y100" s="194"/>
      <c r="Z100" s="194"/>
      <c r="AA100" s="194"/>
      <c r="AB100" s="194"/>
      <c r="AC100" s="194"/>
      <c r="AD100" s="194"/>
    </row>
    <row r="101" spans="1:30" x14ac:dyDescent="0.3">
      <c r="A101" s="194"/>
      <c r="Q101" s="194"/>
      <c r="R101" s="194"/>
      <c r="S101" s="194"/>
      <c r="T101" s="194"/>
      <c r="U101" s="194"/>
      <c r="V101" s="194"/>
      <c r="W101" s="194"/>
      <c r="X101" s="194"/>
      <c r="Y101" s="194"/>
      <c r="Z101" s="194"/>
      <c r="AA101" s="194"/>
      <c r="AB101" s="194"/>
      <c r="AC101" s="194"/>
      <c r="AD101" s="194"/>
    </row>
    <row r="102" spans="1:30" x14ac:dyDescent="0.3">
      <c r="Q102" s="194"/>
      <c r="R102" s="194"/>
      <c r="S102" s="194"/>
      <c r="T102" s="194"/>
      <c r="U102" s="194"/>
      <c r="V102" s="194"/>
      <c r="W102" s="194"/>
      <c r="X102" s="194"/>
      <c r="Y102" s="194"/>
      <c r="Z102" s="194"/>
      <c r="AA102" s="194"/>
      <c r="AB102" s="194"/>
      <c r="AC102" s="194"/>
      <c r="AD102" s="194"/>
    </row>
    <row r="103" spans="1:30" x14ac:dyDescent="0.3">
      <c r="Q103" s="194"/>
      <c r="R103" s="194"/>
      <c r="S103" s="194"/>
      <c r="T103" s="194"/>
      <c r="U103" s="194"/>
      <c r="V103" s="194"/>
      <c r="W103" s="194"/>
      <c r="X103" s="194"/>
      <c r="Y103" s="194"/>
      <c r="Z103" s="194"/>
      <c r="AA103" s="194"/>
      <c r="AB103" s="194"/>
      <c r="AC103" s="194"/>
      <c r="AD103" s="194"/>
    </row>
    <row r="104" spans="1:30" x14ac:dyDescent="0.3">
      <c r="Q104" s="194"/>
      <c r="R104" s="194"/>
      <c r="S104" s="194"/>
      <c r="T104" s="194"/>
      <c r="U104" s="194"/>
      <c r="V104" s="194"/>
      <c r="W104" s="194"/>
      <c r="X104" s="194"/>
      <c r="Y104" s="194"/>
      <c r="Z104" s="194"/>
      <c r="AA104" s="194"/>
      <c r="AB104" s="194"/>
      <c r="AC104" s="194"/>
      <c r="AD104" s="194"/>
    </row>
    <row r="105" spans="1:30" x14ac:dyDescent="0.3">
      <c r="Q105" s="194"/>
      <c r="R105" s="194"/>
      <c r="S105" s="194"/>
      <c r="T105" s="194"/>
      <c r="U105" s="194"/>
      <c r="V105" s="194"/>
      <c r="W105" s="194"/>
      <c r="X105" s="194"/>
      <c r="Y105" s="194"/>
      <c r="Z105" s="194"/>
      <c r="AA105" s="194"/>
      <c r="AB105" s="194"/>
      <c r="AC105" s="194"/>
      <c r="AD105" s="194"/>
    </row>
    <row r="106" spans="1:30" x14ac:dyDescent="0.3">
      <c r="Q106" s="194"/>
      <c r="R106" s="194"/>
      <c r="S106" s="194"/>
      <c r="T106" s="194"/>
      <c r="U106" s="194"/>
      <c r="V106" s="194"/>
      <c r="W106" s="194"/>
      <c r="X106" s="194"/>
      <c r="Y106" s="194"/>
      <c r="Z106" s="194"/>
      <c r="AA106" s="194"/>
      <c r="AB106" s="194"/>
      <c r="AC106" s="194"/>
      <c r="AD106" s="194"/>
    </row>
    <row r="107" spans="1:30" x14ac:dyDescent="0.3">
      <c r="Q107" s="194"/>
      <c r="R107" s="194"/>
      <c r="S107" s="194"/>
      <c r="T107" s="194"/>
      <c r="U107" s="194"/>
      <c r="V107" s="194"/>
      <c r="W107" s="194"/>
      <c r="X107" s="194"/>
      <c r="Y107" s="194"/>
      <c r="Z107" s="194"/>
      <c r="AA107" s="194"/>
      <c r="AB107" s="194"/>
      <c r="AC107" s="194"/>
      <c r="AD107" s="194"/>
    </row>
    <row r="108" spans="1:30" x14ac:dyDescent="0.3">
      <c r="Q108" s="194"/>
      <c r="R108" s="194"/>
      <c r="S108" s="194"/>
      <c r="T108" s="194"/>
      <c r="U108" s="194"/>
      <c r="V108" s="194"/>
      <c r="W108" s="194"/>
      <c r="X108" s="194"/>
      <c r="Y108" s="194"/>
      <c r="Z108" s="194"/>
      <c r="AA108" s="194"/>
      <c r="AB108" s="194"/>
      <c r="AC108" s="194"/>
      <c r="AD108" s="194"/>
    </row>
    <row r="109" spans="1:30" x14ac:dyDescent="0.3">
      <c r="Q109" s="194"/>
      <c r="R109" s="194"/>
      <c r="S109" s="194"/>
      <c r="T109" s="194"/>
      <c r="U109" s="194"/>
      <c r="V109" s="194"/>
      <c r="W109" s="194"/>
      <c r="X109" s="194"/>
      <c r="Y109" s="194"/>
      <c r="Z109" s="194"/>
      <c r="AA109" s="194"/>
      <c r="AB109" s="194"/>
      <c r="AC109" s="194"/>
      <c r="AD109" s="194"/>
    </row>
    <row r="110" spans="1:30" x14ac:dyDescent="0.3">
      <c r="Q110" s="194"/>
      <c r="R110" s="194"/>
      <c r="S110" s="194"/>
      <c r="T110" s="194"/>
      <c r="U110" s="194"/>
      <c r="V110" s="194"/>
      <c r="W110" s="194"/>
      <c r="X110" s="194"/>
      <c r="Y110" s="194"/>
      <c r="Z110" s="194"/>
      <c r="AA110" s="194"/>
      <c r="AB110" s="194"/>
      <c r="AC110" s="194"/>
      <c r="AD110" s="194"/>
    </row>
    <row r="111" spans="1:30" x14ac:dyDescent="0.3">
      <c r="Q111" s="194"/>
      <c r="R111" s="194"/>
      <c r="S111" s="194"/>
      <c r="T111" s="194"/>
      <c r="U111" s="194"/>
      <c r="V111" s="194"/>
      <c r="W111" s="194"/>
      <c r="X111" s="194"/>
      <c r="Y111" s="194"/>
      <c r="Z111" s="194"/>
      <c r="AA111" s="194"/>
      <c r="AB111" s="194"/>
      <c r="AC111" s="194"/>
      <c r="AD111" s="194"/>
    </row>
    <row r="112" spans="1:30" x14ac:dyDescent="0.3">
      <c r="Q112" s="194"/>
      <c r="R112" s="194"/>
      <c r="S112" s="194"/>
      <c r="T112" s="194"/>
      <c r="U112" s="194"/>
      <c r="V112" s="194"/>
      <c r="W112" s="194"/>
      <c r="X112" s="194"/>
      <c r="Y112" s="194"/>
      <c r="Z112" s="194"/>
      <c r="AA112" s="194"/>
      <c r="AB112" s="194"/>
      <c r="AC112" s="194"/>
      <c r="AD112" s="194"/>
    </row>
    <row r="113" spans="17:30" x14ac:dyDescent="0.3">
      <c r="Q113" s="194"/>
      <c r="R113" s="194"/>
      <c r="S113" s="194"/>
      <c r="T113" s="194"/>
      <c r="U113" s="194"/>
      <c r="V113" s="194"/>
      <c r="W113" s="194"/>
      <c r="X113" s="194"/>
      <c r="Y113" s="194"/>
      <c r="Z113" s="194"/>
      <c r="AA113" s="194"/>
      <c r="AB113" s="194"/>
      <c r="AC113" s="194"/>
      <c r="AD113" s="194"/>
    </row>
    <row r="114" spans="17:30" x14ac:dyDescent="0.3">
      <c r="Q114" s="194"/>
      <c r="R114" s="194"/>
      <c r="S114" s="194"/>
      <c r="T114" s="194"/>
      <c r="U114" s="194"/>
      <c r="V114" s="194"/>
      <c r="W114" s="194"/>
      <c r="X114" s="194"/>
      <c r="Y114" s="194"/>
      <c r="Z114" s="194"/>
      <c r="AA114" s="194"/>
      <c r="AB114" s="194"/>
      <c r="AC114" s="194"/>
      <c r="AD114" s="194"/>
    </row>
    <row r="115" spans="17:30" x14ac:dyDescent="0.3">
      <c r="Q115" s="194"/>
      <c r="R115" s="194"/>
      <c r="S115" s="194"/>
      <c r="T115" s="194"/>
      <c r="U115" s="194"/>
      <c r="V115" s="194"/>
      <c r="W115" s="194"/>
      <c r="X115" s="194"/>
      <c r="Y115" s="194"/>
      <c r="Z115" s="194"/>
      <c r="AA115" s="194"/>
      <c r="AB115" s="194"/>
      <c r="AC115" s="194"/>
      <c r="AD115" s="194"/>
    </row>
    <row r="116" spans="17:30" x14ac:dyDescent="0.3">
      <c r="Q116" s="194"/>
      <c r="R116" s="194"/>
      <c r="S116" s="194"/>
      <c r="T116" s="194"/>
      <c r="U116" s="194"/>
      <c r="V116" s="194"/>
      <c r="W116" s="194"/>
      <c r="X116" s="194"/>
      <c r="Y116" s="194"/>
      <c r="Z116" s="194"/>
      <c r="AA116" s="194"/>
      <c r="AB116" s="194"/>
      <c r="AC116" s="194"/>
      <c r="AD116" s="194"/>
    </row>
    <row r="117" spans="17:30" x14ac:dyDescent="0.3">
      <c r="Q117" s="194"/>
      <c r="R117" s="194"/>
      <c r="S117" s="194"/>
      <c r="T117" s="194"/>
      <c r="U117" s="194"/>
      <c r="V117" s="194"/>
      <c r="W117" s="194"/>
      <c r="X117" s="194"/>
      <c r="Y117" s="194"/>
      <c r="Z117" s="194"/>
      <c r="AA117" s="194"/>
      <c r="AB117" s="194"/>
      <c r="AC117" s="194"/>
      <c r="AD117" s="194"/>
    </row>
    <row r="118" spans="17:30" x14ac:dyDescent="0.3">
      <c r="Q118" s="194"/>
      <c r="R118" s="194"/>
      <c r="S118" s="194"/>
      <c r="T118" s="194"/>
      <c r="U118" s="194"/>
      <c r="V118" s="194"/>
      <c r="W118" s="194"/>
      <c r="X118" s="194"/>
      <c r="Y118" s="194"/>
      <c r="Z118" s="194"/>
      <c r="AA118" s="194"/>
      <c r="AB118" s="194"/>
      <c r="AC118" s="194"/>
      <c r="AD118" s="194"/>
    </row>
    <row r="119" spans="17:30" x14ac:dyDescent="0.3">
      <c r="Q119" s="194"/>
      <c r="R119" s="194"/>
      <c r="S119" s="194"/>
      <c r="T119" s="194"/>
      <c r="U119" s="194"/>
      <c r="V119" s="194"/>
      <c r="W119" s="194"/>
      <c r="X119" s="194"/>
      <c r="Y119" s="194"/>
      <c r="Z119" s="194"/>
      <c r="AA119" s="194"/>
      <c r="AB119" s="194"/>
      <c r="AC119" s="194"/>
      <c r="AD119" s="194"/>
    </row>
    <row r="120" spans="17:30" x14ac:dyDescent="0.3">
      <c r="Q120" s="194"/>
      <c r="R120" s="194"/>
      <c r="S120" s="194"/>
      <c r="T120" s="194"/>
      <c r="U120" s="194"/>
      <c r="V120" s="194"/>
      <c r="W120" s="194"/>
      <c r="X120" s="194"/>
      <c r="Y120" s="194"/>
      <c r="Z120" s="194"/>
      <c r="AA120" s="194"/>
      <c r="AB120" s="194"/>
      <c r="AC120" s="194"/>
      <c r="AD120" s="194"/>
    </row>
    <row r="121" spans="17:30" x14ac:dyDescent="0.3">
      <c r="Q121" s="194"/>
      <c r="R121" s="194"/>
      <c r="S121" s="194"/>
      <c r="T121" s="194"/>
      <c r="U121" s="194"/>
      <c r="V121" s="194"/>
      <c r="W121" s="194"/>
      <c r="X121" s="194"/>
      <c r="Y121" s="194"/>
      <c r="Z121" s="194"/>
      <c r="AA121" s="194"/>
      <c r="AB121" s="194"/>
      <c r="AC121" s="194"/>
      <c r="AD121" s="194"/>
    </row>
    <row r="122" spans="17:30" x14ac:dyDescent="0.3">
      <c r="Q122" s="194"/>
      <c r="R122" s="194"/>
      <c r="S122" s="194"/>
      <c r="T122" s="194"/>
      <c r="U122" s="194"/>
      <c r="V122" s="194"/>
      <c r="W122" s="194"/>
      <c r="X122" s="194"/>
      <c r="Y122" s="194"/>
      <c r="Z122" s="194"/>
      <c r="AA122" s="194"/>
      <c r="AB122" s="194"/>
      <c r="AC122" s="194"/>
      <c r="AD122" s="194"/>
    </row>
    <row r="123" spans="17:30" x14ac:dyDescent="0.3">
      <c r="Q123" s="194"/>
      <c r="R123" s="194"/>
      <c r="S123" s="194"/>
      <c r="T123" s="194"/>
      <c r="U123" s="194"/>
      <c r="V123" s="194"/>
      <c r="W123" s="194"/>
      <c r="X123" s="194"/>
      <c r="Y123" s="194"/>
      <c r="Z123" s="194"/>
      <c r="AA123" s="194"/>
      <c r="AB123" s="194"/>
      <c r="AC123" s="194"/>
      <c r="AD123" s="194"/>
    </row>
    <row r="124" spans="17:30" x14ac:dyDescent="0.3">
      <c r="Q124" s="194"/>
      <c r="R124" s="194"/>
      <c r="S124" s="194"/>
      <c r="T124" s="194"/>
      <c r="U124" s="194"/>
      <c r="V124" s="194"/>
      <c r="W124" s="194"/>
      <c r="X124" s="194"/>
      <c r="Y124" s="194"/>
      <c r="Z124" s="194"/>
      <c r="AA124" s="194"/>
      <c r="AB124" s="194"/>
      <c r="AC124" s="194"/>
      <c r="AD124" s="194"/>
    </row>
    <row r="125" spans="17:30" x14ac:dyDescent="0.3">
      <c r="Q125" s="194"/>
      <c r="R125" s="194"/>
      <c r="S125" s="194"/>
      <c r="T125" s="194"/>
      <c r="U125" s="194"/>
      <c r="V125" s="194"/>
      <c r="W125" s="194"/>
      <c r="X125" s="194"/>
      <c r="Y125" s="194"/>
      <c r="Z125" s="194"/>
      <c r="AA125" s="194"/>
      <c r="AB125" s="194"/>
      <c r="AC125" s="194"/>
      <c r="AD125" s="194"/>
    </row>
    <row r="126" spans="17:30" x14ac:dyDescent="0.3">
      <c r="Q126" s="194"/>
      <c r="R126" s="194"/>
      <c r="S126" s="194"/>
      <c r="T126" s="194"/>
      <c r="U126" s="194"/>
      <c r="V126" s="194"/>
      <c r="W126" s="194"/>
      <c r="X126" s="194"/>
      <c r="Y126" s="194"/>
      <c r="Z126" s="194"/>
      <c r="AA126" s="194"/>
      <c r="AB126" s="194"/>
      <c r="AC126" s="194"/>
      <c r="AD126" s="194"/>
    </row>
    <row r="127" spans="17:30" x14ac:dyDescent="0.3">
      <c r="Q127" s="194"/>
      <c r="R127" s="194"/>
      <c r="S127" s="194"/>
      <c r="T127" s="194"/>
      <c r="U127" s="194"/>
      <c r="V127" s="194"/>
      <c r="W127" s="194"/>
      <c r="X127" s="194"/>
      <c r="Y127" s="194"/>
      <c r="Z127" s="194"/>
      <c r="AA127" s="194"/>
      <c r="AB127" s="194"/>
      <c r="AC127" s="194"/>
      <c r="AD127" s="194"/>
    </row>
    <row r="128" spans="17:30" x14ac:dyDescent="0.3">
      <c r="Q128" s="194"/>
      <c r="R128" s="194"/>
      <c r="S128" s="194"/>
      <c r="T128" s="194"/>
      <c r="U128" s="194"/>
      <c r="V128" s="194"/>
      <c r="W128" s="194"/>
      <c r="X128" s="194"/>
      <c r="Y128" s="194"/>
      <c r="Z128" s="194"/>
      <c r="AA128" s="194"/>
      <c r="AB128" s="194"/>
      <c r="AC128" s="194"/>
      <c r="AD128" s="194"/>
    </row>
    <row r="129" spans="17:30" x14ac:dyDescent="0.3">
      <c r="Q129" s="194"/>
      <c r="R129" s="194"/>
      <c r="S129" s="194"/>
      <c r="T129" s="194"/>
      <c r="U129" s="194"/>
      <c r="V129" s="194"/>
      <c r="W129" s="194"/>
      <c r="X129" s="194"/>
      <c r="Y129" s="194"/>
      <c r="Z129" s="194"/>
      <c r="AA129" s="194"/>
      <c r="AB129" s="194"/>
      <c r="AC129" s="194"/>
      <c r="AD129" s="194"/>
    </row>
    <row r="130" spans="17:30" x14ac:dyDescent="0.3">
      <c r="Q130" s="194"/>
      <c r="R130" s="194"/>
      <c r="S130" s="194"/>
      <c r="T130" s="194"/>
      <c r="U130" s="194"/>
      <c r="V130" s="194"/>
      <c r="W130" s="194"/>
      <c r="X130" s="194"/>
      <c r="Y130" s="194"/>
      <c r="Z130" s="194"/>
      <c r="AA130" s="194"/>
      <c r="AB130" s="194"/>
      <c r="AC130" s="194"/>
      <c r="AD130" s="194"/>
    </row>
    <row r="131" spans="17:30" x14ac:dyDescent="0.3">
      <c r="Q131" s="194"/>
      <c r="R131" s="194"/>
      <c r="S131" s="194"/>
      <c r="T131" s="194"/>
      <c r="U131" s="194"/>
      <c r="V131" s="194"/>
      <c r="W131" s="194"/>
      <c r="X131" s="194"/>
      <c r="Y131" s="194"/>
      <c r="Z131" s="194"/>
      <c r="AA131" s="194"/>
      <c r="AB131" s="194"/>
      <c r="AC131" s="194"/>
      <c r="AD131" s="194"/>
    </row>
    <row r="132" spans="17:30" x14ac:dyDescent="0.3">
      <c r="Q132" s="194"/>
      <c r="R132" s="194"/>
      <c r="S132" s="194"/>
      <c r="T132" s="194"/>
      <c r="U132" s="194"/>
      <c r="V132" s="194"/>
      <c r="W132" s="194"/>
      <c r="X132" s="194"/>
      <c r="Y132" s="194"/>
      <c r="Z132" s="194"/>
      <c r="AA132" s="194"/>
      <c r="AB132" s="194"/>
      <c r="AC132" s="194"/>
      <c r="AD132" s="194"/>
    </row>
    <row r="133" spans="17:30" x14ac:dyDescent="0.3">
      <c r="Q133" s="194"/>
      <c r="R133" s="194"/>
      <c r="S133" s="194"/>
      <c r="T133" s="194"/>
      <c r="U133" s="194"/>
      <c r="V133" s="194"/>
      <c r="W133" s="194"/>
      <c r="X133" s="194"/>
      <c r="Y133" s="194"/>
      <c r="Z133" s="194"/>
      <c r="AA133" s="194"/>
      <c r="AB133" s="194"/>
      <c r="AC133" s="194"/>
      <c r="AD133" s="194"/>
    </row>
    <row r="134" spans="17:30" x14ac:dyDescent="0.3">
      <c r="Q134" s="194"/>
      <c r="R134" s="194"/>
      <c r="S134" s="194"/>
      <c r="T134" s="194"/>
      <c r="U134" s="194"/>
      <c r="V134" s="194"/>
      <c r="W134" s="194"/>
      <c r="X134" s="194"/>
      <c r="Y134" s="194"/>
      <c r="Z134" s="194"/>
      <c r="AA134" s="194"/>
      <c r="AB134" s="194"/>
      <c r="AC134" s="194"/>
      <c r="AD134" s="194"/>
    </row>
    <row r="135" spans="17:30" x14ac:dyDescent="0.3">
      <c r="Q135" s="194"/>
      <c r="R135" s="194"/>
      <c r="S135" s="194"/>
      <c r="T135" s="194"/>
      <c r="U135" s="194"/>
      <c r="V135" s="194"/>
      <c r="W135" s="194"/>
      <c r="X135" s="194"/>
      <c r="Y135" s="194"/>
      <c r="Z135" s="194"/>
      <c r="AA135" s="194"/>
      <c r="AB135" s="194"/>
      <c r="AC135" s="194"/>
      <c r="AD135" s="194"/>
    </row>
    <row r="136" spans="17:30" x14ac:dyDescent="0.3">
      <c r="Q136" s="194"/>
      <c r="R136" s="194"/>
      <c r="S136" s="194"/>
      <c r="T136" s="194"/>
      <c r="U136" s="194"/>
      <c r="V136" s="194"/>
      <c r="W136" s="194"/>
      <c r="X136" s="194"/>
      <c r="Y136" s="194"/>
      <c r="Z136" s="194"/>
      <c r="AA136" s="194"/>
      <c r="AB136" s="194"/>
      <c r="AC136" s="194"/>
      <c r="AD136" s="194"/>
    </row>
    <row r="137" spans="17:30" x14ac:dyDescent="0.3">
      <c r="Q137" s="194"/>
      <c r="R137" s="194"/>
      <c r="S137" s="194"/>
      <c r="T137" s="194"/>
      <c r="U137" s="194"/>
      <c r="V137" s="194"/>
      <c r="W137" s="194"/>
      <c r="X137" s="194"/>
      <c r="Y137" s="194"/>
      <c r="Z137" s="194"/>
      <c r="AA137" s="194"/>
      <c r="AB137" s="194"/>
      <c r="AC137" s="194"/>
      <c r="AD137" s="194"/>
    </row>
    <row r="138" spans="17:30" x14ac:dyDescent="0.3">
      <c r="Q138" s="194"/>
      <c r="R138" s="194"/>
      <c r="S138" s="194"/>
      <c r="T138" s="194"/>
      <c r="U138" s="194"/>
      <c r="V138" s="194"/>
      <c r="W138" s="194"/>
      <c r="X138" s="194"/>
      <c r="Y138" s="194"/>
      <c r="Z138" s="194"/>
      <c r="AA138" s="194"/>
      <c r="AB138" s="194"/>
      <c r="AC138" s="194"/>
      <c r="AD138" s="194"/>
    </row>
    <row r="139" spans="17:30" x14ac:dyDescent="0.3">
      <c r="Q139" s="194"/>
      <c r="R139" s="194"/>
      <c r="S139" s="194"/>
      <c r="T139" s="194"/>
      <c r="U139" s="194"/>
      <c r="V139" s="194"/>
      <c r="W139" s="194"/>
      <c r="X139" s="194"/>
      <c r="Y139" s="194"/>
      <c r="Z139" s="194"/>
      <c r="AA139" s="194"/>
      <c r="AB139" s="194"/>
      <c r="AC139" s="194"/>
      <c r="AD139" s="194"/>
    </row>
    <row r="140" spans="17:30" x14ac:dyDescent="0.3">
      <c r="Q140" s="194"/>
      <c r="R140" s="194"/>
      <c r="S140" s="194"/>
      <c r="T140" s="194"/>
      <c r="U140" s="194"/>
      <c r="V140" s="194"/>
      <c r="W140" s="194"/>
      <c r="X140" s="194"/>
      <c r="Y140" s="194"/>
      <c r="Z140" s="194"/>
      <c r="AA140" s="194"/>
      <c r="AB140" s="194"/>
      <c r="AC140" s="194"/>
      <c r="AD140" s="194"/>
    </row>
    <row r="141" spans="17:30" x14ac:dyDescent="0.3">
      <c r="Q141" s="194"/>
      <c r="R141" s="194"/>
      <c r="S141" s="194"/>
      <c r="T141" s="194"/>
      <c r="U141" s="194"/>
      <c r="V141" s="194"/>
      <c r="W141" s="194"/>
      <c r="X141" s="194"/>
      <c r="Y141" s="194"/>
      <c r="Z141" s="194"/>
      <c r="AA141" s="194"/>
      <c r="AB141" s="194"/>
      <c r="AC141" s="194"/>
      <c r="AD141" s="194"/>
    </row>
    <row r="142" spans="17:30" x14ac:dyDescent="0.3">
      <c r="Q142" s="194"/>
      <c r="R142" s="194"/>
      <c r="S142" s="194"/>
      <c r="T142" s="194"/>
      <c r="U142" s="194"/>
      <c r="V142" s="194"/>
      <c r="W142" s="194"/>
      <c r="X142" s="194"/>
      <c r="Y142" s="194"/>
      <c r="Z142" s="194"/>
      <c r="AA142" s="194"/>
      <c r="AB142" s="194"/>
      <c r="AC142" s="194"/>
      <c r="AD142" s="194"/>
    </row>
    <row r="143" spans="17:30" x14ac:dyDescent="0.3">
      <c r="Q143" s="194"/>
      <c r="R143" s="194"/>
      <c r="S143" s="194"/>
      <c r="T143" s="194"/>
      <c r="U143" s="194"/>
      <c r="V143" s="194"/>
      <c r="W143" s="194"/>
      <c r="X143" s="194"/>
      <c r="Y143" s="194"/>
      <c r="Z143" s="194"/>
      <c r="AA143" s="194"/>
      <c r="AB143" s="194"/>
      <c r="AC143" s="194"/>
      <c r="AD143" s="194"/>
    </row>
    <row r="144" spans="17:30" x14ac:dyDescent="0.3">
      <c r="Q144" s="194"/>
      <c r="R144" s="194"/>
      <c r="S144" s="194"/>
      <c r="T144" s="194"/>
      <c r="U144" s="194"/>
      <c r="V144" s="194"/>
      <c r="W144" s="194"/>
      <c r="X144" s="194"/>
      <c r="Y144" s="194"/>
      <c r="Z144" s="194"/>
      <c r="AA144" s="194"/>
      <c r="AB144" s="194"/>
      <c r="AC144" s="194"/>
      <c r="AD144" s="194"/>
    </row>
    <row r="145" spans="17:30" x14ac:dyDescent="0.3">
      <c r="Q145" s="194"/>
      <c r="R145" s="194"/>
      <c r="S145" s="194"/>
      <c r="T145" s="194"/>
      <c r="U145" s="194"/>
      <c r="V145" s="194"/>
      <c r="W145" s="194"/>
      <c r="X145" s="194"/>
      <c r="Y145" s="194"/>
      <c r="Z145" s="194"/>
      <c r="AA145" s="194"/>
      <c r="AB145" s="194"/>
      <c r="AC145" s="194"/>
      <c r="AD145" s="194"/>
    </row>
    <row r="146" spans="17:30" x14ac:dyDescent="0.3">
      <c r="Q146" s="194"/>
      <c r="R146" s="194"/>
      <c r="S146" s="194"/>
      <c r="T146" s="194"/>
      <c r="U146" s="194"/>
      <c r="V146" s="194"/>
      <c r="W146" s="194"/>
      <c r="X146" s="194"/>
      <c r="Y146" s="194"/>
      <c r="Z146" s="194"/>
      <c r="AA146" s="194"/>
      <c r="AB146" s="194"/>
      <c r="AC146" s="194"/>
      <c r="AD146" s="194"/>
    </row>
    <row r="147" spans="17:30" x14ac:dyDescent="0.3">
      <c r="Q147" s="194"/>
      <c r="R147" s="194"/>
      <c r="S147" s="194"/>
      <c r="T147" s="194"/>
      <c r="U147" s="194"/>
      <c r="V147" s="194"/>
      <c r="W147" s="194"/>
      <c r="X147" s="194"/>
      <c r="Y147" s="194"/>
      <c r="Z147" s="194"/>
      <c r="AA147" s="194"/>
      <c r="AB147" s="194"/>
      <c r="AC147" s="194"/>
      <c r="AD147" s="194"/>
    </row>
    <row r="148" spans="17:30" x14ac:dyDescent="0.3">
      <c r="Q148" s="194"/>
      <c r="R148" s="194"/>
      <c r="S148" s="194"/>
      <c r="T148" s="194"/>
      <c r="U148" s="194"/>
      <c r="V148" s="194"/>
      <c r="W148" s="194"/>
      <c r="X148" s="194"/>
      <c r="Y148" s="194"/>
      <c r="Z148" s="194"/>
      <c r="AA148" s="194"/>
      <c r="AB148" s="194"/>
      <c r="AC148" s="194"/>
      <c r="AD148" s="194"/>
    </row>
    <row r="149" spans="17:30" x14ac:dyDescent="0.3">
      <c r="Q149" s="194"/>
      <c r="R149" s="194"/>
      <c r="S149" s="194"/>
      <c r="T149" s="194"/>
      <c r="U149" s="194"/>
      <c r="V149" s="194"/>
      <c r="W149" s="194"/>
      <c r="X149" s="194"/>
      <c r="Y149" s="194"/>
      <c r="Z149" s="194"/>
      <c r="AA149" s="194"/>
      <c r="AB149" s="194"/>
      <c r="AC149" s="194"/>
      <c r="AD149" s="194"/>
    </row>
    <row r="150" spans="17:30" x14ac:dyDescent="0.3">
      <c r="Q150" s="194"/>
      <c r="R150" s="194"/>
      <c r="S150" s="194"/>
      <c r="T150" s="194"/>
      <c r="U150" s="194"/>
      <c r="V150" s="194"/>
      <c r="W150" s="194"/>
      <c r="X150" s="194"/>
      <c r="Y150" s="194"/>
      <c r="Z150" s="194"/>
      <c r="AA150" s="194"/>
      <c r="AB150" s="194"/>
      <c r="AC150" s="194"/>
      <c r="AD150" s="194"/>
    </row>
    <row r="151" spans="17:30" x14ac:dyDescent="0.3">
      <c r="Q151" s="194"/>
      <c r="R151" s="194"/>
      <c r="S151" s="194"/>
      <c r="T151" s="194"/>
      <c r="U151" s="194"/>
      <c r="V151" s="194"/>
      <c r="W151" s="194"/>
      <c r="X151" s="194"/>
      <c r="Y151" s="194"/>
      <c r="Z151" s="194"/>
      <c r="AA151" s="194"/>
      <c r="AB151" s="194"/>
      <c r="AC151" s="194"/>
      <c r="AD151" s="194"/>
    </row>
    <row r="152" spans="17:30" x14ac:dyDescent="0.3">
      <c r="Q152" s="194"/>
      <c r="R152" s="194"/>
      <c r="S152" s="194"/>
      <c r="T152" s="194"/>
      <c r="U152" s="194"/>
      <c r="V152" s="194"/>
      <c r="W152" s="194"/>
      <c r="X152" s="194"/>
      <c r="Y152" s="194"/>
      <c r="Z152" s="194"/>
      <c r="AA152" s="194"/>
      <c r="AB152" s="194"/>
      <c r="AC152" s="194"/>
      <c r="AD152" s="194"/>
    </row>
    <row r="153" spans="17:30" x14ac:dyDescent="0.3">
      <c r="Q153" s="194"/>
      <c r="R153" s="194"/>
      <c r="S153" s="194"/>
      <c r="T153" s="194"/>
      <c r="U153" s="194"/>
      <c r="V153" s="194"/>
      <c r="W153" s="194"/>
      <c r="X153" s="194"/>
      <c r="Y153" s="194"/>
      <c r="Z153" s="194"/>
      <c r="AA153" s="194"/>
      <c r="AB153" s="194"/>
      <c r="AC153" s="194"/>
      <c r="AD153" s="194"/>
    </row>
    <row r="154" spans="17:30" x14ac:dyDescent="0.3">
      <c r="Q154" s="194"/>
      <c r="R154" s="194"/>
      <c r="S154" s="194"/>
      <c r="T154" s="194"/>
      <c r="U154" s="194"/>
      <c r="V154" s="194"/>
      <c r="W154" s="194"/>
      <c r="X154" s="194"/>
      <c r="Y154" s="194"/>
      <c r="Z154" s="194"/>
      <c r="AA154" s="194"/>
      <c r="AB154" s="194"/>
      <c r="AC154" s="194"/>
      <c r="AD154" s="194"/>
    </row>
    <row r="155" spans="17:30" x14ac:dyDescent="0.3">
      <c r="Q155" s="194"/>
      <c r="R155" s="194"/>
      <c r="S155" s="194"/>
      <c r="T155" s="194"/>
      <c r="U155" s="194"/>
      <c r="V155" s="194"/>
      <c r="W155" s="194"/>
      <c r="X155" s="194"/>
      <c r="Y155" s="194"/>
      <c r="Z155" s="194"/>
      <c r="AA155" s="194"/>
      <c r="AB155" s="194"/>
      <c r="AC155" s="194"/>
      <c r="AD155" s="194"/>
    </row>
    <row r="156" spans="17:30" x14ac:dyDescent="0.3">
      <c r="Q156" s="194"/>
      <c r="R156" s="194"/>
      <c r="S156" s="194"/>
      <c r="T156" s="194"/>
      <c r="U156" s="194"/>
      <c r="V156" s="194"/>
      <c r="W156" s="194"/>
      <c r="X156" s="194"/>
      <c r="Y156" s="194"/>
      <c r="Z156" s="194"/>
      <c r="AA156" s="194"/>
      <c r="AB156" s="194"/>
      <c r="AC156" s="194"/>
      <c r="AD156" s="194"/>
    </row>
    <row r="157" spans="17:30" x14ac:dyDescent="0.3">
      <c r="Q157" s="194"/>
      <c r="R157" s="194"/>
      <c r="S157" s="194"/>
      <c r="T157" s="194"/>
      <c r="U157" s="194"/>
      <c r="V157" s="194"/>
      <c r="W157" s="194"/>
      <c r="X157" s="194"/>
      <c r="Y157" s="194"/>
      <c r="Z157" s="194"/>
      <c r="AA157" s="194"/>
      <c r="AB157" s="194"/>
      <c r="AC157" s="194"/>
      <c r="AD157" s="194"/>
    </row>
    <row r="158" spans="17:30" x14ac:dyDescent="0.3">
      <c r="Q158" s="194"/>
      <c r="R158" s="194"/>
      <c r="S158" s="194"/>
      <c r="T158" s="194"/>
      <c r="U158" s="194"/>
      <c r="V158" s="194"/>
      <c r="W158" s="194"/>
      <c r="X158" s="194"/>
      <c r="Y158" s="194"/>
      <c r="Z158" s="194"/>
      <c r="AA158" s="194"/>
      <c r="AB158" s="194"/>
      <c r="AC158" s="194"/>
      <c r="AD158" s="194"/>
    </row>
    <row r="159" spans="17:30" x14ac:dyDescent="0.3">
      <c r="Q159" s="194"/>
      <c r="R159" s="194"/>
      <c r="S159" s="194"/>
      <c r="T159" s="194"/>
      <c r="U159" s="194"/>
      <c r="V159" s="194"/>
      <c r="W159" s="194"/>
      <c r="X159" s="194"/>
      <c r="Y159" s="194"/>
      <c r="Z159" s="194"/>
      <c r="AA159" s="194"/>
      <c r="AB159" s="194"/>
      <c r="AC159" s="194"/>
      <c r="AD159" s="194"/>
    </row>
    <row r="160" spans="17:30" x14ac:dyDescent="0.3">
      <c r="Q160" s="194"/>
      <c r="R160" s="194"/>
      <c r="S160" s="194"/>
      <c r="T160" s="194"/>
      <c r="U160" s="194"/>
      <c r="V160" s="194"/>
      <c r="W160" s="194"/>
      <c r="X160" s="194"/>
      <c r="Y160" s="194"/>
      <c r="Z160" s="194"/>
      <c r="AA160" s="194"/>
      <c r="AB160" s="194"/>
      <c r="AC160" s="194"/>
      <c r="AD160" s="194"/>
    </row>
    <row r="161" spans="17:30" x14ac:dyDescent="0.3">
      <c r="Q161" s="194"/>
      <c r="R161" s="194"/>
      <c r="S161" s="194"/>
      <c r="T161" s="194"/>
      <c r="U161" s="194"/>
      <c r="V161" s="194"/>
      <c r="W161" s="194"/>
      <c r="X161" s="194"/>
      <c r="Y161" s="194"/>
      <c r="Z161" s="194"/>
      <c r="AA161" s="194"/>
      <c r="AB161" s="194"/>
      <c r="AC161" s="194"/>
      <c r="AD161" s="194"/>
    </row>
    <row r="162" spans="17:30" x14ac:dyDescent="0.3">
      <c r="Q162" s="194"/>
      <c r="R162" s="194"/>
      <c r="S162" s="194"/>
      <c r="T162" s="194"/>
      <c r="U162" s="194"/>
      <c r="V162" s="194"/>
      <c r="W162" s="194"/>
      <c r="X162" s="194"/>
      <c r="Y162" s="194"/>
      <c r="Z162" s="194"/>
      <c r="AA162" s="194"/>
      <c r="AB162" s="194"/>
      <c r="AC162" s="194"/>
      <c r="AD162" s="194"/>
    </row>
    <row r="163" spans="17:30" x14ac:dyDescent="0.3">
      <c r="Q163" s="194"/>
      <c r="R163" s="194"/>
      <c r="S163" s="194"/>
      <c r="T163" s="194"/>
      <c r="U163" s="194"/>
      <c r="V163" s="194"/>
      <c r="W163" s="194"/>
      <c r="X163" s="194"/>
      <c r="Y163" s="194"/>
      <c r="Z163" s="194"/>
      <c r="AA163" s="194"/>
      <c r="AB163" s="194"/>
      <c r="AC163" s="194"/>
      <c r="AD163" s="194"/>
    </row>
    <row r="164" spans="17:30" x14ac:dyDescent="0.3">
      <c r="Q164" s="194"/>
      <c r="R164" s="194"/>
      <c r="S164" s="194"/>
      <c r="T164" s="194"/>
      <c r="U164" s="194"/>
      <c r="V164" s="194"/>
      <c r="W164" s="194"/>
      <c r="X164" s="194"/>
      <c r="Y164" s="194"/>
      <c r="Z164" s="194"/>
      <c r="AA164" s="194"/>
      <c r="AB164" s="194"/>
      <c r="AC164" s="194"/>
      <c r="AD164" s="194"/>
    </row>
    <row r="165" spans="17:30" x14ac:dyDescent="0.3">
      <c r="Q165" s="194"/>
      <c r="R165" s="194"/>
      <c r="S165" s="194"/>
      <c r="T165" s="194"/>
      <c r="U165" s="194"/>
      <c r="V165" s="194"/>
      <c r="W165" s="194"/>
      <c r="X165" s="194"/>
      <c r="Y165" s="194"/>
      <c r="Z165" s="194"/>
      <c r="AA165" s="194"/>
      <c r="AB165" s="194"/>
      <c r="AC165" s="194"/>
      <c r="AD165" s="194"/>
    </row>
    <row r="166" spans="17:30" x14ac:dyDescent="0.3">
      <c r="Q166" s="194"/>
      <c r="R166" s="194"/>
      <c r="S166" s="194"/>
      <c r="T166" s="194"/>
      <c r="U166" s="194"/>
      <c r="V166" s="194"/>
      <c r="W166" s="194"/>
      <c r="X166" s="194"/>
      <c r="Y166" s="194"/>
      <c r="Z166" s="194"/>
      <c r="AA166" s="194"/>
      <c r="AB166" s="194"/>
      <c r="AC166" s="194"/>
      <c r="AD166" s="194"/>
    </row>
    <row r="167" spans="17:30" x14ac:dyDescent="0.3">
      <c r="Q167" s="194"/>
      <c r="R167" s="194"/>
      <c r="S167" s="194"/>
      <c r="T167" s="194"/>
      <c r="U167" s="194"/>
      <c r="V167" s="194"/>
      <c r="W167" s="194"/>
      <c r="X167" s="194"/>
      <c r="Y167" s="194"/>
      <c r="Z167" s="194"/>
      <c r="AA167" s="194"/>
      <c r="AB167" s="194"/>
      <c r="AC167" s="194"/>
      <c r="AD167" s="194"/>
    </row>
    <row r="168" spans="17:30" x14ac:dyDescent="0.3">
      <c r="Q168" s="194"/>
      <c r="R168" s="194"/>
      <c r="S168" s="194"/>
      <c r="T168" s="194"/>
      <c r="U168" s="194"/>
      <c r="V168" s="194"/>
      <c r="W168" s="194"/>
      <c r="X168" s="194"/>
      <c r="Y168" s="194"/>
      <c r="Z168" s="194"/>
      <c r="AA168" s="194"/>
      <c r="AB168" s="194"/>
      <c r="AC168" s="194"/>
      <c r="AD168" s="194"/>
    </row>
    <row r="169" spans="17:30" x14ac:dyDescent="0.3">
      <c r="Q169" s="194"/>
      <c r="R169" s="194"/>
      <c r="S169" s="194"/>
      <c r="T169" s="194"/>
      <c r="U169" s="194"/>
      <c r="V169" s="194"/>
      <c r="W169" s="194"/>
      <c r="X169" s="194"/>
      <c r="Y169" s="194"/>
      <c r="Z169" s="194"/>
      <c r="AA169" s="194"/>
      <c r="AB169" s="194"/>
      <c r="AC169" s="194"/>
      <c r="AD169" s="194"/>
    </row>
    <row r="170" spans="17:30" x14ac:dyDescent="0.3">
      <c r="Q170" s="194"/>
      <c r="R170" s="194"/>
      <c r="S170" s="194"/>
      <c r="T170" s="194"/>
      <c r="U170" s="194"/>
      <c r="V170" s="194"/>
      <c r="W170" s="194"/>
      <c r="X170" s="194"/>
      <c r="Y170" s="194"/>
      <c r="Z170" s="194"/>
      <c r="AA170" s="194"/>
      <c r="AB170" s="194"/>
      <c r="AC170" s="194"/>
      <c r="AD170" s="194"/>
    </row>
    <row r="171" spans="17:30" x14ac:dyDescent="0.3">
      <c r="Q171" s="194"/>
      <c r="R171" s="194"/>
      <c r="S171" s="194"/>
      <c r="T171" s="194"/>
      <c r="U171" s="194"/>
      <c r="V171" s="194"/>
      <c r="W171" s="194"/>
      <c r="X171" s="194"/>
      <c r="Y171" s="194"/>
      <c r="Z171" s="194"/>
      <c r="AA171" s="194"/>
      <c r="AB171" s="194"/>
      <c r="AC171" s="194"/>
      <c r="AD171" s="194"/>
    </row>
    <row r="172" spans="17:30" x14ac:dyDescent="0.3">
      <c r="Q172" s="194"/>
      <c r="R172" s="194"/>
      <c r="S172" s="194"/>
      <c r="T172" s="194"/>
      <c r="U172" s="194"/>
      <c r="V172" s="194"/>
      <c r="W172" s="194"/>
      <c r="X172" s="194"/>
      <c r="Y172" s="194"/>
      <c r="Z172" s="194"/>
      <c r="AA172" s="194"/>
      <c r="AB172" s="194"/>
      <c r="AC172" s="194"/>
      <c r="AD172" s="194"/>
    </row>
    <row r="173" spans="17:30" x14ac:dyDescent="0.3">
      <c r="Q173" s="194"/>
      <c r="R173" s="194"/>
      <c r="S173" s="194"/>
      <c r="T173" s="194"/>
      <c r="U173" s="194"/>
      <c r="V173" s="194"/>
      <c r="W173" s="194"/>
      <c r="X173" s="194"/>
      <c r="Y173" s="194"/>
      <c r="Z173" s="194"/>
      <c r="AA173" s="194"/>
      <c r="AB173" s="194"/>
      <c r="AC173" s="194"/>
      <c r="AD173" s="194"/>
    </row>
    <row r="174" spans="17:30" x14ac:dyDescent="0.3">
      <c r="Q174" s="194"/>
      <c r="R174" s="194"/>
      <c r="S174" s="194"/>
      <c r="T174" s="194"/>
      <c r="U174" s="194"/>
      <c r="V174" s="194"/>
      <c r="W174" s="194"/>
      <c r="X174" s="194"/>
      <c r="Y174" s="194"/>
      <c r="Z174" s="194"/>
      <c r="AA174" s="194"/>
      <c r="AB174" s="194"/>
      <c r="AC174" s="194"/>
      <c r="AD174" s="194"/>
    </row>
    <row r="175" spans="17:30" x14ac:dyDescent="0.3">
      <c r="Q175" s="194"/>
      <c r="R175" s="194"/>
      <c r="S175" s="194"/>
      <c r="T175" s="194"/>
      <c r="U175" s="194"/>
      <c r="V175" s="194"/>
      <c r="W175" s="194"/>
      <c r="X175" s="194"/>
      <c r="Y175" s="194"/>
      <c r="Z175" s="194"/>
      <c r="AA175" s="194"/>
      <c r="AB175" s="194"/>
      <c r="AC175" s="194"/>
      <c r="AD175" s="194"/>
    </row>
    <row r="176" spans="17:30" x14ac:dyDescent="0.3">
      <c r="Q176" s="194"/>
      <c r="R176" s="194"/>
      <c r="S176" s="194"/>
      <c r="T176" s="194"/>
      <c r="U176" s="194"/>
      <c r="V176" s="194"/>
      <c r="W176" s="194"/>
      <c r="X176" s="194"/>
      <c r="Y176" s="194"/>
      <c r="Z176" s="194"/>
      <c r="AA176" s="194"/>
      <c r="AB176" s="194"/>
      <c r="AC176" s="194"/>
      <c r="AD176" s="194"/>
    </row>
    <row r="177" spans="17:30" x14ac:dyDescent="0.3">
      <c r="Q177" s="194"/>
      <c r="R177" s="194"/>
      <c r="S177" s="194"/>
      <c r="T177" s="194"/>
      <c r="U177" s="194"/>
      <c r="V177" s="194"/>
      <c r="W177" s="194"/>
      <c r="X177" s="194"/>
      <c r="Y177" s="194"/>
      <c r="Z177" s="194"/>
      <c r="AA177" s="194"/>
      <c r="AB177" s="194"/>
      <c r="AC177" s="194"/>
      <c r="AD177" s="194"/>
    </row>
    <row r="178" spans="17:30" x14ac:dyDescent="0.3">
      <c r="Q178" s="194"/>
      <c r="R178" s="194"/>
      <c r="S178" s="194"/>
      <c r="T178" s="194"/>
      <c r="U178" s="194"/>
      <c r="V178" s="194"/>
      <c r="W178" s="194"/>
      <c r="X178" s="194"/>
      <c r="Y178" s="194"/>
      <c r="Z178" s="194"/>
      <c r="AA178" s="194"/>
      <c r="AB178" s="194"/>
      <c r="AC178" s="194"/>
      <c r="AD178" s="194"/>
    </row>
    <row r="179" spans="17:30" x14ac:dyDescent="0.3">
      <c r="Q179" s="194"/>
      <c r="R179" s="194"/>
      <c r="S179" s="194"/>
      <c r="T179" s="194"/>
      <c r="U179" s="194"/>
      <c r="V179" s="194"/>
      <c r="W179" s="194"/>
      <c r="X179" s="194"/>
      <c r="Y179" s="194"/>
      <c r="Z179" s="194"/>
      <c r="AA179" s="194"/>
      <c r="AB179" s="194"/>
      <c r="AC179" s="194"/>
      <c r="AD179" s="194"/>
    </row>
    <row r="180" spans="17:30" x14ac:dyDescent="0.3">
      <c r="Q180" s="194"/>
      <c r="R180" s="194"/>
      <c r="S180" s="194"/>
      <c r="T180" s="194"/>
      <c r="U180" s="194"/>
      <c r="V180" s="194"/>
      <c r="W180" s="194"/>
      <c r="X180" s="194"/>
      <c r="Y180" s="194"/>
      <c r="Z180" s="194"/>
      <c r="AA180" s="194"/>
      <c r="AB180" s="194"/>
      <c r="AC180" s="194"/>
      <c r="AD180" s="194"/>
    </row>
    <row r="181" spans="17:30" x14ac:dyDescent="0.3">
      <c r="Q181" s="194"/>
      <c r="R181" s="194"/>
      <c r="S181" s="194"/>
      <c r="T181" s="194"/>
      <c r="U181" s="194"/>
      <c r="V181" s="194"/>
      <c r="W181" s="194"/>
      <c r="X181" s="194"/>
      <c r="Y181" s="194"/>
      <c r="Z181" s="194"/>
      <c r="AA181" s="194"/>
      <c r="AB181" s="194"/>
      <c r="AC181" s="194"/>
      <c r="AD181" s="194"/>
    </row>
    <row r="182" spans="17:30" x14ac:dyDescent="0.3">
      <c r="Q182" s="194"/>
      <c r="R182" s="194"/>
      <c r="S182" s="194"/>
      <c r="T182" s="194"/>
      <c r="U182" s="194"/>
      <c r="V182" s="194"/>
      <c r="W182" s="194"/>
      <c r="X182" s="194"/>
      <c r="Y182" s="194"/>
      <c r="Z182" s="194"/>
      <c r="AA182" s="194"/>
      <c r="AB182" s="194"/>
      <c r="AC182" s="194"/>
      <c r="AD182" s="194"/>
    </row>
    <row r="183" spans="17:30" x14ac:dyDescent="0.3">
      <c r="Q183" s="194"/>
      <c r="R183" s="194"/>
      <c r="S183" s="194"/>
      <c r="T183" s="194"/>
      <c r="U183" s="194"/>
      <c r="V183" s="194"/>
      <c r="W183" s="194"/>
      <c r="X183" s="194"/>
      <c r="Y183" s="194"/>
      <c r="Z183" s="194"/>
      <c r="AA183" s="194"/>
      <c r="AB183" s="194"/>
      <c r="AC183" s="194"/>
      <c r="AD183" s="194"/>
    </row>
    <row r="184" spans="17:30" x14ac:dyDescent="0.3">
      <c r="Q184" s="194"/>
      <c r="R184" s="194"/>
      <c r="S184" s="194"/>
      <c r="T184" s="194"/>
      <c r="U184" s="194"/>
      <c r="V184" s="194"/>
      <c r="W184" s="194"/>
      <c r="X184" s="194"/>
      <c r="Y184" s="194"/>
      <c r="Z184" s="194"/>
      <c r="AA184" s="194"/>
      <c r="AB184" s="194"/>
      <c r="AC184" s="194"/>
      <c r="AD184" s="194"/>
    </row>
    <row r="185" spans="17:30" x14ac:dyDescent="0.3">
      <c r="Q185" s="194"/>
      <c r="R185" s="194"/>
      <c r="S185" s="194"/>
      <c r="T185" s="194"/>
      <c r="U185" s="194"/>
      <c r="V185" s="194"/>
      <c r="W185" s="194"/>
      <c r="X185" s="194"/>
      <c r="Y185" s="194"/>
      <c r="Z185" s="194"/>
      <c r="AA185" s="194"/>
      <c r="AB185" s="194"/>
      <c r="AC185" s="194"/>
      <c r="AD185" s="194"/>
    </row>
    <row r="186" spans="17:30" x14ac:dyDescent="0.3">
      <c r="Q186" s="194"/>
      <c r="R186" s="194"/>
      <c r="S186" s="194"/>
      <c r="T186" s="194"/>
      <c r="U186" s="194"/>
      <c r="V186" s="194"/>
      <c r="W186" s="194"/>
      <c r="X186" s="194"/>
      <c r="Y186" s="194"/>
      <c r="Z186" s="194"/>
      <c r="AA186" s="194"/>
      <c r="AB186" s="194"/>
      <c r="AC186" s="194"/>
      <c r="AD186" s="194"/>
    </row>
    <row r="187" spans="17:30" x14ac:dyDescent="0.3">
      <c r="Q187" s="194"/>
      <c r="R187" s="194"/>
      <c r="S187" s="194"/>
      <c r="T187" s="194"/>
      <c r="U187" s="194"/>
      <c r="V187" s="194"/>
      <c r="W187" s="194"/>
      <c r="X187" s="194"/>
      <c r="Y187" s="194"/>
      <c r="Z187" s="194"/>
      <c r="AA187" s="194"/>
      <c r="AB187" s="194"/>
      <c r="AC187" s="194"/>
      <c r="AD187" s="194"/>
    </row>
    <row r="188" spans="17:30" x14ac:dyDescent="0.3">
      <c r="Q188" s="194"/>
      <c r="R188" s="194"/>
      <c r="S188" s="194"/>
      <c r="T188" s="194"/>
      <c r="U188" s="194"/>
      <c r="V188" s="194"/>
      <c r="W188" s="194"/>
      <c r="X188" s="194"/>
      <c r="Y188" s="194"/>
      <c r="Z188" s="194"/>
      <c r="AA188" s="194"/>
      <c r="AB188" s="194"/>
      <c r="AC188" s="194"/>
      <c r="AD188" s="194"/>
    </row>
    <row r="189" spans="17:30" x14ac:dyDescent="0.3">
      <c r="Q189" s="194"/>
      <c r="R189" s="194"/>
      <c r="S189" s="194"/>
      <c r="T189" s="194"/>
      <c r="U189" s="194"/>
      <c r="V189" s="194"/>
      <c r="W189" s="194"/>
      <c r="X189" s="194"/>
      <c r="Y189" s="194"/>
      <c r="Z189" s="194"/>
      <c r="AA189" s="194"/>
      <c r="AB189" s="194"/>
      <c r="AC189" s="194"/>
      <c r="AD189" s="194"/>
    </row>
    <row r="190" spans="17:30" x14ac:dyDescent="0.3">
      <c r="Q190" s="194"/>
      <c r="R190" s="194"/>
      <c r="S190" s="194"/>
      <c r="T190" s="194"/>
      <c r="U190" s="194"/>
      <c r="V190" s="194"/>
      <c r="W190" s="194"/>
      <c r="X190" s="194"/>
      <c r="Y190" s="194"/>
      <c r="Z190" s="194"/>
      <c r="AA190" s="194"/>
      <c r="AB190" s="194"/>
      <c r="AC190" s="194"/>
      <c r="AD190" s="194"/>
    </row>
    <row r="191" spans="17:30" x14ac:dyDescent="0.3">
      <c r="Q191" s="194"/>
      <c r="R191" s="194"/>
      <c r="S191" s="194"/>
      <c r="T191" s="194"/>
      <c r="U191" s="194"/>
      <c r="V191" s="194"/>
      <c r="W191" s="194"/>
      <c r="X191" s="194"/>
      <c r="Y191" s="194"/>
      <c r="Z191" s="194"/>
      <c r="AA191" s="194"/>
      <c r="AB191" s="194"/>
      <c r="AC191" s="194"/>
      <c r="AD191" s="194"/>
    </row>
    <row r="192" spans="17:30" x14ac:dyDescent="0.3">
      <c r="Q192" s="194"/>
      <c r="R192" s="194"/>
      <c r="S192" s="194"/>
      <c r="T192" s="194"/>
      <c r="U192" s="194"/>
      <c r="V192" s="194"/>
      <c r="W192" s="194"/>
      <c r="X192" s="194"/>
      <c r="Y192" s="194"/>
      <c r="Z192" s="194"/>
      <c r="AA192" s="194"/>
      <c r="AB192" s="194"/>
      <c r="AC192" s="194"/>
      <c r="AD192" s="194"/>
    </row>
    <row r="193" spans="17:30" x14ac:dyDescent="0.3">
      <c r="Q193" s="194"/>
      <c r="R193" s="194"/>
      <c r="S193" s="194"/>
      <c r="T193" s="194"/>
      <c r="U193" s="194"/>
      <c r="V193" s="194"/>
      <c r="W193" s="194"/>
      <c r="X193" s="194"/>
      <c r="Y193" s="194"/>
      <c r="Z193" s="194"/>
      <c r="AA193" s="194"/>
      <c r="AB193" s="194"/>
      <c r="AC193" s="194"/>
      <c r="AD193" s="194"/>
    </row>
    <row r="194" spans="17:30" x14ac:dyDescent="0.3">
      <c r="Q194" s="194"/>
      <c r="R194" s="194"/>
      <c r="S194" s="194"/>
      <c r="T194" s="194"/>
      <c r="U194" s="194"/>
      <c r="V194" s="194"/>
      <c r="W194" s="194"/>
      <c r="X194" s="194"/>
      <c r="Y194" s="194"/>
      <c r="Z194" s="194"/>
      <c r="AA194" s="194"/>
      <c r="AB194" s="194"/>
      <c r="AC194" s="194"/>
      <c r="AD194" s="194"/>
    </row>
    <row r="195" spans="17:30" x14ac:dyDescent="0.3">
      <c r="Q195" s="194"/>
      <c r="R195" s="194"/>
      <c r="S195" s="194"/>
      <c r="T195" s="194"/>
      <c r="U195" s="194"/>
      <c r="V195" s="194"/>
      <c r="W195" s="194"/>
      <c r="X195" s="194"/>
      <c r="Y195" s="194"/>
      <c r="Z195" s="194"/>
      <c r="AA195" s="194"/>
      <c r="AB195" s="194"/>
      <c r="AC195" s="194"/>
      <c r="AD195" s="194"/>
    </row>
    <row r="196" spans="17:30" x14ac:dyDescent="0.3">
      <c r="Q196" s="194"/>
      <c r="R196" s="194"/>
      <c r="S196" s="194"/>
      <c r="T196" s="194"/>
      <c r="U196" s="194"/>
      <c r="V196" s="194"/>
      <c r="W196" s="194"/>
      <c r="X196" s="194"/>
      <c r="Y196" s="194"/>
      <c r="Z196" s="194"/>
      <c r="AA196" s="194"/>
      <c r="AB196" s="194"/>
      <c r="AC196" s="194"/>
      <c r="AD196" s="194"/>
    </row>
    <row r="197" spans="17:30" x14ac:dyDescent="0.3">
      <c r="Q197" s="194"/>
      <c r="R197" s="194"/>
      <c r="S197" s="194"/>
      <c r="T197" s="194"/>
      <c r="U197" s="194"/>
      <c r="V197" s="194"/>
      <c r="W197" s="194"/>
      <c r="X197" s="194"/>
      <c r="Y197" s="194"/>
      <c r="Z197" s="194"/>
      <c r="AA197" s="194"/>
      <c r="AB197" s="194"/>
      <c r="AC197" s="194"/>
      <c r="AD197" s="194"/>
    </row>
    <row r="198" spans="17:30" x14ac:dyDescent="0.3">
      <c r="Q198" s="194"/>
      <c r="R198" s="194"/>
      <c r="S198" s="194"/>
      <c r="T198" s="194"/>
      <c r="U198" s="194"/>
      <c r="V198" s="194"/>
      <c r="W198" s="194"/>
      <c r="X198" s="194"/>
      <c r="Y198" s="194"/>
      <c r="Z198" s="194"/>
      <c r="AA198" s="194"/>
      <c r="AB198" s="194"/>
      <c r="AC198" s="194"/>
      <c r="AD198" s="194"/>
    </row>
    <row r="199" spans="17:30" x14ac:dyDescent="0.3">
      <c r="Q199" s="194"/>
      <c r="R199" s="194"/>
      <c r="S199" s="194"/>
      <c r="T199" s="194"/>
      <c r="U199" s="194"/>
      <c r="V199" s="194"/>
      <c r="W199" s="194"/>
      <c r="X199" s="194"/>
      <c r="Y199" s="194"/>
      <c r="Z199" s="194"/>
      <c r="AA199" s="194"/>
      <c r="AB199" s="194"/>
      <c r="AC199" s="194"/>
      <c r="AD199" s="194"/>
    </row>
    <row r="200" spans="17:30" x14ac:dyDescent="0.3">
      <c r="Q200" s="194"/>
      <c r="R200" s="194"/>
      <c r="S200" s="194"/>
      <c r="T200" s="194"/>
      <c r="U200" s="194"/>
      <c r="V200" s="194"/>
      <c r="W200" s="194"/>
      <c r="X200" s="194"/>
      <c r="Y200" s="194"/>
      <c r="Z200" s="194"/>
      <c r="AA200" s="194"/>
      <c r="AB200" s="194"/>
      <c r="AC200" s="194"/>
      <c r="AD200" s="194"/>
    </row>
    <row r="201" spans="17:30" x14ac:dyDescent="0.3">
      <c r="Q201" s="194"/>
      <c r="R201" s="194"/>
      <c r="S201" s="194"/>
      <c r="T201" s="194"/>
      <c r="U201" s="194"/>
      <c r="V201" s="194"/>
      <c r="W201" s="194"/>
      <c r="X201" s="194"/>
      <c r="Y201" s="194"/>
      <c r="Z201" s="194"/>
      <c r="AA201" s="194"/>
      <c r="AB201" s="194"/>
      <c r="AC201" s="194"/>
      <c r="AD201" s="194"/>
    </row>
    <row r="202" spans="17:30" x14ac:dyDescent="0.3">
      <c r="Q202" s="194"/>
      <c r="R202" s="194"/>
      <c r="S202" s="194"/>
      <c r="T202" s="194"/>
      <c r="U202" s="194"/>
      <c r="V202" s="194"/>
      <c r="W202" s="194"/>
      <c r="X202" s="194"/>
      <c r="Y202" s="194"/>
      <c r="Z202" s="194"/>
      <c r="AA202" s="194"/>
      <c r="AB202" s="194"/>
      <c r="AC202" s="194"/>
      <c r="AD202" s="194"/>
    </row>
    <row r="203" spans="17:30" x14ac:dyDescent="0.3">
      <c r="Q203" s="194"/>
      <c r="R203" s="194"/>
      <c r="S203" s="194"/>
      <c r="T203" s="194"/>
      <c r="U203" s="194"/>
      <c r="V203" s="194"/>
      <c r="W203" s="194"/>
      <c r="X203" s="194"/>
      <c r="Y203" s="194"/>
      <c r="Z203" s="194"/>
      <c r="AA203" s="194"/>
      <c r="AB203" s="194"/>
      <c r="AC203" s="194"/>
      <c r="AD203" s="194"/>
    </row>
    <row r="204" spans="17:30" x14ac:dyDescent="0.3">
      <c r="Q204" s="194"/>
      <c r="R204" s="194"/>
      <c r="S204" s="194"/>
      <c r="T204" s="194"/>
      <c r="U204" s="194"/>
      <c r="V204" s="194"/>
      <c r="W204" s="194"/>
      <c r="X204" s="194"/>
      <c r="Y204" s="194"/>
      <c r="Z204" s="194"/>
      <c r="AA204" s="194"/>
      <c r="AB204" s="194"/>
      <c r="AC204" s="194"/>
      <c r="AD204" s="194"/>
    </row>
    <row r="205" spans="17:30" x14ac:dyDescent="0.3">
      <c r="Q205" s="194"/>
      <c r="R205" s="194"/>
      <c r="S205" s="194"/>
      <c r="T205" s="194"/>
      <c r="U205" s="194"/>
      <c r="V205" s="194"/>
      <c r="W205" s="194"/>
      <c r="X205" s="194"/>
      <c r="Y205" s="194"/>
      <c r="Z205" s="194"/>
      <c r="AA205" s="194"/>
      <c r="AB205" s="194"/>
      <c r="AC205" s="194"/>
      <c r="AD205" s="194"/>
    </row>
    <row r="206" spans="17:30" x14ac:dyDescent="0.3">
      <c r="Q206" s="194"/>
      <c r="R206" s="194"/>
      <c r="S206" s="194"/>
      <c r="T206" s="194"/>
      <c r="U206" s="194"/>
      <c r="V206" s="194"/>
      <c r="W206" s="194"/>
      <c r="X206" s="194"/>
      <c r="Y206" s="194"/>
      <c r="Z206" s="194"/>
      <c r="AA206" s="194"/>
      <c r="AB206" s="194"/>
      <c r="AC206" s="194"/>
      <c r="AD206" s="194"/>
    </row>
    <row r="207" spans="17:30" x14ac:dyDescent="0.3">
      <c r="Q207" s="194"/>
      <c r="R207" s="194"/>
      <c r="S207" s="194"/>
      <c r="T207" s="194"/>
      <c r="U207" s="194"/>
      <c r="V207" s="194"/>
      <c r="W207" s="194"/>
      <c r="X207" s="194"/>
      <c r="Y207" s="194"/>
      <c r="Z207" s="194"/>
      <c r="AA207" s="194"/>
      <c r="AB207" s="194"/>
      <c r="AC207" s="194"/>
      <c r="AD207" s="194"/>
    </row>
    <row r="208" spans="17:30" x14ac:dyDescent="0.3">
      <c r="Q208" s="194"/>
      <c r="R208" s="194"/>
      <c r="S208" s="194"/>
      <c r="T208" s="194"/>
      <c r="U208" s="194"/>
      <c r="V208" s="194"/>
      <c r="W208" s="194"/>
      <c r="X208" s="194"/>
      <c r="Y208" s="194"/>
      <c r="Z208" s="194"/>
      <c r="AA208" s="194"/>
      <c r="AB208" s="194"/>
      <c r="AC208" s="194"/>
      <c r="AD208" s="194"/>
    </row>
    <row r="209" spans="17:30" x14ac:dyDescent="0.3">
      <c r="Q209" s="194"/>
      <c r="R209" s="194"/>
      <c r="S209" s="194"/>
      <c r="T209" s="194"/>
      <c r="U209" s="194"/>
      <c r="V209" s="194"/>
      <c r="W209" s="194"/>
      <c r="X209" s="194"/>
      <c r="Y209" s="194"/>
      <c r="Z209" s="194"/>
      <c r="AA209" s="194"/>
      <c r="AB209" s="194"/>
      <c r="AC209" s="194"/>
      <c r="AD209" s="194"/>
    </row>
    <row r="210" spans="17:30" x14ac:dyDescent="0.3">
      <c r="Q210" s="194"/>
      <c r="R210" s="194"/>
      <c r="S210" s="194"/>
      <c r="T210" s="194"/>
      <c r="U210" s="194"/>
      <c r="V210" s="194"/>
      <c r="W210" s="194"/>
      <c r="X210" s="194"/>
      <c r="Y210" s="194"/>
      <c r="Z210" s="194"/>
      <c r="AA210" s="194"/>
      <c r="AB210" s="194"/>
      <c r="AC210" s="194"/>
      <c r="AD210" s="194"/>
    </row>
    <row r="211" spans="17:30" x14ac:dyDescent="0.3">
      <c r="Q211" s="194"/>
      <c r="R211" s="194"/>
      <c r="S211" s="194"/>
      <c r="T211" s="194"/>
      <c r="U211" s="194"/>
      <c r="V211" s="194"/>
      <c r="W211" s="194"/>
      <c r="X211" s="194"/>
      <c r="Y211" s="194"/>
      <c r="Z211" s="194"/>
      <c r="AA211" s="194"/>
      <c r="AB211" s="194"/>
      <c r="AC211" s="194"/>
      <c r="AD211" s="194"/>
    </row>
    <row r="212" spans="17:30" x14ac:dyDescent="0.3">
      <c r="Q212" s="194"/>
      <c r="R212" s="194"/>
      <c r="S212" s="194"/>
      <c r="T212" s="194"/>
      <c r="U212" s="194"/>
      <c r="V212" s="194"/>
      <c r="W212" s="194"/>
      <c r="X212" s="194"/>
      <c r="Y212" s="194"/>
      <c r="Z212" s="194"/>
      <c r="AA212" s="194"/>
      <c r="AB212" s="194"/>
      <c r="AC212" s="194"/>
      <c r="AD212" s="194"/>
    </row>
    <row r="213" spans="17:30" x14ac:dyDescent="0.3">
      <c r="Q213" s="194"/>
      <c r="R213" s="194"/>
      <c r="S213" s="194"/>
      <c r="T213" s="194"/>
      <c r="U213" s="194"/>
      <c r="V213" s="194"/>
      <c r="W213" s="194"/>
      <c r="X213" s="194"/>
      <c r="Y213" s="194"/>
      <c r="Z213" s="194"/>
      <c r="AA213" s="194"/>
      <c r="AB213" s="194"/>
      <c r="AC213" s="194"/>
      <c r="AD213" s="194"/>
    </row>
    <row r="214" spans="17:30" x14ac:dyDescent="0.3">
      <c r="Q214" s="194"/>
      <c r="R214" s="194"/>
      <c r="S214" s="194"/>
      <c r="T214" s="194"/>
      <c r="U214" s="194"/>
      <c r="V214" s="194"/>
      <c r="W214" s="194"/>
      <c r="X214" s="194"/>
      <c r="Y214" s="194"/>
      <c r="Z214" s="194"/>
      <c r="AA214" s="194"/>
      <c r="AB214" s="194"/>
      <c r="AC214" s="194"/>
      <c r="AD214" s="194"/>
    </row>
    <row r="215" spans="17:30" x14ac:dyDescent="0.3">
      <c r="Q215" s="194"/>
      <c r="R215" s="194"/>
      <c r="S215" s="194"/>
      <c r="T215" s="194"/>
      <c r="U215" s="194"/>
      <c r="V215" s="194"/>
      <c r="W215" s="194"/>
      <c r="X215" s="194"/>
      <c r="Y215" s="194"/>
      <c r="Z215" s="194"/>
      <c r="AA215" s="194"/>
      <c r="AB215" s="194"/>
      <c r="AC215" s="194"/>
      <c r="AD215" s="194"/>
    </row>
    <row r="216" spans="17:30" x14ac:dyDescent="0.3">
      <c r="Q216" s="194"/>
      <c r="R216" s="194"/>
      <c r="S216" s="194"/>
      <c r="T216" s="194"/>
      <c r="U216" s="194"/>
      <c r="V216" s="194"/>
      <c r="W216" s="194"/>
      <c r="X216" s="194"/>
      <c r="Y216" s="194"/>
      <c r="Z216" s="194"/>
      <c r="AA216" s="194"/>
      <c r="AB216" s="194"/>
      <c r="AC216" s="194"/>
      <c r="AD216" s="194"/>
    </row>
    <row r="217" spans="17:30" x14ac:dyDescent="0.3">
      <c r="Q217" s="194"/>
      <c r="R217" s="194"/>
      <c r="S217" s="194"/>
      <c r="T217" s="194"/>
      <c r="U217" s="194"/>
      <c r="V217" s="194"/>
      <c r="W217" s="194"/>
      <c r="X217" s="194"/>
      <c r="Y217" s="194"/>
      <c r="Z217" s="194"/>
      <c r="AA217" s="194"/>
      <c r="AB217" s="194"/>
      <c r="AC217" s="194"/>
      <c r="AD217" s="194"/>
    </row>
    <row r="218" spans="17:30" x14ac:dyDescent="0.3">
      <c r="Q218" s="194"/>
      <c r="R218" s="194"/>
      <c r="S218" s="194"/>
      <c r="T218" s="194"/>
      <c r="U218" s="194"/>
      <c r="V218" s="194"/>
      <c r="W218" s="194"/>
      <c r="X218" s="194"/>
      <c r="Y218" s="194"/>
      <c r="Z218" s="194"/>
      <c r="AA218" s="194"/>
      <c r="AB218" s="194"/>
      <c r="AC218" s="194"/>
      <c r="AD218" s="194"/>
    </row>
    <row r="219" spans="17:30" x14ac:dyDescent="0.3">
      <c r="Q219" s="194"/>
      <c r="R219" s="194"/>
      <c r="S219" s="194"/>
      <c r="T219" s="194"/>
      <c r="U219" s="194"/>
      <c r="V219" s="194"/>
      <c r="W219" s="194"/>
      <c r="X219" s="194"/>
      <c r="Y219" s="194"/>
      <c r="Z219" s="194"/>
      <c r="AA219" s="194"/>
      <c r="AB219" s="194"/>
      <c r="AC219" s="194"/>
      <c r="AD219" s="194"/>
    </row>
    <row r="220" spans="17:30" x14ac:dyDescent="0.3">
      <c r="Q220" s="194"/>
      <c r="R220" s="194"/>
      <c r="S220" s="194"/>
      <c r="T220" s="194"/>
      <c r="U220" s="194"/>
      <c r="V220" s="194"/>
      <c r="W220" s="194"/>
      <c r="X220" s="194"/>
      <c r="Y220" s="194"/>
      <c r="Z220" s="194"/>
      <c r="AA220" s="194"/>
      <c r="AB220" s="194"/>
      <c r="AC220" s="194"/>
      <c r="AD220" s="194"/>
    </row>
    <row r="221" spans="17:30" x14ac:dyDescent="0.3">
      <c r="Q221" s="194"/>
      <c r="R221" s="194"/>
      <c r="S221" s="194"/>
      <c r="T221" s="194"/>
      <c r="U221" s="194"/>
      <c r="V221" s="194"/>
      <c r="W221" s="194"/>
      <c r="X221" s="194"/>
      <c r="Y221" s="194"/>
      <c r="Z221" s="194"/>
      <c r="AA221" s="194"/>
      <c r="AB221" s="194"/>
      <c r="AC221" s="194"/>
      <c r="AD221" s="194"/>
    </row>
    <row r="222" spans="17:30" x14ac:dyDescent="0.3">
      <c r="Q222" s="194"/>
      <c r="R222" s="194"/>
      <c r="S222" s="194"/>
      <c r="T222" s="194"/>
      <c r="U222" s="194"/>
      <c r="V222" s="194"/>
      <c r="W222" s="194"/>
      <c r="X222" s="194"/>
      <c r="Y222" s="194"/>
      <c r="Z222" s="194"/>
      <c r="AA222" s="194"/>
      <c r="AB222" s="194"/>
      <c r="AC222" s="194"/>
      <c r="AD222" s="194"/>
    </row>
    <row r="223" spans="17:30" x14ac:dyDescent="0.3">
      <c r="Q223" s="194"/>
      <c r="R223" s="194"/>
      <c r="S223" s="194"/>
      <c r="T223" s="194"/>
      <c r="U223" s="194"/>
      <c r="V223" s="194"/>
      <c r="W223" s="194"/>
      <c r="X223" s="194"/>
      <c r="Y223" s="194"/>
      <c r="Z223" s="194"/>
      <c r="AA223" s="194"/>
      <c r="AB223" s="194"/>
      <c r="AC223" s="194"/>
      <c r="AD223" s="194"/>
    </row>
    <row r="224" spans="17:30" x14ac:dyDescent="0.3">
      <c r="Q224" s="194"/>
      <c r="R224" s="194"/>
      <c r="S224" s="194"/>
      <c r="T224" s="194"/>
      <c r="U224" s="194"/>
      <c r="V224" s="194"/>
      <c r="W224" s="194"/>
      <c r="X224" s="194"/>
      <c r="Y224" s="194"/>
      <c r="Z224" s="194"/>
      <c r="AA224" s="194"/>
      <c r="AB224" s="194"/>
      <c r="AC224" s="194"/>
      <c r="AD224" s="194"/>
    </row>
    <row r="225" spans="17:30" x14ac:dyDescent="0.3">
      <c r="Q225" s="194"/>
      <c r="R225" s="194"/>
      <c r="S225" s="194"/>
      <c r="T225" s="194"/>
      <c r="U225" s="194"/>
      <c r="V225" s="194"/>
      <c r="W225" s="194"/>
      <c r="X225" s="194"/>
      <c r="Y225" s="194"/>
      <c r="Z225" s="194"/>
      <c r="AA225" s="194"/>
      <c r="AB225" s="194"/>
      <c r="AC225" s="194"/>
      <c r="AD225" s="194"/>
    </row>
    <row r="226" spans="17:30" x14ac:dyDescent="0.3">
      <c r="Q226" s="194"/>
      <c r="R226" s="194"/>
      <c r="S226" s="194"/>
      <c r="T226" s="194"/>
      <c r="U226" s="194"/>
      <c r="V226" s="194"/>
      <c r="W226" s="194"/>
      <c r="X226" s="194"/>
      <c r="Y226" s="194"/>
      <c r="Z226" s="194"/>
      <c r="AA226" s="194"/>
      <c r="AB226" s="194"/>
      <c r="AC226" s="194"/>
      <c r="AD226" s="194"/>
    </row>
    <row r="227" spans="17:30" x14ac:dyDescent="0.3">
      <c r="Q227" s="194"/>
      <c r="R227" s="194"/>
      <c r="S227" s="194"/>
      <c r="T227" s="194"/>
      <c r="U227" s="194"/>
      <c r="V227" s="194"/>
      <c r="W227" s="194"/>
      <c r="X227" s="194"/>
      <c r="Y227" s="194"/>
      <c r="Z227" s="194"/>
      <c r="AA227" s="194"/>
      <c r="AB227" s="194"/>
      <c r="AC227" s="194"/>
      <c r="AD227" s="194"/>
    </row>
    <row r="228" spans="17:30" x14ac:dyDescent="0.3">
      <c r="Q228" s="194"/>
      <c r="R228" s="194"/>
      <c r="S228" s="194"/>
      <c r="T228" s="194"/>
      <c r="U228" s="194"/>
      <c r="V228" s="194"/>
      <c r="W228" s="194"/>
      <c r="X228" s="194"/>
      <c r="Y228" s="194"/>
      <c r="Z228" s="194"/>
      <c r="AA228" s="194"/>
      <c r="AB228" s="194"/>
      <c r="AC228" s="194"/>
      <c r="AD228" s="194"/>
    </row>
    <row r="229" spans="17:30" x14ac:dyDescent="0.3">
      <c r="Q229" s="194"/>
      <c r="R229" s="194"/>
      <c r="S229" s="194"/>
      <c r="T229" s="194"/>
      <c r="U229" s="194"/>
      <c r="V229" s="194"/>
      <c r="W229" s="194"/>
      <c r="X229" s="194"/>
      <c r="Y229" s="194"/>
      <c r="Z229" s="194"/>
      <c r="AA229" s="194"/>
      <c r="AB229" s="194"/>
      <c r="AC229" s="194"/>
      <c r="AD229" s="194"/>
    </row>
    <row r="230" spans="17:30" x14ac:dyDescent="0.3">
      <c r="Q230" s="194"/>
      <c r="R230" s="194"/>
      <c r="S230" s="194"/>
      <c r="T230" s="194"/>
      <c r="U230" s="194"/>
      <c r="V230" s="194"/>
      <c r="W230" s="194"/>
      <c r="X230" s="194"/>
      <c r="Y230" s="194"/>
      <c r="Z230" s="194"/>
      <c r="AA230" s="194"/>
      <c r="AB230" s="194"/>
      <c r="AC230" s="194"/>
      <c r="AD230" s="194"/>
    </row>
    <row r="231" spans="17:30" x14ac:dyDescent="0.3">
      <c r="Q231" s="194"/>
      <c r="R231" s="194"/>
      <c r="S231" s="194"/>
      <c r="T231" s="194"/>
      <c r="U231" s="194"/>
      <c r="V231" s="194"/>
      <c r="W231" s="194"/>
      <c r="X231" s="194"/>
      <c r="Y231" s="194"/>
      <c r="Z231" s="194"/>
      <c r="AA231" s="194"/>
      <c r="AB231" s="194"/>
      <c r="AC231" s="194"/>
      <c r="AD231" s="194"/>
    </row>
    <row r="232" spans="17:30" x14ac:dyDescent="0.3">
      <c r="Q232" s="194"/>
      <c r="R232" s="194"/>
      <c r="S232" s="194"/>
      <c r="T232" s="194"/>
      <c r="U232" s="194"/>
      <c r="V232" s="194"/>
      <c r="W232" s="194"/>
      <c r="X232" s="194"/>
      <c r="Y232" s="194"/>
      <c r="Z232" s="194"/>
      <c r="AA232" s="194"/>
      <c r="AB232" s="194"/>
      <c r="AC232" s="194"/>
      <c r="AD232" s="194"/>
    </row>
    <row r="233" spans="17:30" x14ac:dyDescent="0.3">
      <c r="Q233" s="194"/>
      <c r="R233" s="194"/>
      <c r="S233" s="194"/>
      <c r="T233" s="194"/>
      <c r="U233" s="194"/>
      <c r="V233" s="194"/>
      <c r="W233" s="194"/>
      <c r="X233" s="194"/>
      <c r="Y233" s="194"/>
      <c r="Z233" s="194"/>
      <c r="AA233" s="194"/>
      <c r="AB233" s="194"/>
      <c r="AC233" s="194"/>
      <c r="AD233" s="194"/>
    </row>
    <row r="234" spans="17:30" x14ac:dyDescent="0.3">
      <c r="Q234" s="194"/>
      <c r="R234" s="194"/>
      <c r="S234" s="194"/>
      <c r="T234" s="194"/>
      <c r="U234" s="194"/>
      <c r="V234" s="194"/>
      <c r="W234" s="194"/>
      <c r="X234" s="194"/>
      <c r="Y234" s="194"/>
      <c r="Z234" s="194"/>
      <c r="AA234" s="194"/>
      <c r="AB234" s="194"/>
      <c r="AC234" s="194"/>
      <c r="AD234" s="194"/>
    </row>
    <row r="235" spans="17:30" x14ac:dyDescent="0.3">
      <c r="Q235" s="194"/>
      <c r="R235" s="194"/>
      <c r="S235" s="194"/>
      <c r="T235" s="194"/>
      <c r="U235" s="194"/>
      <c r="V235" s="194"/>
      <c r="W235" s="194"/>
      <c r="X235" s="194"/>
      <c r="Y235" s="194"/>
      <c r="Z235" s="194"/>
      <c r="AA235" s="194"/>
      <c r="AB235" s="194"/>
      <c r="AC235" s="194"/>
      <c r="AD235" s="194"/>
    </row>
    <row r="236" spans="17:30" x14ac:dyDescent="0.3">
      <c r="Q236" s="194"/>
      <c r="R236" s="194"/>
      <c r="S236" s="194"/>
      <c r="T236" s="194"/>
      <c r="U236" s="194"/>
      <c r="V236" s="194"/>
      <c r="W236" s="194"/>
      <c r="X236" s="194"/>
      <c r="Y236" s="194"/>
      <c r="Z236" s="194"/>
      <c r="AA236" s="194"/>
      <c r="AB236" s="194"/>
      <c r="AC236" s="194"/>
      <c r="AD236" s="194"/>
    </row>
    <row r="237" spans="17:30" x14ac:dyDescent="0.3">
      <c r="Q237" s="194"/>
      <c r="R237" s="194"/>
      <c r="S237" s="194"/>
      <c r="T237" s="194"/>
      <c r="U237" s="194"/>
      <c r="V237" s="194"/>
      <c r="W237" s="194"/>
      <c r="X237" s="194"/>
      <c r="Y237" s="194"/>
      <c r="Z237" s="194"/>
      <c r="AA237" s="194"/>
      <c r="AB237" s="194"/>
      <c r="AC237" s="194"/>
      <c r="AD237" s="194"/>
    </row>
    <row r="238" spans="17:30" x14ac:dyDescent="0.3">
      <c r="Q238" s="194"/>
      <c r="R238" s="194"/>
      <c r="S238" s="194"/>
      <c r="T238" s="194"/>
      <c r="U238" s="194"/>
      <c r="V238" s="194"/>
      <c r="W238" s="194"/>
      <c r="X238" s="194"/>
      <c r="Y238" s="194"/>
      <c r="Z238" s="194"/>
      <c r="AA238" s="194"/>
      <c r="AB238" s="194"/>
      <c r="AC238" s="194"/>
      <c r="AD238" s="194"/>
    </row>
    <row r="239" spans="17:30" x14ac:dyDescent="0.3">
      <c r="Q239" s="194"/>
      <c r="R239" s="194"/>
      <c r="S239" s="194"/>
      <c r="T239" s="194"/>
      <c r="U239" s="194"/>
      <c r="V239" s="194"/>
      <c r="W239" s="194"/>
      <c r="X239" s="194"/>
      <c r="Y239" s="194"/>
      <c r="Z239" s="194"/>
      <c r="AA239" s="194"/>
      <c r="AB239" s="194"/>
      <c r="AC239" s="194"/>
      <c r="AD239" s="194"/>
    </row>
    <row r="240" spans="17:30" x14ac:dyDescent="0.3">
      <c r="Q240" s="194"/>
      <c r="R240" s="194"/>
      <c r="S240" s="194"/>
      <c r="T240" s="194"/>
      <c r="U240" s="194"/>
      <c r="V240" s="194"/>
      <c r="W240" s="194"/>
      <c r="X240" s="194"/>
      <c r="Y240" s="194"/>
      <c r="Z240" s="194"/>
      <c r="AA240" s="194"/>
      <c r="AB240" s="194"/>
      <c r="AC240" s="194"/>
      <c r="AD240" s="194"/>
    </row>
    <row r="241" spans="17:30" x14ac:dyDescent="0.3">
      <c r="Q241" s="194"/>
      <c r="R241" s="194"/>
      <c r="S241" s="194"/>
      <c r="T241" s="194"/>
      <c r="U241" s="194"/>
      <c r="V241" s="194"/>
      <c r="W241" s="194"/>
      <c r="X241" s="194"/>
      <c r="Y241" s="194"/>
      <c r="Z241" s="194"/>
      <c r="AA241" s="194"/>
      <c r="AB241" s="194"/>
      <c r="AC241" s="194"/>
      <c r="AD241" s="194"/>
    </row>
    <row r="242" spans="17:30" x14ac:dyDescent="0.3">
      <c r="Q242" s="194"/>
      <c r="R242" s="194"/>
      <c r="S242" s="194"/>
      <c r="T242" s="194"/>
      <c r="U242" s="194"/>
      <c r="V242" s="194"/>
      <c r="W242" s="194"/>
      <c r="X242" s="194"/>
      <c r="Y242" s="194"/>
      <c r="Z242" s="194"/>
      <c r="AA242" s="194"/>
      <c r="AB242" s="194"/>
      <c r="AC242" s="194"/>
      <c r="AD242" s="194"/>
    </row>
    <row r="243" spans="17:30" x14ac:dyDescent="0.3">
      <c r="Q243" s="194"/>
      <c r="R243" s="194"/>
      <c r="S243" s="194"/>
      <c r="T243" s="194"/>
      <c r="U243" s="194"/>
      <c r="V243" s="194"/>
      <c r="W243" s="194"/>
      <c r="X243" s="194"/>
      <c r="Y243" s="194"/>
      <c r="Z243" s="194"/>
      <c r="AA243" s="194"/>
      <c r="AB243" s="194"/>
      <c r="AC243" s="194"/>
      <c r="AD243" s="194"/>
    </row>
    <row r="244" spans="17:30" x14ac:dyDescent="0.3">
      <c r="Q244" s="194"/>
      <c r="R244" s="194"/>
      <c r="S244" s="194"/>
      <c r="T244" s="194"/>
      <c r="U244" s="194"/>
      <c r="V244" s="194"/>
      <c r="W244" s="194"/>
      <c r="X244" s="194"/>
      <c r="Y244" s="194"/>
      <c r="Z244" s="194"/>
      <c r="AA244" s="194"/>
      <c r="AB244" s="194"/>
      <c r="AC244" s="194"/>
      <c r="AD244" s="194"/>
    </row>
    <row r="245" spans="17:30" x14ac:dyDescent="0.3">
      <c r="Q245" s="194"/>
      <c r="R245" s="194"/>
      <c r="S245" s="194"/>
      <c r="T245" s="194"/>
      <c r="U245" s="194"/>
      <c r="V245" s="194"/>
      <c r="W245" s="194"/>
      <c r="X245" s="194"/>
      <c r="Y245" s="194"/>
      <c r="Z245" s="194"/>
      <c r="AA245" s="194"/>
      <c r="AB245" s="194"/>
      <c r="AC245" s="194"/>
      <c r="AD245" s="194"/>
    </row>
    <row r="246" spans="17:30" x14ac:dyDescent="0.3">
      <c r="Q246" s="194"/>
      <c r="R246" s="194"/>
      <c r="S246" s="194"/>
      <c r="T246" s="194"/>
      <c r="U246" s="194"/>
      <c r="V246" s="194"/>
      <c r="W246" s="194"/>
      <c r="X246" s="194"/>
      <c r="Y246" s="194"/>
      <c r="Z246" s="194"/>
      <c r="AA246" s="194"/>
      <c r="AB246" s="194"/>
      <c r="AC246" s="194"/>
      <c r="AD246" s="194"/>
    </row>
    <row r="247" spans="17:30" x14ac:dyDescent="0.3">
      <c r="Q247" s="194"/>
      <c r="R247" s="194"/>
      <c r="S247" s="194"/>
      <c r="T247" s="194"/>
      <c r="U247" s="194"/>
      <c r="V247" s="194"/>
      <c r="W247" s="194"/>
      <c r="X247" s="194"/>
      <c r="Y247" s="194"/>
      <c r="Z247" s="194"/>
      <c r="AA247" s="194"/>
      <c r="AB247" s="194"/>
      <c r="AC247" s="194"/>
      <c r="AD247" s="194"/>
    </row>
    <row r="248" spans="17:30" x14ac:dyDescent="0.3">
      <c r="Q248" s="194"/>
      <c r="R248" s="194"/>
      <c r="S248" s="194"/>
      <c r="T248" s="194"/>
      <c r="U248" s="194"/>
      <c r="V248" s="194"/>
      <c r="W248" s="194"/>
      <c r="X248" s="194"/>
      <c r="Y248" s="194"/>
      <c r="Z248" s="194"/>
      <c r="AA248" s="194"/>
      <c r="AB248" s="194"/>
      <c r="AC248" s="194"/>
      <c r="AD248" s="194"/>
    </row>
    <row r="249" spans="17:30" x14ac:dyDescent="0.3">
      <c r="Q249" s="194"/>
      <c r="R249" s="194"/>
      <c r="S249" s="194"/>
      <c r="T249" s="194"/>
      <c r="U249" s="194"/>
      <c r="V249" s="194"/>
      <c r="W249" s="194"/>
      <c r="X249" s="194"/>
      <c r="Y249" s="194"/>
      <c r="Z249" s="194"/>
      <c r="AA249" s="194"/>
      <c r="AB249" s="194"/>
      <c r="AC249" s="194"/>
      <c r="AD249" s="194"/>
    </row>
    <row r="250" spans="17:30" x14ac:dyDescent="0.3">
      <c r="Q250" s="194"/>
      <c r="R250" s="194"/>
      <c r="S250" s="194"/>
      <c r="T250" s="194"/>
      <c r="U250" s="194"/>
      <c r="V250" s="194"/>
      <c r="W250" s="194"/>
      <c r="X250" s="194"/>
      <c r="Y250" s="194"/>
      <c r="Z250" s="194"/>
      <c r="AA250" s="194"/>
      <c r="AB250" s="194"/>
      <c r="AC250" s="194"/>
      <c r="AD250" s="194"/>
    </row>
    <row r="251" spans="17:30" x14ac:dyDescent="0.3">
      <c r="Q251" s="194"/>
      <c r="R251" s="194"/>
      <c r="S251" s="194"/>
      <c r="T251" s="194"/>
      <c r="U251" s="194"/>
      <c r="V251" s="194"/>
      <c r="W251" s="194"/>
      <c r="X251" s="194"/>
      <c r="Y251" s="194"/>
      <c r="Z251" s="194"/>
      <c r="AA251" s="194"/>
      <c r="AB251" s="194"/>
      <c r="AC251" s="194"/>
      <c r="AD251" s="194"/>
    </row>
    <row r="252" spans="17:30" x14ac:dyDescent="0.3">
      <c r="Q252" s="194"/>
      <c r="R252" s="194"/>
      <c r="S252" s="194"/>
      <c r="T252" s="194"/>
      <c r="U252" s="194"/>
      <c r="V252" s="194"/>
      <c r="W252" s="194"/>
      <c r="X252" s="194"/>
      <c r="Y252" s="194"/>
      <c r="Z252" s="194"/>
      <c r="AA252" s="194"/>
      <c r="AB252" s="194"/>
      <c r="AC252" s="194"/>
      <c r="AD252" s="194"/>
    </row>
    <row r="253" spans="17:30" x14ac:dyDescent="0.3">
      <c r="Q253" s="194"/>
      <c r="R253" s="194"/>
      <c r="S253" s="194"/>
      <c r="T253" s="194"/>
      <c r="U253" s="194"/>
      <c r="V253" s="194"/>
      <c r="W253" s="194"/>
      <c r="X253" s="194"/>
      <c r="Y253" s="194"/>
      <c r="Z253" s="194"/>
      <c r="AA253" s="194"/>
      <c r="AB253" s="194"/>
      <c r="AC253" s="194"/>
      <c r="AD253" s="194"/>
    </row>
    <row r="254" spans="17:30" x14ac:dyDescent="0.3">
      <c r="Q254" s="194"/>
      <c r="R254" s="194"/>
      <c r="S254" s="194"/>
      <c r="T254" s="194"/>
      <c r="U254" s="194"/>
      <c r="V254" s="194"/>
      <c r="W254" s="194"/>
      <c r="X254" s="194"/>
      <c r="Y254" s="194"/>
      <c r="Z254" s="194"/>
      <c r="AA254" s="194"/>
      <c r="AB254" s="194"/>
      <c r="AC254" s="194"/>
      <c r="AD254" s="194"/>
    </row>
    <row r="255" spans="17:30" x14ac:dyDescent="0.3">
      <c r="Q255" s="194"/>
      <c r="R255" s="194"/>
      <c r="S255" s="194"/>
      <c r="T255" s="194"/>
      <c r="U255" s="194"/>
      <c r="V255" s="194"/>
      <c r="W255" s="194"/>
      <c r="X255" s="194"/>
      <c r="Y255" s="194"/>
      <c r="Z255" s="194"/>
      <c r="AA255" s="194"/>
      <c r="AB255" s="194"/>
      <c r="AC255" s="194"/>
      <c r="AD255" s="194"/>
    </row>
    <row r="256" spans="17:30" x14ac:dyDescent="0.3">
      <c r="Q256" s="194"/>
      <c r="R256" s="194"/>
      <c r="S256" s="194"/>
      <c r="T256" s="194"/>
      <c r="U256" s="194"/>
      <c r="V256" s="194"/>
      <c r="W256" s="194"/>
      <c r="X256" s="194"/>
      <c r="Y256" s="194"/>
      <c r="Z256" s="194"/>
      <c r="AA256" s="194"/>
      <c r="AB256" s="194"/>
      <c r="AC256" s="194"/>
      <c r="AD256" s="194"/>
    </row>
    <row r="257" spans="17:30" x14ac:dyDescent="0.3">
      <c r="Q257" s="194"/>
      <c r="R257" s="194"/>
      <c r="S257" s="194"/>
      <c r="T257" s="194"/>
      <c r="U257" s="194"/>
      <c r="V257" s="194"/>
      <c r="W257" s="194"/>
      <c r="X257" s="194"/>
      <c r="Y257" s="194"/>
      <c r="Z257" s="194"/>
      <c r="AA257" s="194"/>
      <c r="AB257" s="194"/>
      <c r="AC257" s="194"/>
      <c r="AD257" s="194"/>
    </row>
    <row r="258" spans="17:30" x14ac:dyDescent="0.3">
      <c r="Q258" s="194"/>
      <c r="R258" s="194"/>
      <c r="S258" s="194"/>
      <c r="T258" s="194"/>
      <c r="U258" s="194"/>
      <c r="V258" s="194"/>
      <c r="W258" s="194"/>
      <c r="X258" s="194"/>
      <c r="Y258" s="194"/>
      <c r="Z258" s="194"/>
      <c r="AA258" s="194"/>
      <c r="AB258" s="194"/>
      <c r="AC258" s="194"/>
      <c r="AD258" s="194"/>
    </row>
    <row r="259" spans="17:30" x14ac:dyDescent="0.3">
      <c r="Q259" s="194"/>
      <c r="R259" s="194"/>
      <c r="S259" s="194"/>
      <c r="T259" s="194"/>
      <c r="U259" s="194"/>
      <c r="V259" s="194"/>
      <c r="W259" s="194"/>
      <c r="X259" s="194"/>
      <c r="Y259" s="194"/>
      <c r="Z259" s="194"/>
      <c r="AA259" s="194"/>
      <c r="AB259" s="194"/>
      <c r="AC259" s="194"/>
      <c r="AD259" s="194"/>
    </row>
    <row r="260" spans="17:30" x14ac:dyDescent="0.3">
      <c r="Q260" s="194"/>
      <c r="R260" s="194"/>
      <c r="S260" s="194"/>
      <c r="T260" s="194"/>
      <c r="U260" s="194"/>
      <c r="V260" s="194"/>
      <c r="W260" s="194"/>
      <c r="X260" s="194"/>
      <c r="Y260" s="194"/>
      <c r="Z260" s="194"/>
      <c r="AA260" s="194"/>
      <c r="AB260" s="194"/>
      <c r="AC260" s="194"/>
      <c r="AD260" s="194"/>
    </row>
    <row r="261" spans="17:30" x14ac:dyDescent="0.3">
      <c r="Q261" s="194"/>
      <c r="R261" s="194"/>
      <c r="S261" s="194"/>
      <c r="T261" s="194"/>
      <c r="U261" s="194"/>
      <c r="V261" s="194"/>
      <c r="W261" s="194"/>
      <c r="X261" s="194"/>
      <c r="Y261" s="194"/>
      <c r="Z261" s="194"/>
      <c r="AA261" s="194"/>
      <c r="AB261" s="194"/>
      <c r="AC261" s="194"/>
      <c r="AD261" s="194"/>
    </row>
    <row r="262" spans="17:30" x14ac:dyDescent="0.3">
      <c r="Q262" s="194"/>
      <c r="R262" s="194"/>
      <c r="S262" s="194"/>
      <c r="T262" s="194"/>
      <c r="U262" s="194"/>
      <c r="V262" s="194"/>
      <c r="W262" s="194"/>
      <c r="X262" s="194"/>
      <c r="Y262" s="194"/>
      <c r="Z262" s="194"/>
      <c r="AA262" s="194"/>
      <c r="AB262" s="194"/>
      <c r="AC262" s="194"/>
      <c r="AD262" s="194"/>
    </row>
    <row r="263" spans="17:30" x14ac:dyDescent="0.3">
      <c r="Q263" s="194"/>
      <c r="R263" s="194"/>
      <c r="S263" s="194"/>
      <c r="T263" s="194"/>
      <c r="U263" s="194"/>
      <c r="V263" s="194"/>
      <c r="W263" s="194"/>
      <c r="X263" s="194"/>
      <c r="Y263" s="194"/>
      <c r="Z263" s="194"/>
      <c r="AA263" s="194"/>
      <c r="AB263" s="194"/>
      <c r="AC263" s="194"/>
      <c r="AD263" s="194"/>
    </row>
    <row r="264" spans="17:30" x14ac:dyDescent="0.3">
      <c r="Q264" s="194"/>
      <c r="R264" s="194"/>
      <c r="S264" s="194"/>
      <c r="T264" s="194"/>
      <c r="U264" s="194"/>
      <c r="V264" s="194"/>
      <c r="W264" s="194"/>
      <c r="X264" s="194"/>
      <c r="Y264" s="194"/>
      <c r="Z264" s="194"/>
      <c r="AA264" s="194"/>
      <c r="AB264" s="194"/>
      <c r="AC264" s="194"/>
      <c r="AD264" s="194"/>
    </row>
    <row r="265" spans="17:30" x14ac:dyDescent="0.3">
      <c r="Q265" s="194"/>
      <c r="R265" s="194"/>
      <c r="S265" s="194"/>
      <c r="T265" s="194"/>
      <c r="U265" s="194"/>
      <c r="V265" s="194"/>
      <c r="W265" s="194"/>
      <c r="X265" s="194"/>
      <c r="Y265" s="194"/>
      <c r="Z265" s="194"/>
      <c r="AA265" s="194"/>
      <c r="AB265" s="194"/>
      <c r="AC265" s="194"/>
      <c r="AD265" s="194"/>
    </row>
    <row r="266" spans="17:30" x14ac:dyDescent="0.3">
      <c r="Q266" s="194"/>
      <c r="R266" s="194"/>
      <c r="S266" s="194"/>
      <c r="T266" s="194"/>
      <c r="U266" s="194"/>
      <c r="V266" s="194"/>
      <c r="W266" s="194"/>
      <c r="X266" s="194"/>
      <c r="Y266" s="194"/>
      <c r="Z266" s="194"/>
      <c r="AA266" s="194"/>
      <c r="AB266" s="194"/>
      <c r="AC266" s="194"/>
      <c r="AD266" s="194"/>
    </row>
    <row r="267" spans="17:30" x14ac:dyDescent="0.3">
      <c r="Q267" s="194"/>
      <c r="R267" s="194"/>
      <c r="S267" s="194"/>
      <c r="T267" s="194"/>
      <c r="U267" s="194"/>
      <c r="V267" s="194"/>
      <c r="W267" s="194"/>
      <c r="X267" s="194"/>
      <c r="Y267" s="194"/>
      <c r="Z267" s="194"/>
      <c r="AA267" s="194"/>
      <c r="AB267" s="194"/>
      <c r="AC267" s="194"/>
      <c r="AD267" s="194"/>
    </row>
    <row r="268" spans="17:30" x14ac:dyDescent="0.3">
      <c r="Q268" s="194"/>
      <c r="R268" s="194"/>
      <c r="S268" s="194"/>
      <c r="T268" s="194"/>
      <c r="U268" s="194"/>
      <c r="V268" s="194"/>
      <c r="W268" s="194"/>
      <c r="X268" s="194"/>
      <c r="Y268" s="194"/>
      <c r="Z268" s="194"/>
      <c r="AA268" s="194"/>
      <c r="AB268" s="194"/>
      <c r="AC268" s="194"/>
      <c r="AD268" s="194"/>
    </row>
    <row r="269" spans="17:30" x14ac:dyDescent="0.3">
      <c r="Q269" s="194"/>
      <c r="R269" s="194"/>
      <c r="S269" s="194"/>
      <c r="T269" s="194"/>
      <c r="U269" s="194"/>
      <c r="V269" s="194"/>
      <c r="W269" s="194"/>
      <c r="X269" s="194"/>
      <c r="Y269" s="194"/>
      <c r="Z269" s="194"/>
      <c r="AA269" s="194"/>
      <c r="AB269" s="194"/>
      <c r="AC269" s="194"/>
      <c r="AD269" s="194"/>
    </row>
    <row r="270" spans="17:30" x14ac:dyDescent="0.3">
      <c r="Q270" s="194"/>
      <c r="R270" s="194"/>
      <c r="S270" s="194"/>
      <c r="T270" s="194"/>
      <c r="U270" s="194"/>
      <c r="V270" s="194"/>
      <c r="W270" s="194"/>
      <c r="X270" s="194"/>
      <c r="Y270" s="194"/>
      <c r="Z270" s="194"/>
      <c r="AA270" s="194"/>
      <c r="AB270" s="194"/>
      <c r="AC270" s="194"/>
      <c r="AD270" s="194"/>
    </row>
    <row r="271" spans="17:30" x14ac:dyDescent="0.3">
      <c r="Q271" s="194"/>
      <c r="R271" s="194"/>
      <c r="S271" s="194"/>
      <c r="T271" s="194"/>
      <c r="U271" s="194"/>
      <c r="V271" s="194"/>
      <c r="W271" s="194"/>
      <c r="X271" s="194"/>
      <c r="Y271" s="194"/>
      <c r="Z271" s="194"/>
      <c r="AA271" s="194"/>
      <c r="AB271" s="194"/>
      <c r="AC271" s="194"/>
      <c r="AD271" s="194"/>
    </row>
    <row r="272" spans="17:30" x14ac:dyDescent="0.3">
      <c r="Q272" s="194"/>
      <c r="R272" s="194"/>
      <c r="S272" s="194"/>
      <c r="T272" s="194"/>
      <c r="U272" s="194"/>
      <c r="V272" s="194"/>
      <c r="W272" s="194"/>
      <c r="X272" s="194"/>
      <c r="Y272" s="194"/>
      <c r="Z272" s="194"/>
      <c r="AA272" s="194"/>
      <c r="AB272" s="194"/>
      <c r="AC272" s="194"/>
      <c r="AD272" s="194"/>
    </row>
    <row r="273" spans="17:30" x14ac:dyDescent="0.3">
      <c r="Q273" s="194"/>
      <c r="R273" s="194"/>
      <c r="S273" s="194"/>
      <c r="T273" s="194"/>
      <c r="U273" s="194"/>
      <c r="V273" s="194"/>
      <c r="W273" s="194"/>
      <c r="X273" s="194"/>
      <c r="Y273" s="194"/>
      <c r="Z273" s="194"/>
      <c r="AA273" s="194"/>
      <c r="AB273" s="194"/>
      <c r="AC273" s="194"/>
      <c r="AD273" s="194"/>
    </row>
    <row r="274" spans="17:30" x14ac:dyDescent="0.3">
      <c r="Q274" s="194"/>
      <c r="R274" s="194"/>
      <c r="S274" s="194"/>
      <c r="T274" s="194"/>
      <c r="U274" s="194"/>
      <c r="V274" s="194"/>
      <c r="W274" s="194"/>
      <c r="X274" s="194"/>
      <c r="Y274" s="194"/>
      <c r="Z274" s="194"/>
      <c r="AA274" s="194"/>
      <c r="AB274" s="194"/>
      <c r="AC274" s="194"/>
      <c r="AD274" s="194"/>
    </row>
    <row r="275" spans="17:30" x14ac:dyDescent="0.3">
      <c r="Q275" s="194"/>
      <c r="R275" s="194"/>
      <c r="S275" s="194"/>
      <c r="T275" s="194"/>
      <c r="U275" s="194"/>
      <c r="V275" s="194"/>
      <c r="W275" s="194"/>
      <c r="X275" s="194"/>
      <c r="Y275" s="194"/>
      <c r="Z275" s="194"/>
      <c r="AA275" s="194"/>
      <c r="AB275" s="194"/>
      <c r="AC275" s="194"/>
      <c r="AD275" s="194"/>
    </row>
    <row r="276" spans="17:30" x14ac:dyDescent="0.3">
      <c r="Q276" s="194"/>
      <c r="R276" s="194"/>
      <c r="S276" s="194"/>
      <c r="T276" s="194"/>
      <c r="U276" s="194"/>
      <c r="V276" s="194"/>
      <c r="W276" s="194"/>
      <c r="X276" s="194"/>
      <c r="Y276" s="194"/>
      <c r="Z276" s="194"/>
      <c r="AA276" s="194"/>
      <c r="AB276" s="194"/>
      <c r="AC276" s="194"/>
      <c r="AD276" s="194"/>
    </row>
    <row r="277" spans="17:30" x14ac:dyDescent="0.3">
      <c r="Q277" s="194"/>
      <c r="R277" s="194"/>
      <c r="S277" s="194"/>
      <c r="T277" s="194"/>
      <c r="U277" s="194"/>
      <c r="V277" s="194"/>
      <c r="W277" s="194"/>
      <c r="X277" s="194"/>
      <c r="Y277" s="194"/>
      <c r="Z277" s="194"/>
      <c r="AA277" s="194"/>
      <c r="AB277" s="194"/>
      <c r="AC277" s="194"/>
      <c r="AD277" s="194"/>
    </row>
    <row r="278" spans="17:30" x14ac:dyDescent="0.3">
      <c r="Q278" s="194"/>
      <c r="R278" s="194"/>
      <c r="S278" s="194"/>
      <c r="T278" s="194"/>
      <c r="U278" s="194"/>
      <c r="V278" s="194"/>
      <c r="W278" s="194"/>
      <c r="X278" s="194"/>
      <c r="Y278" s="194"/>
      <c r="Z278" s="194"/>
      <c r="AA278" s="194"/>
      <c r="AB278" s="194"/>
      <c r="AC278" s="194"/>
      <c r="AD278" s="194"/>
    </row>
    <row r="279" spans="17:30" x14ac:dyDescent="0.3">
      <c r="Q279" s="194"/>
      <c r="R279" s="194"/>
      <c r="S279" s="194"/>
      <c r="T279" s="194"/>
      <c r="U279" s="194"/>
      <c r="V279" s="194"/>
      <c r="W279" s="194"/>
      <c r="X279" s="194"/>
      <c r="Y279" s="194"/>
      <c r="Z279" s="194"/>
      <c r="AA279" s="194"/>
      <c r="AB279" s="194"/>
      <c r="AC279" s="194"/>
      <c r="AD279" s="194"/>
    </row>
    <row r="280" spans="17:30" x14ac:dyDescent="0.3">
      <c r="Q280" s="194"/>
      <c r="R280" s="194"/>
      <c r="S280" s="194"/>
      <c r="T280" s="194"/>
      <c r="U280" s="194"/>
      <c r="V280" s="194"/>
      <c r="W280" s="194"/>
      <c r="X280" s="194"/>
      <c r="Y280" s="194"/>
      <c r="Z280" s="194"/>
      <c r="AA280" s="194"/>
      <c r="AB280" s="194"/>
      <c r="AC280" s="194"/>
      <c r="AD280" s="194"/>
    </row>
    <row r="281" spans="17:30" x14ac:dyDescent="0.3">
      <c r="Q281" s="194"/>
      <c r="R281" s="194"/>
      <c r="S281" s="194"/>
      <c r="T281" s="194"/>
      <c r="U281" s="194"/>
      <c r="V281" s="194"/>
      <c r="W281" s="194"/>
      <c r="X281" s="194"/>
      <c r="Y281" s="194"/>
      <c r="Z281" s="194"/>
      <c r="AA281" s="194"/>
      <c r="AB281" s="194"/>
      <c r="AC281" s="194"/>
      <c r="AD281" s="194"/>
    </row>
    <row r="282" spans="17:30" x14ac:dyDescent="0.3">
      <c r="Q282" s="194"/>
      <c r="R282" s="194"/>
      <c r="S282" s="194"/>
      <c r="T282" s="194"/>
      <c r="U282" s="194"/>
      <c r="V282" s="194"/>
      <c r="W282" s="194"/>
      <c r="X282" s="194"/>
      <c r="Y282" s="194"/>
      <c r="Z282" s="194"/>
      <c r="AA282" s="194"/>
      <c r="AB282" s="194"/>
      <c r="AC282" s="194"/>
      <c r="AD282" s="194"/>
    </row>
    <row r="283" spans="17:30" x14ac:dyDescent="0.3">
      <c r="Q283" s="194"/>
      <c r="R283" s="194"/>
      <c r="S283" s="194"/>
      <c r="T283" s="194"/>
      <c r="U283" s="194"/>
      <c r="V283" s="194"/>
      <c r="W283" s="194"/>
      <c r="X283" s="194"/>
      <c r="Y283" s="194"/>
      <c r="Z283" s="194"/>
      <c r="AA283" s="194"/>
      <c r="AB283" s="194"/>
      <c r="AC283" s="194"/>
      <c r="AD283" s="194"/>
    </row>
    <row r="284" spans="17:30" x14ac:dyDescent="0.3">
      <c r="Q284" s="194"/>
      <c r="R284" s="194"/>
      <c r="S284" s="194"/>
      <c r="T284" s="194"/>
      <c r="U284" s="194"/>
      <c r="V284" s="194"/>
      <c r="W284" s="194"/>
      <c r="X284" s="194"/>
      <c r="Y284" s="194"/>
      <c r="Z284" s="194"/>
      <c r="AA284" s="194"/>
      <c r="AB284" s="194"/>
      <c r="AC284" s="194"/>
      <c r="AD284" s="194"/>
    </row>
    <row r="285" spans="17:30" x14ac:dyDescent="0.3">
      <c r="Q285" s="194"/>
      <c r="R285" s="194"/>
      <c r="S285" s="194"/>
      <c r="T285" s="194"/>
      <c r="U285" s="194"/>
      <c r="V285" s="194"/>
      <c r="W285" s="194"/>
      <c r="X285" s="194"/>
      <c r="Y285" s="194"/>
      <c r="Z285" s="194"/>
      <c r="AA285" s="194"/>
      <c r="AB285" s="194"/>
      <c r="AC285" s="194"/>
      <c r="AD285" s="194"/>
    </row>
    <row r="286" spans="17:30" x14ac:dyDescent="0.3">
      <c r="Q286" s="194"/>
      <c r="R286" s="194"/>
      <c r="S286" s="194"/>
      <c r="T286" s="194"/>
      <c r="U286" s="194"/>
      <c r="V286" s="194"/>
      <c r="W286" s="194"/>
      <c r="X286" s="194"/>
      <c r="Y286" s="194"/>
      <c r="Z286" s="194"/>
      <c r="AA286" s="194"/>
      <c r="AB286" s="194"/>
      <c r="AC286" s="194"/>
      <c r="AD286" s="194"/>
    </row>
    <row r="287" spans="17:30" x14ac:dyDescent="0.3">
      <c r="Q287" s="194"/>
      <c r="R287" s="194"/>
      <c r="S287" s="194"/>
      <c r="T287" s="194"/>
      <c r="U287" s="194"/>
      <c r="V287" s="194"/>
      <c r="W287" s="194"/>
      <c r="X287" s="194"/>
      <c r="Y287" s="194"/>
      <c r="Z287" s="194"/>
      <c r="AA287" s="194"/>
      <c r="AB287" s="194"/>
      <c r="AC287" s="194"/>
      <c r="AD287" s="194"/>
    </row>
    <row r="288" spans="17:30" x14ac:dyDescent="0.3">
      <c r="Q288" s="194"/>
      <c r="R288" s="194"/>
      <c r="S288" s="194"/>
      <c r="T288" s="194"/>
      <c r="U288" s="194"/>
      <c r="V288" s="194"/>
      <c r="W288" s="194"/>
      <c r="X288" s="194"/>
      <c r="Y288" s="194"/>
      <c r="Z288" s="194"/>
      <c r="AA288" s="194"/>
      <c r="AB288" s="194"/>
      <c r="AC288" s="194"/>
      <c r="AD288" s="194"/>
    </row>
    <row r="289" spans="17:30" x14ac:dyDescent="0.3">
      <c r="Q289" s="194"/>
      <c r="R289" s="194"/>
      <c r="S289" s="194"/>
      <c r="T289" s="194"/>
      <c r="U289" s="194"/>
      <c r="V289" s="194"/>
      <c r="W289" s="194"/>
      <c r="X289" s="194"/>
      <c r="Y289" s="194"/>
      <c r="Z289" s="194"/>
      <c r="AA289" s="194"/>
      <c r="AB289" s="194"/>
      <c r="AC289" s="194"/>
      <c r="AD289" s="194"/>
    </row>
    <row r="290" spans="17:30" x14ac:dyDescent="0.3">
      <c r="Q290" s="194"/>
      <c r="R290" s="194"/>
      <c r="S290" s="194"/>
      <c r="T290" s="194"/>
      <c r="U290" s="194"/>
      <c r="V290" s="194"/>
      <c r="W290" s="194"/>
      <c r="X290" s="194"/>
      <c r="Y290" s="194"/>
      <c r="Z290" s="194"/>
      <c r="AA290" s="194"/>
      <c r="AB290" s="194"/>
      <c r="AC290" s="194"/>
      <c r="AD290" s="194"/>
    </row>
    <row r="291" spans="17:30" x14ac:dyDescent="0.3">
      <c r="Q291" s="194"/>
      <c r="R291" s="194"/>
      <c r="S291" s="194"/>
      <c r="T291" s="194"/>
      <c r="U291" s="194"/>
      <c r="V291" s="194"/>
      <c r="W291" s="194"/>
      <c r="X291" s="194"/>
      <c r="Y291" s="194"/>
      <c r="Z291" s="194"/>
      <c r="AA291" s="194"/>
      <c r="AB291" s="194"/>
      <c r="AC291" s="194"/>
      <c r="AD291" s="194"/>
    </row>
    <row r="292" spans="17:30" x14ac:dyDescent="0.3">
      <c r="Q292" s="194"/>
      <c r="R292" s="194"/>
      <c r="S292" s="194"/>
      <c r="T292" s="194"/>
      <c r="U292" s="194"/>
      <c r="V292" s="194"/>
      <c r="W292" s="194"/>
      <c r="X292" s="194"/>
      <c r="Y292" s="194"/>
      <c r="Z292" s="194"/>
      <c r="AA292" s="194"/>
      <c r="AB292" s="194"/>
      <c r="AC292" s="194"/>
      <c r="AD292" s="194"/>
    </row>
    <row r="293" spans="17:30" x14ac:dyDescent="0.3">
      <c r="Q293" s="194"/>
      <c r="R293" s="194"/>
      <c r="S293" s="194"/>
      <c r="T293" s="194"/>
      <c r="U293" s="194"/>
      <c r="V293" s="194"/>
      <c r="W293" s="194"/>
      <c r="X293" s="194"/>
      <c r="Y293" s="194"/>
      <c r="Z293" s="194"/>
      <c r="AA293" s="194"/>
      <c r="AB293" s="194"/>
      <c r="AC293" s="194"/>
      <c r="AD293" s="194"/>
    </row>
    <row r="294" spans="17:30" x14ac:dyDescent="0.3">
      <c r="Q294" s="194"/>
      <c r="R294" s="194"/>
      <c r="S294" s="194"/>
      <c r="T294" s="194"/>
      <c r="U294" s="194"/>
      <c r="V294" s="194"/>
      <c r="W294" s="194"/>
      <c r="X294" s="194"/>
      <c r="Y294" s="194"/>
      <c r="Z294" s="194"/>
      <c r="AA294" s="194"/>
      <c r="AB294" s="194"/>
      <c r="AC294" s="194"/>
      <c r="AD294" s="194"/>
    </row>
    <row r="295" spans="17:30" x14ac:dyDescent="0.3">
      <c r="Q295" s="194"/>
      <c r="R295" s="194"/>
      <c r="S295" s="194"/>
      <c r="T295" s="194"/>
      <c r="U295" s="194"/>
      <c r="V295" s="194"/>
      <c r="W295" s="194"/>
      <c r="X295" s="194"/>
      <c r="Y295" s="194"/>
      <c r="Z295" s="194"/>
      <c r="AA295" s="194"/>
      <c r="AB295" s="194"/>
      <c r="AC295" s="194"/>
      <c r="AD295" s="194"/>
    </row>
    <row r="296" spans="17:30" x14ac:dyDescent="0.3">
      <c r="Q296" s="194"/>
      <c r="R296" s="194"/>
      <c r="S296" s="194"/>
      <c r="T296" s="194"/>
      <c r="U296" s="194"/>
      <c r="V296" s="194"/>
      <c r="W296" s="194"/>
      <c r="X296" s="194"/>
      <c r="Y296" s="194"/>
      <c r="Z296" s="194"/>
      <c r="AA296" s="194"/>
      <c r="AB296" s="194"/>
      <c r="AC296" s="194"/>
      <c r="AD296" s="194"/>
    </row>
    <row r="297" spans="17:30" x14ac:dyDescent="0.3">
      <c r="Q297" s="194"/>
      <c r="R297" s="194"/>
      <c r="S297" s="194"/>
      <c r="T297" s="194"/>
      <c r="U297" s="194"/>
      <c r="V297" s="194"/>
      <c r="W297" s="194"/>
      <c r="X297" s="194"/>
      <c r="Y297" s="194"/>
      <c r="Z297" s="194"/>
      <c r="AA297" s="194"/>
      <c r="AB297" s="194"/>
      <c r="AC297" s="194"/>
      <c r="AD297" s="194"/>
    </row>
    <row r="298" spans="17:30" x14ac:dyDescent="0.3">
      <c r="Q298" s="194"/>
      <c r="R298" s="194"/>
      <c r="S298" s="194"/>
      <c r="T298" s="194"/>
      <c r="U298" s="194"/>
      <c r="V298" s="194"/>
      <c r="W298" s="194"/>
      <c r="X298" s="194"/>
      <c r="Y298" s="194"/>
      <c r="Z298" s="194"/>
      <c r="AA298" s="194"/>
      <c r="AB298" s="194"/>
      <c r="AC298" s="194"/>
      <c r="AD298" s="194"/>
    </row>
    <row r="299" spans="17:30" x14ac:dyDescent="0.3">
      <c r="Q299" s="194"/>
      <c r="R299" s="194"/>
      <c r="S299" s="194"/>
      <c r="T299" s="194"/>
      <c r="U299" s="194"/>
      <c r="V299" s="194"/>
      <c r="W299" s="194"/>
      <c r="X299" s="194"/>
      <c r="Y299" s="194"/>
      <c r="Z299" s="194"/>
      <c r="AA299" s="194"/>
      <c r="AB299" s="194"/>
      <c r="AC299" s="194"/>
      <c r="AD299" s="194"/>
    </row>
    <row r="300" spans="17:30" x14ac:dyDescent="0.3">
      <c r="Q300" s="194"/>
      <c r="R300" s="194"/>
      <c r="S300" s="194"/>
      <c r="T300" s="194"/>
      <c r="U300" s="194"/>
      <c r="V300" s="194"/>
      <c r="W300" s="194"/>
      <c r="X300" s="194"/>
      <c r="Y300" s="194"/>
      <c r="Z300" s="194"/>
      <c r="AA300" s="194"/>
      <c r="AB300" s="194"/>
      <c r="AC300" s="194"/>
      <c r="AD300" s="194"/>
    </row>
    <row r="301" spans="17:30" x14ac:dyDescent="0.3">
      <c r="Q301" s="194"/>
      <c r="R301" s="194"/>
      <c r="S301" s="194"/>
      <c r="T301" s="194"/>
      <c r="U301" s="194"/>
      <c r="V301" s="194"/>
      <c r="W301" s="194"/>
      <c r="X301" s="194"/>
      <c r="Y301" s="194"/>
      <c r="Z301" s="194"/>
      <c r="AA301" s="194"/>
      <c r="AB301" s="194"/>
      <c r="AC301" s="194"/>
      <c r="AD301" s="194"/>
    </row>
    <row r="302" spans="17:30" x14ac:dyDescent="0.3">
      <c r="Q302" s="194"/>
      <c r="R302" s="194"/>
      <c r="S302" s="194"/>
      <c r="T302" s="194"/>
      <c r="U302" s="194"/>
      <c r="V302" s="194"/>
      <c r="W302" s="194"/>
      <c r="X302" s="194"/>
      <c r="Y302" s="194"/>
      <c r="Z302" s="194"/>
      <c r="AA302" s="194"/>
      <c r="AB302" s="194"/>
      <c r="AC302" s="194"/>
      <c r="AD302" s="194"/>
    </row>
    <row r="303" spans="17:30" x14ac:dyDescent="0.3">
      <c r="Q303" s="194"/>
      <c r="R303" s="194"/>
      <c r="S303" s="194"/>
      <c r="T303" s="194"/>
      <c r="U303" s="194"/>
      <c r="V303" s="194"/>
      <c r="W303" s="194"/>
      <c r="X303" s="194"/>
      <c r="Y303" s="194"/>
      <c r="Z303" s="194"/>
      <c r="AA303" s="194"/>
      <c r="AB303" s="194"/>
      <c r="AC303" s="194"/>
      <c r="AD303" s="194"/>
    </row>
  </sheetData>
  <mergeCells count="88">
    <mergeCell ref="A61:A62"/>
    <mergeCell ref="B61:B62"/>
    <mergeCell ref="A55:A56"/>
    <mergeCell ref="B55:B56"/>
    <mergeCell ref="C55:P55"/>
    <mergeCell ref="A57:A58"/>
    <mergeCell ref="B57:B58"/>
    <mergeCell ref="A59:A60"/>
    <mergeCell ref="B59:B60"/>
    <mergeCell ref="B42:B43"/>
    <mergeCell ref="A40:A41"/>
    <mergeCell ref="Q40:AD41"/>
    <mergeCell ref="A42:A43"/>
    <mergeCell ref="Q42:AD43"/>
    <mergeCell ref="B40:B41"/>
    <mergeCell ref="A38:A39"/>
    <mergeCell ref="Q38:AD39"/>
    <mergeCell ref="B38:B39"/>
    <mergeCell ref="W33:Z33"/>
    <mergeCell ref="AA33:AD33"/>
    <mergeCell ref="A34:A35"/>
    <mergeCell ref="B34:B35"/>
    <mergeCell ref="AA34:AD35"/>
    <mergeCell ref="Q34:S35"/>
    <mergeCell ref="T34:V35"/>
    <mergeCell ref="W34:Z35"/>
    <mergeCell ref="A36:A37"/>
    <mergeCell ref="B36:B37"/>
    <mergeCell ref="C36:P36"/>
    <mergeCell ref="Q36:AD36"/>
    <mergeCell ref="Q37:AD37"/>
    <mergeCell ref="B30:C30"/>
    <mergeCell ref="Q30:AD30"/>
    <mergeCell ref="A31:AD31"/>
    <mergeCell ref="A32:A33"/>
    <mergeCell ref="B32:B33"/>
    <mergeCell ref="C32:C33"/>
    <mergeCell ref="D32:P32"/>
    <mergeCell ref="Q32:AD32"/>
    <mergeCell ref="Q33:S33"/>
    <mergeCell ref="T33:V33"/>
    <mergeCell ref="A28:A29"/>
    <mergeCell ref="B28:C29"/>
    <mergeCell ref="D28:O28"/>
    <mergeCell ref="P28:P29"/>
    <mergeCell ref="Q28:AD29"/>
    <mergeCell ref="Q20:AD20"/>
    <mergeCell ref="A22:B22"/>
    <mergeCell ref="A23:B23"/>
    <mergeCell ref="A25:B25"/>
    <mergeCell ref="A27:AD27"/>
    <mergeCell ref="A24:B24"/>
    <mergeCell ref="AC17:AD17"/>
    <mergeCell ref="A15:B15"/>
    <mergeCell ref="C15:K15"/>
    <mergeCell ref="L15:Q15"/>
    <mergeCell ref="R15:X15"/>
    <mergeCell ref="Y15:Z15"/>
    <mergeCell ref="C16:AB16"/>
    <mergeCell ref="A17:B17"/>
    <mergeCell ref="C17:Q17"/>
    <mergeCell ref="R17:V17"/>
    <mergeCell ref="W17:X17"/>
    <mergeCell ref="Y17:AB17"/>
    <mergeCell ref="A19:AD19"/>
    <mergeCell ref="C20:P20"/>
    <mergeCell ref="I7:J9"/>
    <mergeCell ref="K7:L9"/>
    <mergeCell ref="M7:N7"/>
    <mergeCell ref="O7:P7"/>
    <mergeCell ref="A11:B13"/>
    <mergeCell ref="C11:AD13"/>
    <mergeCell ref="A7:B9"/>
    <mergeCell ref="C7:C9"/>
    <mergeCell ref="D7:H9"/>
    <mergeCell ref="M8:N8"/>
    <mergeCell ref="O8:P8"/>
    <mergeCell ref="M9:N9"/>
    <mergeCell ref="O9:P9"/>
    <mergeCell ref="AA15:AD15"/>
    <mergeCell ref="A1:A4"/>
    <mergeCell ref="B1:AA1"/>
    <mergeCell ref="AB1:AD1"/>
    <mergeCell ref="B2:AA2"/>
    <mergeCell ref="AB2:AD2"/>
    <mergeCell ref="B3:AA4"/>
    <mergeCell ref="AB3:AD3"/>
    <mergeCell ref="AB4:AD4"/>
  </mergeCells>
  <phoneticPr fontId="66" type="noConversion"/>
  <dataValidations count="2">
    <dataValidation type="list" allowBlank="1" showInputMessage="1" showErrorMessage="1" sqref="C7:C9" xr:uid="{00000000-0002-0000-0400-000000000000}">
      <formula1>$C$21:$N$21</formula1>
    </dataValidation>
    <dataValidation type="textLength" operator="lessThanOrEqual" allowBlank="1" showInputMessage="1" showErrorMessage="1" errorTitle="Máximo 2.000 caracteres" error="Máximo 2.000 caracteres" promptTitle="2.000 caracteres" sqref="Q30:AD30" xr:uid="{00000000-0002-0000-0400-000001000000}">
      <formula1>2000</formula1>
    </dataValidation>
  </dataValidations>
  <printOptions horizontalCentered="1"/>
  <pageMargins left="0.39370078740157483" right="0.39370078740157483" top="0.39370078740157483" bottom="0.39370078740157483" header="0" footer="0"/>
  <pageSetup paperSize="9" scale="23" orientation="landscape" r:id="rId1"/>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7" tint="0.39997558519241921"/>
    <pageSetUpPr fitToPage="1"/>
  </sheetPr>
  <dimension ref="A1:AO303"/>
  <sheetViews>
    <sheetView showGridLines="0" view="pageBreakPreview" topLeftCell="M23" zoomScale="60" zoomScaleNormal="60" workbookViewId="0">
      <selection activeCell="Z25" sqref="Z25"/>
    </sheetView>
  </sheetViews>
  <sheetFormatPr baseColWidth="10" defaultColWidth="10.6640625" defaultRowHeight="14.4" x14ac:dyDescent="0.3"/>
  <cols>
    <col min="1" max="1" width="38.44140625" style="50" customWidth="1"/>
    <col min="2" max="2" width="15.44140625" style="50" customWidth="1"/>
    <col min="3" max="14" width="20.6640625" style="50" customWidth="1"/>
    <col min="15" max="15" width="16.109375" style="50" customWidth="1"/>
    <col min="16" max="16" width="19.33203125" style="50" customWidth="1"/>
    <col min="17" max="17" width="19.44140625" style="50" customWidth="1"/>
    <col min="18" max="27" width="18.109375" style="50" customWidth="1"/>
    <col min="28" max="28" width="22.6640625" style="50" customWidth="1"/>
    <col min="29" max="29" width="19" style="50" customWidth="1"/>
    <col min="30" max="30" width="19.44140625" style="50" customWidth="1"/>
    <col min="31" max="31" width="6.33203125" style="50" bestFit="1" customWidth="1"/>
    <col min="32" max="32" width="22.6640625" style="50" customWidth="1"/>
    <col min="33" max="33" width="18.44140625" style="50" bestFit="1" customWidth="1"/>
    <col min="34" max="34" width="8.44140625" style="50" customWidth="1"/>
    <col min="35" max="35" width="18.44140625" style="50" bestFit="1" customWidth="1"/>
    <col min="36" max="36" width="5.6640625" style="50" customWidth="1"/>
    <col min="37" max="37" width="18.44140625" style="50" bestFit="1" customWidth="1"/>
    <col min="38" max="38" width="4.6640625" style="50" customWidth="1"/>
    <col min="39" max="39" width="23" style="50" bestFit="1" customWidth="1"/>
    <col min="40" max="40" width="10.6640625" style="50"/>
    <col min="41" max="41" width="18.44140625" style="50" bestFit="1" customWidth="1"/>
    <col min="42" max="42" width="16.109375" style="50" customWidth="1"/>
    <col min="43" max="16384" width="10.6640625" style="50"/>
  </cols>
  <sheetData>
    <row r="1" spans="1:33" ht="32.25" customHeight="1" thickBot="1" x14ac:dyDescent="0.35">
      <c r="A1" s="885"/>
      <c r="B1" s="888" t="s">
        <v>0</v>
      </c>
      <c r="C1" s="889"/>
      <c r="D1" s="889"/>
      <c r="E1" s="889"/>
      <c r="F1" s="889"/>
      <c r="G1" s="889"/>
      <c r="H1" s="889"/>
      <c r="I1" s="889"/>
      <c r="J1" s="889"/>
      <c r="K1" s="889"/>
      <c r="L1" s="889"/>
      <c r="M1" s="889"/>
      <c r="N1" s="889"/>
      <c r="O1" s="889"/>
      <c r="P1" s="889"/>
      <c r="Q1" s="889"/>
      <c r="R1" s="889"/>
      <c r="S1" s="889"/>
      <c r="T1" s="889"/>
      <c r="U1" s="889"/>
      <c r="V1" s="889"/>
      <c r="W1" s="889"/>
      <c r="X1" s="889"/>
      <c r="Y1" s="889"/>
      <c r="Z1" s="889"/>
      <c r="AA1" s="890"/>
      <c r="AB1" s="891" t="s">
        <v>1</v>
      </c>
      <c r="AC1" s="892"/>
      <c r="AD1" s="893"/>
    </row>
    <row r="2" spans="1:33" ht="30.75" customHeight="1" thickBot="1" x14ac:dyDescent="0.35">
      <c r="A2" s="886"/>
      <c r="B2" s="888" t="s">
        <v>2</v>
      </c>
      <c r="C2" s="889"/>
      <c r="D2" s="889"/>
      <c r="E2" s="889"/>
      <c r="F2" s="889"/>
      <c r="G2" s="889"/>
      <c r="H2" s="889"/>
      <c r="I2" s="889"/>
      <c r="J2" s="889"/>
      <c r="K2" s="889"/>
      <c r="L2" s="889"/>
      <c r="M2" s="889"/>
      <c r="N2" s="889"/>
      <c r="O2" s="889"/>
      <c r="P2" s="889"/>
      <c r="Q2" s="889"/>
      <c r="R2" s="889"/>
      <c r="S2" s="889"/>
      <c r="T2" s="889"/>
      <c r="U2" s="889"/>
      <c r="V2" s="889"/>
      <c r="W2" s="889"/>
      <c r="X2" s="889"/>
      <c r="Y2" s="889"/>
      <c r="Z2" s="889"/>
      <c r="AA2" s="890"/>
      <c r="AB2" s="882" t="s">
        <v>3</v>
      </c>
      <c r="AC2" s="883"/>
      <c r="AD2" s="884"/>
    </row>
    <row r="3" spans="1:33" ht="24" customHeight="1" x14ac:dyDescent="0.3">
      <c r="A3" s="886"/>
      <c r="B3" s="876" t="s">
        <v>4</v>
      </c>
      <c r="C3" s="877"/>
      <c r="D3" s="877"/>
      <c r="E3" s="877"/>
      <c r="F3" s="877"/>
      <c r="G3" s="877"/>
      <c r="H3" s="877"/>
      <c r="I3" s="877"/>
      <c r="J3" s="877"/>
      <c r="K3" s="877"/>
      <c r="L3" s="877"/>
      <c r="M3" s="877"/>
      <c r="N3" s="877"/>
      <c r="O3" s="877"/>
      <c r="P3" s="877"/>
      <c r="Q3" s="877"/>
      <c r="R3" s="877"/>
      <c r="S3" s="877"/>
      <c r="T3" s="877"/>
      <c r="U3" s="877"/>
      <c r="V3" s="877"/>
      <c r="W3" s="877"/>
      <c r="X3" s="877"/>
      <c r="Y3" s="877"/>
      <c r="Z3" s="877"/>
      <c r="AA3" s="878"/>
      <c r="AB3" s="882" t="s">
        <v>5</v>
      </c>
      <c r="AC3" s="883"/>
      <c r="AD3" s="884"/>
    </row>
    <row r="4" spans="1:33" ht="21.75" customHeight="1" thickBot="1" x14ac:dyDescent="0.35">
      <c r="A4" s="887"/>
      <c r="B4" s="879"/>
      <c r="C4" s="880"/>
      <c r="D4" s="880"/>
      <c r="E4" s="880"/>
      <c r="F4" s="880"/>
      <c r="G4" s="880"/>
      <c r="H4" s="880"/>
      <c r="I4" s="880"/>
      <c r="J4" s="880"/>
      <c r="K4" s="880"/>
      <c r="L4" s="880"/>
      <c r="M4" s="880"/>
      <c r="N4" s="880"/>
      <c r="O4" s="880"/>
      <c r="P4" s="880"/>
      <c r="Q4" s="880"/>
      <c r="R4" s="880"/>
      <c r="S4" s="880"/>
      <c r="T4" s="880"/>
      <c r="U4" s="880"/>
      <c r="V4" s="880"/>
      <c r="W4" s="880"/>
      <c r="X4" s="880"/>
      <c r="Y4" s="880"/>
      <c r="Z4" s="880"/>
      <c r="AA4" s="881"/>
      <c r="AB4" s="873" t="s">
        <v>6</v>
      </c>
      <c r="AC4" s="874"/>
      <c r="AD4" s="875"/>
    </row>
    <row r="5" spans="1:33" ht="9" customHeight="1" thickBot="1" x14ac:dyDescent="0.35">
      <c r="A5" s="239"/>
      <c r="B5" s="240"/>
      <c r="C5" s="241"/>
      <c r="D5" s="242"/>
      <c r="E5" s="242"/>
      <c r="F5" s="242"/>
      <c r="G5" s="242"/>
      <c r="H5" s="242"/>
      <c r="I5" s="242"/>
      <c r="J5" s="242"/>
      <c r="K5" s="242"/>
      <c r="L5" s="242"/>
      <c r="M5" s="242"/>
      <c r="N5" s="242"/>
      <c r="O5" s="242"/>
      <c r="P5" s="242"/>
      <c r="Q5" s="242"/>
      <c r="R5" s="242"/>
      <c r="S5" s="242"/>
      <c r="T5" s="242"/>
      <c r="U5" s="242"/>
      <c r="V5" s="242"/>
      <c r="W5" s="242"/>
      <c r="X5" s="242"/>
      <c r="Y5" s="242"/>
      <c r="Z5" s="243"/>
      <c r="AA5" s="242"/>
      <c r="AB5" s="244"/>
      <c r="AC5" s="245"/>
      <c r="AD5" s="246"/>
    </row>
    <row r="6" spans="1:33" ht="9" customHeight="1" thickBot="1" x14ac:dyDescent="0.35">
      <c r="A6" s="247"/>
      <c r="B6" s="242"/>
      <c r="C6" s="242"/>
      <c r="D6" s="242"/>
      <c r="E6" s="242"/>
      <c r="F6" s="242"/>
      <c r="G6" s="242"/>
      <c r="H6" s="242"/>
      <c r="I6" s="242"/>
      <c r="J6" s="242"/>
      <c r="K6" s="242"/>
      <c r="L6" s="242"/>
      <c r="M6" s="242"/>
      <c r="N6" s="242"/>
      <c r="O6" s="242"/>
      <c r="P6" s="242"/>
      <c r="Q6" s="242"/>
      <c r="R6" s="242"/>
      <c r="S6" s="242"/>
      <c r="T6" s="242"/>
      <c r="U6" s="242"/>
      <c r="V6" s="242"/>
      <c r="W6" s="242"/>
      <c r="X6" s="242"/>
      <c r="Y6" s="242"/>
      <c r="Z6" s="243"/>
      <c r="AA6" s="242"/>
      <c r="AB6" s="242"/>
      <c r="AC6" s="248"/>
      <c r="AD6" s="249"/>
    </row>
    <row r="7" spans="1:33" ht="15" customHeight="1" x14ac:dyDescent="0.3">
      <c r="A7" s="467" t="s">
        <v>7</v>
      </c>
      <c r="B7" s="468"/>
      <c r="C7" s="473" t="s">
        <v>38</v>
      </c>
      <c r="D7" s="527" t="s">
        <v>9</v>
      </c>
      <c r="E7" s="528"/>
      <c r="F7" s="528"/>
      <c r="G7" s="528"/>
      <c r="H7" s="529"/>
      <c r="I7" s="536">
        <v>45232</v>
      </c>
      <c r="J7" s="868"/>
      <c r="K7" s="527" t="s">
        <v>10</v>
      </c>
      <c r="L7" s="529"/>
      <c r="M7" s="465" t="s">
        <v>11</v>
      </c>
      <c r="N7" s="466"/>
      <c r="O7" s="768"/>
      <c r="P7" s="769"/>
      <c r="Q7" s="250"/>
      <c r="R7" s="250"/>
      <c r="S7" s="250"/>
      <c r="T7" s="250"/>
      <c r="U7" s="250"/>
      <c r="V7" s="250"/>
      <c r="W7" s="250"/>
      <c r="X7" s="250"/>
      <c r="Y7" s="250"/>
      <c r="Z7" s="251"/>
      <c r="AA7" s="250"/>
      <c r="AB7" s="250"/>
      <c r="AC7" s="252"/>
      <c r="AD7" s="253"/>
      <c r="AE7" s="194"/>
      <c r="AF7" s="194"/>
      <c r="AG7" s="194"/>
    </row>
    <row r="8" spans="1:33" ht="15" customHeight="1" x14ac:dyDescent="0.3">
      <c r="A8" s="469"/>
      <c r="B8" s="470"/>
      <c r="C8" s="474"/>
      <c r="D8" s="530"/>
      <c r="E8" s="531"/>
      <c r="F8" s="531"/>
      <c r="G8" s="531"/>
      <c r="H8" s="532"/>
      <c r="I8" s="869"/>
      <c r="J8" s="870"/>
      <c r="K8" s="530"/>
      <c r="L8" s="532"/>
      <c r="M8" s="544" t="s">
        <v>12</v>
      </c>
      <c r="N8" s="545"/>
      <c r="O8" s="463"/>
      <c r="P8" s="464"/>
      <c r="Q8" s="250"/>
      <c r="R8" s="250"/>
      <c r="S8" s="250"/>
      <c r="T8" s="250"/>
      <c r="U8" s="250"/>
      <c r="V8" s="250"/>
      <c r="W8" s="250"/>
      <c r="X8" s="250"/>
      <c r="Y8" s="250"/>
      <c r="Z8" s="251"/>
      <c r="AA8" s="250"/>
      <c r="AB8" s="250"/>
      <c r="AC8" s="252"/>
      <c r="AD8" s="253"/>
      <c r="AE8" s="194"/>
      <c r="AF8" s="194"/>
      <c r="AG8" s="194"/>
    </row>
    <row r="9" spans="1:33" ht="15.75" customHeight="1" thickBot="1" x14ac:dyDescent="0.35">
      <c r="A9" s="471"/>
      <c r="B9" s="472"/>
      <c r="C9" s="475"/>
      <c r="D9" s="533"/>
      <c r="E9" s="534"/>
      <c r="F9" s="534"/>
      <c r="G9" s="534"/>
      <c r="H9" s="535"/>
      <c r="I9" s="871"/>
      <c r="J9" s="872"/>
      <c r="K9" s="533"/>
      <c r="L9" s="535"/>
      <c r="M9" s="484" t="s">
        <v>13</v>
      </c>
      <c r="N9" s="485"/>
      <c r="O9" s="486" t="s">
        <v>14</v>
      </c>
      <c r="P9" s="487"/>
      <c r="Q9" s="250"/>
      <c r="R9" s="250"/>
      <c r="S9" s="250"/>
      <c r="T9" s="250"/>
      <c r="U9" s="250"/>
      <c r="V9" s="250"/>
      <c r="W9" s="250"/>
      <c r="X9" s="250"/>
      <c r="Y9" s="250"/>
      <c r="Z9" s="251"/>
      <c r="AA9" s="250"/>
      <c r="AB9" s="250"/>
      <c r="AC9" s="252"/>
      <c r="AD9" s="253"/>
      <c r="AE9" s="194"/>
      <c r="AF9" s="194"/>
      <c r="AG9" s="194"/>
    </row>
    <row r="10" spans="1:33" ht="15" customHeight="1" thickBot="1" x14ac:dyDescent="0.35">
      <c r="A10" s="254"/>
      <c r="B10" s="255"/>
      <c r="C10" s="255"/>
      <c r="D10" s="256"/>
      <c r="E10" s="256"/>
      <c r="F10" s="256"/>
      <c r="G10" s="256"/>
      <c r="H10" s="256"/>
      <c r="I10" s="257"/>
      <c r="J10" s="257"/>
      <c r="K10" s="256"/>
      <c r="L10" s="256"/>
      <c r="M10" s="258"/>
      <c r="N10" s="258"/>
      <c r="O10" s="259"/>
      <c r="P10" s="259"/>
      <c r="Q10" s="255"/>
      <c r="R10" s="255"/>
      <c r="S10" s="255"/>
      <c r="T10" s="255"/>
      <c r="U10" s="255"/>
      <c r="V10" s="255"/>
      <c r="W10" s="255"/>
      <c r="X10" s="255"/>
      <c r="Y10" s="255"/>
      <c r="Z10" s="260"/>
      <c r="AA10" s="255"/>
      <c r="AB10" s="255"/>
      <c r="AC10" s="261"/>
      <c r="AD10" s="262"/>
    </row>
    <row r="11" spans="1:33" ht="15" customHeight="1" x14ac:dyDescent="0.3">
      <c r="A11" s="467" t="s">
        <v>15</v>
      </c>
      <c r="B11" s="468"/>
      <c r="C11" s="488" t="s">
        <v>16</v>
      </c>
      <c r="D11" s="489"/>
      <c r="E11" s="489"/>
      <c r="F11" s="489"/>
      <c r="G11" s="489"/>
      <c r="H11" s="489"/>
      <c r="I11" s="489"/>
      <c r="J11" s="489"/>
      <c r="K11" s="489"/>
      <c r="L11" s="489"/>
      <c r="M11" s="489"/>
      <c r="N11" s="489"/>
      <c r="O11" s="489"/>
      <c r="P11" s="489"/>
      <c r="Q11" s="489"/>
      <c r="R11" s="489"/>
      <c r="S11" s="489"/>
      <c r="T11" s="489"/>
      <c r="U11" s="489"/>
      <c r="V11" s="489"/>
      <c r="W11" s="489"/>
      <c r="X11" s="489"/>
      <c r="Y11" s="489"/>
      <c r="Z11" s="489"/>
      <c r="AA11" s="489"/>
      <c r="AB11" s="489"/>
      <c r="AC11" s="489"/>
      <c r="AD11" s="490"/>
    </row>
    <row r="12" spans="1:33" ht="15" customHeight="1" x14ac:dyDescent="0.3">
      <c r="A12" s="469"/>
      <c r="B12" s="470"/>
      <c r="C12" s="491"/>
      <c r="D12" s="492"/>
      <c r="E12" s="492"/>
      <c r="F12" s="492"/>
      <c r="G12" s="492"/>
      <c r="H12" s="492"/>
      <c r="I12" s="492"/>
      <c r="J12" s="492"/>
      <c r="K12" s="492"/>
      <c r="L12" s="492"/>
      <c r="M12" s="492"/>
      <c r="N12" s="492"/>
      <c r="O12" s="492"/>
      <c r="P12" s="492"/>
      <c r="Q12" s="492"/>
      <c r="R12" s="492"/>
      <c r="S12" s="492"/>
      <c r="T12" s="492"/>
      <c r="U12" s="492"/>
      <c r="V12" s="492"/>
      <c r="W12" s="492"/>
      <c r="X12" s="492"/>
      <c r="Y12" s="492"/>
      <c r="Z12" s="492"/>
      <c r="AA12" s="492"/>
      <c r="AB12" s="492"/>
      <c r="AC12" s="492"/>
      <c r="AD12" s="493"/>
    </row>
    <row r="13" spans="1:33" ht="15" customHeight="1" thickBot="1" x14ac:dyDescent="0.35">
      <c r="A13" s="471"/>
      <c r="B13" s="472"/>
      <c r="C13" s="494"/>
      <c r="D13" s="495"/>
      <c r="E13" s="495"/>
      <c r="F13" s="495"/>
      <c r="G13" s="495"/>
      <c r="H13" s="495"/>
      <c r="I13" s="495"/>
      <c r="J13" s="495"/>
      <c r="K13" s="495"/>
      <c r="L13" s="495"/>
      <c r="M13" s="495"/>
      <c r="N13" s="495"/>
      <c r="O13" s="495"/>
      <c r="P13" s="495"/>
      <c r="Q13" s="495"/>
      <c r="R13" s="495"/>
      <c r="S13" s="495"/>
      <c r="T13" s="495"/>
      <c r="U13" s="495"/>
      <c r="V13" s="495"/>
      <c r="W13" s="495"/>
      <c r="X13" s="495"/>
      <c r="Y13" s="495"/>
      <c r="Z13" s="495"/>
      <c r="AA13" s="495"/>
      <c r="AB13" s="495"/>
      <c r="AC13" s="495"/>
      <c r="AD13" s="496"/>
    </row>
    <row r="14" spans="1:33" ht="9" customHeight="1" thickBot="1" x14ac:dyDescent="0.35">
      <c r="A14" s="263"/>
      <c r="B14" s="264"/>
      <c r="C14" s="265"/>
      <c r="D14" s="265"/>
      <c r="E14" s="265"/>
      <c r="F14" s="265"/>
      <c r="G14" s="265"/>
      <c r="H14" s="265"/>
      <c r="I14" s="265"/>
      <c r="J14" s="265"/>
      <c r="K14" s="265"/>
      <c r="L14" s="265"/>
      <c r="M14" s="266"/>
      <c r="N14" s="266"/>
      <c r="O14" s="266"/>
      <c r="P14" s="266"/>
      <c r="Q14" s="266"/>
      <c r="R14" s="267"/>
      <c r="S14" s="267"/>
      <c r="T14" s="267"/>
      <c r="U14" s="267"/>
      <c r="V14" s="267"/>
      <c r="W14" s="267"/>
      <c r="X14" s="267"/>
      <c r="Y14" s="256"/>
      <c r="Z14" s="256"/>
      <c r="AA14" s="256"/>
      <c r="AB14" s="256"/>
      <c r="AC14" s="256"/>
      <c r="AD14" s="268"/>
    </row>
    <row r="15" spans="1:33" ht="47.1" customHeight="1" thickBot="1" x14ac:dyDescent="0.35">
      <c r="A15" s="449" t="s">
        <v>17</v>
      </c>
      <c r="B15" s="450"/>
      <c r="C15" s="515" t="s">
        <v>18</v>
      </c>
      <c r="D15" s="516"/>
      <c r="E15" s="516"/>
      <c r="F15" s="516"/>
      <c r="G15" s="516"/>
      <c r="H15" s="516"/>
      <c r="I15" s="516"/>
      <c r="J15" s="516"/>
      <c r="K15" s="517"/>
      <c r="L15" s="479" t="s">
        <v>19</v>
      </c>
      <c r="M15" s="483"/>
      <c r="N15" s="483"/>
      <c r="O15" s="483"/>
      <c r="P15" s="483"/>
      <c r="Q15" s="480"/>
      <c r="R15" s="451" t="s">
        <v>20</v>
      </c>
      <c r="S15" s="452"/>
      <c r="T15" s="452"/>
      <c r="U15" s="452"/>
      <c r="V15" s="452"/>
      <c r="W15" s="452"/>
      <c r="X15" s="453"/>
      <c r="Y15" s="479" t="s">
        <v>21</v>
      </c>
      <c r="Z15" s="480"/>
      <c r="AA15" s="437" t="s">
        <v>22</v>
      </c>
      <c r="AB15" s="438"/>
      <c r="AC15" s="438"/>
      <c r="AD15" s="439"/>
    </row>
    <row r="16" spans="1:33" ht="9" customHeight="1" thickBot="1" x14ac:dyDescent="0.35">
      <c r="A16" s="247"/>
      <c r="B16" s="242"/>
      <c r="C16" s="900"/>
      <c r="D16" s="900"/>
      <c r="E16" s="900"/>
      <c r="F16" s="900"/>
      <c r="G16" s="900"/>
      <c r="H16" s="900"/>
      <c r="I16" s="900"/>
      <c r="J16" s="900"/>
      <c r="K16" s="900"/>
      <c r="L16" s="900"/>
      <c r="M16" s="900"/>
      <c r="N16" s="900"/>
      <c r="O16" s="900"/>
      <c r="P16" s="900"/>
      <c r="Q16" s="900"/>
      <c r="R16" s="900"/>
      <c r="S16" s="900"/>
      <c r="T16" s="900"/>
      <c r="U16" s="900"/>
      <c r="V16" s="900"/>
      <c r="W16" s="900"/>
      <c r="X16" s="900"/>
      <c r="Y16" s="900"/>
      <c r="Z16" s="900"/>
      <c r="AA16" s="900"/>
      <c r="AB16" s="900"/>
      <c r="AC16" s="269"/>
      <c r="AD16" s="270"/>
    </row>
    <row r="17" spans="1:41" s="76" customFormat="1" ht="37.5" customHeight="1" thickBot="1" x14ac:dyDescent="0.35">
      <c r="A17" s="449" t="s">
        <v>23</v>
      </c>
      <c r="B17" s="450"/>
      <c r="C17" s="901" t="s">
        <v>139</v>
      </c>
      <c r="D17" s="902"/>
      <c r="E17" s="902"/>
      <c r="F17" s="902"/>
      <c r="G17" s="902"/>
      <c r="H17" s="902"/>
      <c r="I17" s="902"/>
      <c r="J17" s="902"/>
      <c r="K17" s="902"/>
      <c r="L17" s="902"/>
      <c r="M17" s="902"/>
      <c r="N17" s="902"/>
      <c r="O17" s="902"/>
      <c r="P17" s="902"/>
      <c r="Q17" s="903"/>
      <c r="R17" s="479" t="s">
        <v>25</v>
      </c>
      <c r="S17" s="483"/>
      <c r="T17" s="483"/>
      <c r="U17" s="483"/>
      <c r="V17" s="480"/>
      <c r="W17" s="481">
        <v>0.2</v>
      </c>
      <c r="X17" s="482"/>
      <c r="Y17" s="479" t="s">
        <v>26</v>
      </c>
      <c r="Z17" s="483"/>
      <c r="AA17" s="483"/>
      <c r="AB17" s="480"/>
      <c r="AC17" s="446">
        <v>0.06</v>
      </c>
      <c r="AD17" s="447"/>
    </row>
    <row r="18" spans="1:41" ht="16.5" customHeight="1" thickBot="1" x14ac:dyDescent="0.35">
      <c r="A18" s="271"/>
      <c r="B18" s="272"/>
      <c r="C18" s="272"/>
      <c r="D18" s="272"/>
      <c r="E18" s="272"/>
      <c r="F18" s="272"/>
      <c r="G18" s="272"/>
      <c r="H18" s="272"/>
      <c r="I18" s="272"/>
      <c r="J18" s="272"/>
      <c r="K18" s="272"/>
      <c r="L18" s="272"/>
      <c r="M18" s="272"/>
      <c r="N18" s="272"/>
      <c r="O18" s="272"/>
      <c r="P18" s="272"/>
      <c r="Q18" s="272"/>
      <c r="R18" s="272"/>
      <c r="S18" s="272"/>
      <c r="T18" s="272"/>
      <c r="U18" s="272"/>
      <c r="V18" s="272"/>
      <c r="W18" s="272"/>
      <c r="X18" s="272"/>
      <c r="Y18" s="272"/>
      <c r="Z18" s="272"/>
      <c r="AA18" s="272"/>
      <c r="AB18" s="272"/>
      <c r="AC18" s="272"/>
      <c r="AD18" s="273"/>
    </row>
    <row r="19" spans="1:41" ht="32.1" customHeight="1" thickBot="1" x14ac:dyDescent="0.35">
      <c r="A19" s="479" t="s">
        <v>27</v>
      </c>
      <c r="B19" s="483"/>
      <c r="C19" s="483"/>
      <c r="D19" s="483"/>
      <c r="E19" s="483"/>
      <c r="F19" s="483"/>
      <c r="G19" s="483"/>
      <c r="H19" s="483"/>
      <c r="I19" s="483"/>
      <c r="J19" s="483"/>
      <c r="K19" s="483"/>
      <c r="L19" s="483"/>
      <c r="M19" s="483"/>
      <c r="N19" s="483"/>
      <c r="O19" s="483"/>
      <c r="P19" s="483"/>
      <c r="Q19" s="483"/>
      <c r="R19" s="483"/>
      <c r="S19" s="483"/>
      <c r="T19" s="483"/>
      <c r="U19" s="483"/>
      <c r="V19" s="483"/>
      <c r="W19" s="483"/>
      <c r="X19" s="483"/>
      <c r="Y19" s="483"/>
      <c r="Z19" s="483"/>
      <c r="AA19" s="483"/>
      <c r="AB19" s="483"/>
      <c r="AC19" s="483"/>
      <c r="AD19" s="480"/>
      <c r="AE19" s="83"/>
      <c r="AF19" s="83"/>
    </row>
    <row r="20" spans="1:41" ht="32.1" customHeight="1" thickBot="1" x14ac:dyDescent="0.35">
      <c r="A20" s="274"/>
      <c r="B20" s="248"/>
      <c r="C20" s="479" t="s">
        <v>28</v>
      </c>
      <c r="D20" s="483"/>
      <c r="E20" s="483"/>
      <c r="F20" s="483"/>
      <c r="G20" s="483"/>
      <c r="H20" s="483"/>
      <c r="I20" s="483"/>
      <c r="J20" s="483"/>
      <c r="K20" s="483"/>
      <c r="L20" s="483"/>
      <c r="M20" s="483"/>
      <c r="N20" s="483"/>
      <c r="O20" s="483"/>
      <c r="P20" s="480"/>
      <c r="Q20" s="479" t="s">
        <v>29</v>
      </c>
      <c r="R20" s="483"/>
      <c r="S20" s="483"/>
      <c r="T20" s="483"/>
      <c r="U20" s="483"/>
      <c r="V20" s="483"/>
      <c r="W20" s="483"/>
      <c r="X20" s="483"/>
      <c r="Y20" s="483"/>
      <c r="Z20" s="483"/>
      <c r="AA20" s="483"/>
      <c r="AB20" s="483"/>
      <c r="AC20" s="483"/>
      <c r="AD20" s="480"/>
      <c r="AE20" s="83"/>
      <c r="AF20" s="83"/>
    </row>
    <row r="21" spans="1:41" ht="32.1" customHeight="1" thickBot="1" x14ac:dyDescent="0.35">
      <c r="A21" s="247"/>
      <c r="B21" s="242"/>
      <c r="C21" s="275" t="s">
        <v>30</v>
      </c>
      <c r="D21" s="276" t="s">
        <v>31</v>
      </c>
      <c r="E21" s="276" t="s">
        <v>32</v>
      </c>
      <c r="F21" s="276" t="s">
        <v>33</v>
      </c>
      <c r="G21" s="276" t="s">
        <v>34</v>
      </c>
      <c r="H21" s="276" t="s">
        <v>35</v>
      </c>
      <c r="I21" s="276" t="s">
        <v>36</v>
      </c>
      <c r="J21" s="276" t="s">
        <v>37</v>
      </c>
      <c r="K21" s="276" t="s">
        <v>8</v>
      </c>
      <c r="L21" s="276" t="s">
        <v>38</v>
      </c>
      <c r="M21" s="276" t="s">
        <v>39</v>
      </c>
      <c r="N21" s="276" t="s">
        <v>40</v>
      </c>
      <c r="O21" s="276" t="s">
        <v>41</v>
      </c>
      <c r="P21" s="277" t="s">
        <v>42</v>
      </c>
      <c r="Q21" s="275" t="s">
        <v>30</v>
      </c>
      <c r="R21" s="276" t="s">
        <v>31</v>
      </c>
      <c r="S21" s="276" t="s">
        <v>32</v>
      </c>
      <c r="T21" s="276" t="s">
        <v>33</v>
      </c>
      <c r="U21" s="276" t="s">
        <v>34</v>
      </c>
      <c r="V21" s="276" t="s">
        <v>35</v>
      </c>
      <c r="W21" s="276" t="s">
        <v>36</v>
      </c>
      <c r="X21" s="276" t="s">
        <v>37</v>
      </c>
      <c r="Y21" s="276" t="s">
        <v>8</v>
      </c>
      <c r="Z21" s="276" t="s">
        <v>38</v>
      </c>
      <c r="AA21" s="276" t="s">
        <v>39</v>
      </c>
      <c r="AB21" s="276" t="s">
        <v>40</v>
      </c>
      <c r="AC21" s="276" t="s">
        <v>41</v>
      </c>
      <c r="AD21" s="277" t="s">
        <v>42</v>
      </c>
      <c r="AE21" s="3"/>
      <c r="AF21" s="3"/>
    </row>
    <row r="22" spans="1:41" ht="32.1" customHeight="1" x14ac:dyDescent="0.3">
      <c r="A22" s="398" t="s">
        <v>43</v>
      </c>
      <c r="B22" s="400"/>
      <c r="C22" s="278"/>
      <c r="D22" s="279"/>
      <c r="E22" s="279"/>
      <c r="F22" s="279"/>
      <c r="G22" s="279"/>
      <c r="H22" s="279"/>
      <c r="I22" s="279"/>
      <c r="J22" s="279"/>
      <c r="K22" s="279"/>
      <c r="L22" s="279"/>
      <c r="M22" s="279"/>
      <c r="N22" s="279"/>
      <c r="O22" s="279">
        <f>SUM(C22:N22)</f>
        <v>0</v>
      </c>
      <c r="P22" s="280"/>
      <c r="Q22" s="281">
        <v>229724920</v>
      </c>
      <c r="R22" s="282">
        <v>8537488</v>
      </c>
      <c r="S22" s="282">
        <v>0</v>
      </c>
      <c r="T22" s="282">
        <v>56668000</v>
      </c>
      <c r="U22" s="282">
        <v>0</v>
      </c>
      <c r="V22" s="282">
        <v>0</v>
      </c>
      <c r="W22" s="282">
        <v>0</v>
      </c>
      <c r="X22" s="330">
        <v>1424508</v>
      </c>
      <c r="Y22" s="330">
        <v>0</v>
      </c>
      <c r="Z22" s="330">
        <v>-16329365</v>
      </c>
      <c r="AA22" s="330">
        <v>0</v>
      </c>
      <c r="AB22" s="330">
        <v>0</v>
      </c>
      <c r="AC22" s="283">
        <f>SUM(Q22:AB22)</f>
        <v>280025551</v>
      </c>
      <c r="AD22" s="284"/>
      <c r="AE22" s="3"/>
      <c r="AF22" s="3"/>
    </row>
    <row r="23" spans="1:41" ht="32.1" customHeight="1" x14ac:dyDescent="0.3">
      <c r="A23" s="931" t="s">
        <v>44</v>
      </c>
      <c r="B23" s="932"/>
      <c r="C23" s="286"/>
      <c r="D23" s="287"/>
      <c r="E23" s="287"/>
      <c r="F23" s="287"/>
      <c r="G23" s="287"/>
      <c r="H23" s="287"/>
      <c r="I23" s="287"/>
      <c r="J23" s="287"/>
      <c r="K23" s="287"/>
      <c r="L23" s="287"/>
      <c r="M23" s="287"/>
      <c r="N23" s="287"/>
      <c r="O23" s="287">
        <f>SUM(C23:N23)</f>
        <v>0</v>
      </c>
      <c r="P23" s="288" t="str">
        <f>IFERROR(O23/(SUMIF(C23:N23,"&gt;0",C22:N22))," ")</f>
        <v xml:space="preserve"> </v>
      </c>
      <c r="Q23" s="289">
        <f>181785424</f>
        <v>181785424</v>
      </c>
      <c r="R23" s="290">
        <f>227875864-Q23</f>
        <v>46090440</v>
      </c>
      <c r="S23" s="290">
        <f>226252867-Q23-R23</f>
        <v>-1622997</v>
      </c>
      <c r="T23" s="290">
        <f>224621347-Q23-R23-S23</f>
        <v>-1631520</v>
      </c>
      <c r="U23" s="290">
        <f>239686916-Q23-R23-S23-T23</f>
        <v>15065569</v>
      </c>
      <c r="V23" s="290">
        <f>239686916-Q23-R23-S23-T23-U23</f>
        <v>0</v>
      </c>
      <c r="W23" s="290">
        <f>239686916-Q23-R23-S23-T23-U23-V23</f>
        <v>0</v>
      </c>
      <c r="X23" s="331">
        <f>239686916-Q23-R23-S23-T23-U23-V23-W23</f>
        <v>0</v>
      </c>
      <c r="Y23" s="331">
        <f>247787425-Q23-R23-S23-T23-U23-V23-W23-X23</f>
        <v>8100509</v>
      </c>
      <c r="Z23" s="331">
        <f>247787425-Q23-R23-S23-T23-U23-V23-W23-X23-Y23</f>
        <v>0</v>
      </c>
      <c r="AA23" s="331"/>
      <c r="AB23" s="331"/>
      <c r="AC23" s="287">
        <f>SUM(Q23:AB23)</f>
        <v>247787425</v>
      </c>
      <c r="AD23" s="291">
        <f>AC23/AC22</f>
        <v>0.88487434134180132</v>
      </c>
      <c r="AE23" s="3"/>
      <c r="AF23" s="3"/>
    </row>
    <row r="24" spans="1:41" ht="32.1" customHeight="1" x14ac:dyDescent="0.3">
      <c r="A24" s="931" t="s">
        <v>45</v>
      </c>
      <c r="B24" s="932"/>
      <c r="C24" s="286"/>
      <c r="D24" s="287">
        <v>1214133</v>
      </c>
      <c r="E24" s="287"/>
      <c r="F24" s="287"/>
      <c r="G24" s="287"/>
      <c r="H24" s="287"/>
      <c r="I24" s="287"/>
      <c r="J24" s="287"/>
      <c r="K24" s="287"/>
      <c r="L24" s="287"/>
      <c r="M24" s="287"/>
      <c r="N24" s="287"/>
      <c r="O24" s="290">
        <f>SUM(C24:N24)</f>
        <v>1214133</v>
      </c>
      <c r="P24" s="292"/>
      <c r="Q24" s="289"/>
      <c r="R24" s="346">
        <v>11116766.16</v>
      </c>
      <c r="S24" s="345">
        <v>20815535.493333299</v>
      </c>
      <c r="T24" s="345">
        <v>20815535.493333299</v>
      </c>
      <c r="U24" s="345">
        <v>20815535.493333299</v>
      </c>
      <c r="V24" s="345">
        <v>20815535.493333299</v>
      </c>
      <c r="W24" s="346">
        <v>20815535.493333299</v>
      </c>
      <c r="X24" s="347">
        <f>32548327+284902</f>
        <v>32833229</v>
      </c>
      <c r="Y24" s="347">
        <f>32548327+284902</f>
        <v>32833229</v>
      </c>
      <c r="Z24" s="347">
        <f>32548327+284902-5443122</f>
        <v>27390107</v>
      </c>
      <c r="AA24" s="347">
        <f>32548327+284902-5443122</f>
        <v>27390107</v>
      </c>
      <c r="AB24" s="347">
        <f>49542656.6733333+284900-5443121</f>
        <v>44384435.673333302</v>
      </c>
      <c r="AC24" s="287">
        <f>SUM(Q24:AB24)</f>
        <v>280025551.29999977</v>
      </c>
      <c r="AD24" s="291"/>
      <c r="AE24" s="3"/>
      <c r="AF24" s="3"/>
    </row>
    <row r="25" spans="1:41" ht="32.1" customHeight="1" thickBot="1" x14ac:dyDescent="0.35">
      <c r="A25" s="401" t="s">
        <v>46</v>
      </c>
      <c r="B25" s="403"/>
      <c r="C25" s="296"/>
      <c r="D25" s="297">
        <v>1214133</v>
      </c>
      <c r="E25" s="297"/>
      <c r="F25" s="297"/>
      <c r="G25" s="297"/>
      <c r="H25" s="297"/>
      <c r="I25" s="297"/>
      <c r="J25" s="297"/>
      <c r="K25" s="297"/>
      <c r="L25" s="297"/>
      <c r="M25" s="297"/>
      <c r="N25" s="297"/>
      <c r="O25" s="297">
        <f>SUM(C25:N25)</f>
        <v>1214133</v>
      </c>
      <c r="P25" s="299">
        <f>IFERROR(O25/(SUMIF(C25:N25,"&gt;0",C24:N24))," ")</f>
        <v>1</v>
      </c>
      <c r="Q25" s="348"/>
      <c r="R25" s="298">
        <f>5710347</f>
        <v>5710347</v>
      </c>
      <c r="S25" s="298">
        <f>25278547-R25</f>
        <v>19568200</v>
      </c>
      <c r="T25" s="298">
        <f>45254627-R25-S25</f>
        <v>19976080</v>
      </c>
      <c r="U25" s="298">
        <f>65230707-R25-T25-S25</f>
        <v>19976080</v>
      </c>
      <c r="V25" s="298">
        <f>85206787-R25-S25-T25-U25</f>
        <v>19976080</v>
      </c>
      <c r="W25" s="298">
        <f>117869136-R25-S25-T25-U25-V25</f>
        <v>32662349</v>
      </c>
      <c r="X25" s="298">
        <f>140224516-R25-S25-T25-U25-V25-W25</f>
        <v>22355380</v>
      </c>
      <c r="Y25" s="298">
        <f>160200596-R25-S25-T25-U25-V25-W25-X25</f>
        <v>19976080</v>
      </c>
      <c r="Z25" s="298">
        <f>180176676-Q25-R25-S25-T25-U25-V25-W25-X25-Y25</f>
        <v>19976080</v>
      </c>
      <c r="AA25" s="298"/>
      <c r="AB25" s="298"/>
      <c r="AC25" s="297">
        <f>SUM(Q25:AB25)</f>
        <v>180176676</v>
      </c>
      <c r="AD25" s="302">
        <f>AC25/AC24</f>
        <v>0.64342941265017395</v>
      </c>
      <c r="AE25" s="3"/>
      <c r="AF25" s="3"/>
    </row>
    <row r="26" spans="1:41" ht="32.1" customHeight="1" thickBot="1" x14ac:dyDescent="0.35">
      <c r="A26" s="247"/>
      <c r="B26" s="242"/>
      <c r="C26" s="304"/>
      <c r="D26" s="304"/>
      <c r="E26" s="304"/>
      <c r="F26" s="304"/>
      <c r="G26" s="304"/>
      <c r="H26" s="304"/>
      <c r="I26" s="304"/>
      <c r="J26" s="304"/>
      <c r="K26" s="304"/>
      <c r="L26" s="304"/>
      <c r="M26" s="304"/>
      <c r="N26" s="304"/>
      <c r="O26" s="304"/>
      <c r="P26" s="304"/>
      <c r="Q26" s="304"/>
      <c r="R26" s="304"/>
      <c r="S26" s="304"/>
      <c r="T26" s="304"/>
      <c r="U26" s="304"/>
      <c r="V26" s="304"/>
      <c r="W26" s="304"/>
      <c r="X26" s="304"/>
      <c r="Y26" s="304"/>
      <c r="Z26" s="304"/>
      <c r="AA26" s="304"/>
      <c r="AB26" s="304"/>
      <c r="AC26" s="248"/>
      <c r="AD26" s="262"/>
    </row>
    <row r="27" spans="1:41" ht="33.75" customHeight="1" x14ac:dyDescent="0.3">
      <c r="A27" s="928" t="s">
        <v>47</v>
      </c>
      <c r="B27" s="929"/>
      <c r="C27" s="929"/>
      <c r="D27" s="929"/>
      <c r="E27" s="929"/>
      <c r="F27" s="929"/>
      <c r="G27" s="929"/>
      <c r="H27" s="929"/>
      <c r="I27" s="929"/>
      <c r="J27" s="929"/>
      <c r="K27" s="929"/>
      <c r="L27" s="929"/>
      <c r="M27" s="929"/>
      <c r="N27" s="929"/>
      <c r="O27" s="929"/>
      <c r="P27" s="929"/>
      <c r="Q27" s="929"/>
      <c r="R27" s="929"/>
      <c r="S27" s="929"/>
      <c r="T27" s="929"/>
      <c r="U27" s="929"/>
      <c r="V27" s="929"/>
      <c r="W27" s="929"/>
      <c r="X27" s="929"/>
      <c r="Y27" s="929"/>
      <c r="Z27" s="929"/>
      <c r="AA27" s="929"/>
      <c r="AB27" s="929"/>
      <c r="AC27" s="929"/>
      <c r="AD27" s="930"/>
    </row>
    <row r="28" spans="1:41" ht="15" customHeight="1" x14ac:dyDescent="0.3">
      <c r="A28" s="440" t="s">
        <v>48</v>
      </c>
      <c r="B28" s="442" t="s">
        <v>49</v>
      </c>
      <c r="C28" s="443"/>
      <c r="D28" s="435" t="s">
        <v>50</v>
      </c>
      <c r="E28" s="444"/>
      <c r="F28" s="444"/>
      <c r="G28" s="444"/>
      <c r="H28" s="444"/>
      <c r="I28" s="444"/>
      <c r="J28" s="444"/>
      <c r="K28" s="444"/>
      <c r="L28" s="444"/>
      <c r="M28" s="444"/>
      <c r="N28" s="444"/>
      <c r="O28" s="423"/>
      <c r="P28" s="424" t="s">
        <v>41</v>
      </c>
      <c r="Q28" s="424" t="s">
        <v>51</v>
      </c>
      <c r="R28" s="424"/>
      <c r="S28" s="424"/>
      <c r="T28" s="424"/>
      <c r="U28" s="424"/>
      <c r="V28" s="424"/>
      <c r="W28" s="424"/>
      <c r="X28" s="424"/>
      <c r="Y28" s="424"/>
      <c r="Z28" s="424"/>
      <c r="AA28" s="424"/>
      <c r="AB28" s="424"/>
      <c r="AC28" s="424"/>
      <c r="AD28" s="425"/>
    </row>
    <row r="29" spans="1:41" ht="27" customHeight="1" x14ac:dyDescent="0.3">
      <c r="A29" s="441"/>
      <c r="B29" s="426"/>
      <c r="C29" s="428"/>
      <c r="D29" s="305" t="s">
        <v>30</v>
      </c>
      <c r="E29" s="305" t="s">
        <v>31</v>
      </c>
      <c r="F29" s="305" t="s">
        <v>32</v>
      </c>
      <c r="G29" s="305" t="s">
        <v>33</v>
      </c>
      <c r="H29" s="305" t="s">
        <v>34</v>
      </c>
      <c r="I29" s="305" t="s">
        <v>35</v>
      </c>
      <c r="J29" s="305" t="s">
        <v>36</v>
      </c>
      <c r="K29" s="305" t="s">
        <v>37</v>
      </c>
      <c r="L29" s="305" t="s">
        <v>8</v>
      </c>
      <c r="M29" s="305" t="s">
        <v>38</v>
      </c>
      <c r="N29" s="305" t="s">
        <v>39</v>
      </c>
      <c r="O29" s="305" t="s">
        <v>40</v>
      </c>
      <c r="P29" s="423"/>
      <c r="Q29" s="424"/>
      <c r="R29" s="424"/>
      <c r="S29" s="424"/>
      <c r="T29" s="424"/>
      <c r="U29" s="424"/>
      <c r="V29" s="424"/>
      <c r="W29" s="424"/>
      <c r="X29" s="424"/>
      <c r="Y29" s="424"/>
      <c r="Z29" s="424"/>
      <c r="AA29" s="424"/>
      <c r="AB29" s="424"/>
      <c r="AC29" s="424"/>
      <c r="AD29" s="425"/>
    </row>
    <row r="30" spans="1:41" ht="69.75" customHeight="1" thickBot="1" x14ac:dyDescent="0.35">
      <c r="A30" s="332" t="str">
        <f>C17</f>
        <v>Implementar 1 estrategia de fortalecimiento de capacidades  para el ejercicio del derecho a la participación de las mujeres</v>
      </c>
      <c r="B30" s="773"/>
      <c r="C30" s="774"/>
      <c r="D30" s="308"/>
      <c r="E30" s="308"/>
      <c r="F30" s="308"/>
      <c r="G30" s="308"/>
      <c r="H30" s="308"/>
      <c r="I30" s="308"/>
      <c r="J30" s="308"/>
      <c r="K30" s="308"/>
      <c r="L30" s="308"/>
      <c r="M30" s="308"/>
      <c r="N30" s="308"/>
      <c r="O30" s="308"/>
      <c r="P30" s="309">
        <f>SUM(D30:O30)</f>
        <v>0</v>
      </c>
      <c r="Q30" s="896" t="s">
        <v>104</v>
      </c>
      <c r="R30" s="896"/>
      <c r="S30" s="896"/>
      <c r="T30" s="896"/>
      <c r="U30" s="896"/>
      <c r="V30" s="896"/>
      <c r="W30" s="896"/>
      <c r="X30" s="896"/>
      <c r="Y30" s="896"/>
      <c r="Z30" s="896"/>
      <c r="AA30" s="896"/>
      <c r="AB30" s="896"/>
      <c r="AC30" s="896"/>
      <c r="AD30" s="897"/>
    </row>
    <row r="31" spans="1:41" ht="45" customHeight="1" thickBot="1" x14ac:dyDescent="0.35">
      <c r="A31" s="458" t="s">
        <v>53</v>
      </c>
      <c r="B31" s="459"/>
      <c r="C31" s="459"/>
      <c r="D31" s="459"/>
      <c r="E31" s="459"/>
      <c r="F31" s="459"/>
      <c r="G31" s="459"/>
      <c r="H31" s="459"/>
      <c r="I31" s="459"/>
      <c r="J31" s="459"/>
      <c r="K31" s="459"/>
      <c r="L31" s="459"/>
      <c r="M31" s="459"/>
      <c r="N31" s="459"/>
      <c r="O31" s="459"/>
      <c r="P31" s="459"/>
      <c r="Q31" s="459"/>
      <c r="R31" s="459"/>
      <c r="S31" s="459"/>
      <c r="T31" s="459"/>
      <c r="U31" s="459"/>
      <c r="V31" s="459"/>
      <c r="W31" s="459"/>
      <c r="X31" s="459"/>
      <c r="Y31" s="459"/>
      <c r="Z31" s="459"/>
      <c r="AA31" s="459"/>
      <c r="AB31" s="459"/>
      <c r="AC31" s="459"/>
      <c r="AD31" s="831"/>
    </row>
    <row r="32" spans="1:41" ht="23.1" customHeight="1" x14ac:dyDescent="0.3">
      <c r="A32" s="392" t="s">
        <v>54</v>
      </c>
      <c r="B32" s="396" t="s">
        <v>55</v>
      </c>
      <c r="C32" s="445" t="s">
        <v>49</v>
      </c>
      <c r="D32" s="392" t="s">
        <v>56</v>
      </c>
      <c r="E32" s="396"/>
      <c r="F32" s="396"/>
      <c r="G32" s="396"/>
      <c r="H32" s="396"/>
      <c r="I32" s="396"/>
      <c r="J32" s="396"/>
      <c r="K32" s="396"/>
      <c r="L32" s="396"/>
      <c r="M32" s="396"/>
      <c r="N32" s="396"/>
      <c r="O32" s="396"/>
      <c r="P32" s="397"/>
      <c r="Q32" s="895" t="s">
        <v>57</v>
      </c>
      <c r="R32" s="396"/>
      <c r="S32" s="396"/>
      <c r="T32" s="396"/>
      <c r="U32" s="396"/>
      <c r="V32" s="396"/>
      <c r="W32" s="396"/>
      <c r="X32" s="396"/>
      <c r="Y32" s="396"/>
      <c r="Z32" s="396"/>
      <c r="AA32" s="396"/>
      <c r="AB32" s="396"/>
      <c r="AC32" s="396"/>
      <c r="AD32" s="397"/>
      <c r="AG32" s="87"/>
      <c r="AH32" s="87"/>
      <c r="AI32" s="87"/>
      <c r="AJ32" s="87"/>
      <c r="AK32" s="87"/>
      <c r="AL32" s="87"/>
      <c r="AM32" s="87"/>
      <c r="AN32" s="87"/>
      <c r="AO32" s="87"/>
    </row>
    <row r="33" spans="1:41" ht="27" customHeight="1" x14ac:dyDescent="0.3">
      <c r="A33" s="434"/>
      <c r="B33" s="424"/>
      <c r="C33" s="927"/>
      <c r="D33" s="285" t="s">
        <v>30</v>
      </c>
      <c r="E33" s="305" t="s">
        <v>31</v>
      </c>
      <c r="F33" s="305" t="s">
        <v>32</v>
      </c>
      <c r="G33" s="305" t="s">
        <v>33</v>
      </c>
      <c r="H33" s="305" t="s">
        <v>34</v>
      </c>
      <c r="I33" s="305" t="s">
        <v>35</v>
      </c>
      <c r="J33" s="305" t="s">
        <v>36</v>
      </c>
      <c r="K33" s="305" t="s">
        <v>37</v>
      </c>
      <c r="L33" s="305" t="s">
        <v>8</v>
      </c>
      <c r="M33" s="305" t="s">
        <v>38</v>
      </c>
      <c r="N33" s="305" t="s">
        <v>39</v>
      </c>
      <c r="O33" s="305" t="s">
        <v>40</v>
      </c>
      <c r="P33" s="306" t="s">
        <v>41</v>
      </c>
      <c r="Q33" s="423" t="s">
        <v>58</v>
      </c>
      <c r="R33" s="424"/>
      <c r="S33" s="424"/>
      <c r="T33" s="424" t="s">
        <v>59</v>
      </c>
      <c r="U33" s="424"/>
      <c r="V33" s="424"/>
      <c r="W33" s="426" t="s">
        <v>60</v>
      </c>
      <c r="X33" s="427"/>
      <c r="Y33" s="427"/>
      <c r="Z33" s="428"/>
      <c r="AA33" s="426" t="s">
        <v>61</v>
      </c>
      <c r="AB33" s="427"/>
      <c r="AC33" s="427"/>
      <c r="AD33" s="429"/>
      <c r="AG33" s="87"/>
      <c r="AH33" s="87"/>
      <c r="AI33" s="87"/>
      <c r="AJ33" s="87"/>
      <c r="AK33" s="87"/>
      <c r="AL33" s="87"/>
      <c r="AM33" s="87"/>
      <c r="AN33" s="87"/>
      <c r="AO33" s="87"/>
    </row>
    <row r="34" spans="1:41" ht="83.25" customHeight="1" x14ac:dyDescent="0.3">
      <c r="A34" s="894" t="str">
        <f>C17</f>
        <v>Implementar 1 estrategia de fortalecimiento de capacidades  para el ejercicio del derecho a la participación de las mujeres</v>
      </c>
      <c r="B34" s="411">
        <v>0.06</v>
      </c>
      <c r="C34" s="357" t="s">
        <v>62</v>
      </c>
      <c r="D34" s="358">
        <f>D69</f>
        <v>0</v>
      </c>
      <c r="E34" s="312">
        <f t="shared" ref="E34:O34" si="0">E69</f>
        <v>2.0000000000000011E-2</v>
      </c>
      <c r="F34" s="312">
        <f t="shared" si="0"/>
        <v>1.8000000000000002E-2</v>
      </c>
      <c r="G34" s="312">
        <f t="shared" si="0"/>
        <v>1.8000000000000002E-2</v>
      </c>
      <c r="H34" s="312">
        <f t="shared" si="0"/>
        <v>1.8000000000000002E-2</v>
      </c>
      <c r="I34" s="312">
        <f t="shared" si="0"/>
        <v>1.8000000000000002E-2</v>
      </c>
      <c r="J34" s="312">
        <f t="shared" si="0"/>
        <v>1.8000000000000002E-2</v>
      </c>
      <c r="K34" s="312">
        <f t="shared" si="0"/>
        <v>1.8000000000000002E-2</v>
      </c>
      <c r="L34" s="312">
        <f t="shared" si="0"/>
        <v>1.8000000000000002E-2</v>
      </c>
      <c r="M34" s="312">
        <f t="shared" si="0"/>
        <v>1.8000000000000002E-2</v>
      </c>
      <c r="N34" s="312">
        <f t="shared" si="0"/>
        <v>1.8000000000000002E-2</v>
      </c>
      <c r="O34" s="312">
        <f t="shared" si="0"/>
        <v>1.8000000000000002E-2</v>
      </c>
      <c r="P34" s="313">
        <f>SUM(D34:O34)</f>
        <v>0.20000000000000007</v>
      </c>
      <c r="Q34" s="921" t="s">
        <v>597</v>
      </c>
      <c r="R34" s="921"/>
      <c r="S34" s="922"/>
      <c r="T34" s="915" t="s">
        <v>598</v>
      </c>
      <c r="U34" s="916"/>
      <c r="V34" s="916"/>
      <c r="W34" s="915" t="s">
        <v>535</v>
      </c>
      <c r="X34" s="916"/>
      <c r="Y34" s="916"/>
      <c r="Z34" s="917"/>
      <c r="AA34" s="915" t="s">
        <v>140</v>
      </c>
      <c r="AB34" s="916"/>
      <c r="AC34" s="916"/>
      <c r="AD34" s="917"/>
      <c r="AG34" s="87"/>
      <c r="AH34" s="87"/>
      <c r="AI34" s="87"/>
      <c r="AJ34" s="87"/>
      <c r="AK34" s="87"/>
      <c r="AL34" s="87"/>
      <c r="AM34" s="87"/>
      <c r="AN34" s="87"/>
      <c r="AO34" s="87"/>
    </row>
    <row r="35" spans="1:41" ht="83.25" customHeight="1" thickBot="1" x14ac:dyDescent="0.35">
      <c r="A35" s="844"/>
      <c r="B35" s="412"/>
      <c r="C35" s="359" t="s">
        <v>63</v>
      </c>
      <c r="D35" s="360">
        <f>D66</f>
        <v>0</v>
      </c>
      <c r="E35" s="315">
        <f t="shared" ref="E35:O35" si="1">E66</f>
        <v>2.0000000000000011E-2</v>
      </c>
      <c r="F35" s="315">
        <f t="shared" si="1"/>
        <v>1.8000000000000002E-2</v>
      </c>
      <c r="G35" s="315">
        <f t="shared" si="1"/>
        <v>1.8000000000000002E-2</v>
      </c>
      <c r="H35" s="315">
        <f t="shared" si="1"/>
        <v>1.8000000000000002E-2</v>
      </c>
      <c r="I35" s="315">
        <f t="shared" si="1"/>
        <v>1.8000000000000002E-2</v>
      </c>
      <c r="J35" s="315">
        <f t="shared" si="1"/>
        <v>1.8000000000000002E-2</v>
      </c>
      <c r="K35" s="315">
        <f t="shared" si="1"/>
        <v>1.8000000000000002E-2</v>
      </c>
      <c r="L35" s="315">
        <f t="shared" si="1"/>
        <v>1.8000000000000002E-2</v>
      </c>
      <c r="M35" s="315">
        <f t="shared" si="1"/>
        <v>1.8000000000000002E-2</v>
      </c>
      <c r="N35" s="315">
        <f t="shared" si="1"/>
        <v>0</v>
      </c>
      <c r="O35" s="315">
        <f t="shared" si="1"/>
        <v>0</v>
      </c>
      <c r="P35" s="316">
        <f>SUM(D35:O35)</f>
        <v>0.16400000000000003</v>
      </c>
      <c r="Q35" s="923"/>
      <c r="R35" s="923"/>
      <c r="S35" s="924"/>
      <c r="T35" s="918"/>
      <c r="U35" s="919"/>
      <c r="V35" s="919"/>
      <c r="W35" s="918"/>
      <c r="X35" s="919"/>
      <c r="Y35" s="919"/>
      <c r="Z35" s="920"/>
      <c r="AA35" s="918"/>
      <c r="AB35" s="919"/>
      <c r="AC35" s="919"/>
      <c r="AD35" s="920"/>
      <c r="AE35" s="49"/>
      <c r="AG35" s="87"/>
      <c r="AH35" s="87"/>
      <c r="AI35" s="87"/>
      <c r="AJ35" s="87"/>
      <c r="AK35" s="87"/>
      <c r="AL35" s="87"/>
      <c r="AM35" s="87"/>
      <c r="AN35" s="87"/>
      <c r="AO35" s="87"/>
    </row>
    <row r="36" spans="1:41" ht="26.1" customHeight="1" x14ac:dyDescent="0.3">
      <c r="A36" s="904" t="s">
        <v>64</v>
      </c>
      <c r="B36" s="906" t="s">
        <v>65</v>
      </c>
      <c r="C36" s="392" t="s">
        <v>66</v>
      </c>
      <c r="D36" s="396"/>
      <c r="E36" s="396"/>
      <c r="F36" s="396"/>
      <c r="G36" s="396"/>
      <c r="H36" s="396"/>
      <c r="I36" s="396"/>
      <c r="J36" s="396"/>
      <c r="K36" s="396"/>
      <c r="L36" s="396"/>
      <c r="M36" s="396"/>
      <c r="N36" s="396"/>
      <c r="O36" s="396"/>
      <c r="P36" s="397"/>
      <c r="Q36" s="399" t="s">
        <v>67</v>
      </c>
      <c r="R36" s="399"/>
      <c r="S36" s="399"/>
      <c r="T36" s="399"/>
      <c r="U36" s="399"/>
      <c r="V36" s="399"/>
      <c r="W36" s="399"/>
      <c r="X36" s="399"/>
      <c r="Y36" s="399"/>
      <c r="Z36" s="399"/>
      <c r="AA36" s="399"/>
      <c r="AB36" s="399"/>
      <c r="AC36" s="399"/>
      <c r="AD36" s="400"/>
      <c r="AG36" s="87"/>
      <c r="AH36" s="87"/>
      <c r="AI36" s="87"/>
      <c r="AJ36" s="87"/>
      <c r="AK36" s="87"/>
      <c r="AL36" s="87"/>
      <c r="AM36" s="87"/>
      <c r="AN36" s="87"/>
      <c r="AO36" s="87"/>
    </row>
    <row r="37" spans="1:41" ht="29.25" customHeight="1" thickBot="1" x14ac:dyDescent="0.35">
      <c r="A37" s="905"/>
      <c r="B37" s="500"/>
      <c r="C37" s="285" t="s">
        <v>68</v>
      </c>
      <c r="D37" s="305" t="s">
        <v>69</v>
      </c>
      <c r="E37" s="305" t="s">
        <v>70</v>
      </c>
      <c r="F37" s="305" t="s">
        <v>71</v>
      </c>
      <c r="G37" s="305" t="s">
        <v>72</v>
      </c>
      <c r="H37" s="305" t="s">
        <v>73</v>
      </c>
      <c r="I37" s="305" t="s">
        <v>74</v>
      </c>
      <c r="J37" s="305" t="s">
        <v>75</v>
      </c>
      <c r="K37" s="305" t="s">
        <v>76</v>
      </c>
      <c r="L37" s="305" t="s">
        <v>77</v>
      </c>
      <c r="M37" s="305" t="s">
        <v>78</v>
      </c>
      <c r="N37" s="305" t="s">
        <v>79</v>
      </c>
      <c r="O37" s="305" t="s">
        <v>80</v>
      </c>
      <c r="P37" s="306" t="s">
        <v>81</v>
      </c>
      <c r="Q37" s="925" t="s">
        <v>82</v>
      </c>
      <c r="R37" s="925"/>
      <c r="S37" s="925"/>
      <c r="T37" s="925"/>
      <c r="U37" s="925"/>
      <c r="V37" s="925"/>
      <c r="W37" s="925"/>
      <c r="X37" s="925"/>
      <c r="Y37" s="925"/>
      <c r="Z37" s="925"/>
      <c r="AA37" s="925"/>
      <c r="AB37" s="925"/>
      <c r="AC37" s="925"/>
      <c r="AD37" s="926"/>
      <c r="AG37" s="94"/>
      <c r="AH37" s="94"/>
      <c r="AI37" s="94"/>
      <c r="AJ37" s="94"/>
      <c r="AK37" s="94"/>
      <c r="AL37" s="94"/>
      <c r="AM37" s="94"/>
      <c r="AN37" s="94"/>
      <c r="AO37" s="94"/>
    </row>
    <row r="38" spans="1:41" ht="243.9" customHeight="1" x14ac:dyDescent="0.3">
      <c r="A38" s="383" t="s">
        <v>141</v>
      </c>
      <c r="B38" s="907">
        <v>0.06</v>
      </c>
      <c r="C38" s="337" t="s">
        <v>62</v>
      </c>
      <c r="D38" s="325">
        <v>0</v>
      </c>
      <c r="E38" s="325">
        <v>0.1</v>
      </c>
      <c r="F38" s="325">
        <v>0.09</v>
      </c>
      <c r="G38" s="325">
        <v>0.09</v>
      </c>
      <c r="H38" s="325">
        <v>0.09</v>
      </c>
      <c r="I38" s="325">
        <v>0.09</v>
      </c>
      <c r="J38" s="325">
        <v>0.09</v>
      </c>
      <c r="K38" s="325">
        <v>0.09</v>
      </c>
      <c r="L38" s="325">
        <v>0.09</v>
      </c>
      <c r="M38" s="325">
        <v>0.09</v>
      </c>
      <c r="N38" s="325">
        <v>0.09</v>
      </c>
      <c r="O38" s="325">
        <v>0.09</v>
      </c>
      <c r="P38" s="320">
        <f>SUM(D38:O38)</f>
        <v>0.99999999999999978</v>
      </c>
      <c r="Q38" s="909" t="s">
        <v>587</v>
      </c>
      <c r="R38" s="910"/>
      <c r="S38" s="910"/>
      <c r="T38" s="910"/>
      <c r="U38" s="910"/>
      <c r="V38" s="910"/>
      <c r="W38" s="910"/>
      <c r="X38" s="910"/>
      <c r="Y38" s="910"/>
      <c r="Z38" s="910"/>
      <c r="AA38" s="910"/>
      <c r="AB38" s="910"/>
      <c r="AC38" s="910"/>
      <c r="AD38" s="911"/>
      <c r="AE38" s="97"/>
      <c r="AG38" s="98"/>
      <c r="AH38" s="98"/>
      <c r="AI38" s="98"/>
      <c r="AJ38" s="98"/>
      <c r="AK38" s="98"/>
      <c r="AL38" s="98"/>
      <c r="AM38" s="98"/>
      <c r="AN38" s="98"/>
      <c r="AO38" s="98"/>
    </row>
    <row r="39" spans="1:41" ht="377.25" customHeight="1" thickBot="1" x14ac:dyDescent="0.35">
      <c r="A39" s="749"/>
      <c r="B39" s="908"/>
      <c r="C39" s="340" t="s">
        <v>63</v>
      </c>
      <c r="D39" s="327">
        <v>0</v>
      </c>
      <c r="E39" s="327">
        <v>0.1</v>
      </c>
      <c r="F39" s="327">
        <v>0.09</v>
      </c>
      <c r="G39" s="327">
        <v>0.09</v>
      </c>
      <c r="H39" s="327">
        <v>0.09</v>
      </c>
      <c r="I39" s="327">
        <v>0.09</v>
      </c>
      <c r="J39" s="327">
        <v>0.09</v>
      </c>
      <c r="K39" s="327">
        <v>0.09</v>
      </c>
      <c r="L39" s="328">
        <v>0.09</v>
      </c>
      <c r="M39" s="328">
        <v>0.09</v>
      </c>
      <c r="N39" s="328"/>
      <c r="O39" s="328"/>
      <c r="P39" s="329">
        <f>SUM(D39:O39)</f>
        <v>0.81999999999999984</v>
      </c>
      <c r="Q39" s="912"/>
      <c r="R39" s="913"/>
      <c r="S39" s="913"/>
      <c r="T39" s="913"/>
      <c r="U39" s="913"/>
      <c r="V39" s="913"/>
      <c r="W39" s="913"/>
      <c r="X39" s="913"/>
      <c r="Y39" s="913"/>
      <c r="Z39" s="913"/>
      <c r="AA39" s="913"/>
      <c r="AB39" s="913"/>
      <c r="AC39" s="913"/>
      <c r="AD39" s="914"/>
      <c r="AE39" s="97"/>
    </row>
    <row r="40" spans="1:41" x14ac:dyDescent="0.3">
      <c r="A40" s="194" t="s">
        <v>89</v>
      </c>
      <c r="Q40" s="194"/>
      <c r="R40" s="194"/>
      <c r="S40" s="194"/>
      <c r="T40" s="194"/>
      <c r="U40" s="194"/>
      <c r="V40" s="194"/>
      <c r="W40" s="194"/>
      <c r="X40" s="194"/>
      <c r="Y40" s="194"/>
      <c r="Z40" s="194"/>
      <c r="AA40" s="194"/>
      <c r="AB40" s="194"/>
      <c r="AC40" s="194"/>
      <c r="AD40" s="194"/>
    </row>
    <row r="41" spans="1:41" x14ac:dyDescent="0.3">
      <c r="A41" s="194"/>
      <c r="Q41" s="194"/>
      <c r="R41" s="194"/>
      <c r="S41" s="194"/>
      <c r="T41" s="194"/>
      <c r="U41" s="194"/>
      <c r="V41" s="194"/>
      <c r="W41" s="194"/>
      <c r="X41" s="194"/>
      <c r="Y41" s="194"/>
      <c r="Z41" s="194"/>
      <c r="AA41" s="194"/>
      <c r="AB41" s="194"/>
      <c r="AC41" s="194"/>
      <c r="AD41" s="194"/>
    </row>
    <row r="42" spans="1:41" x14ac:dyDescent="0.3">
      <c r="A42" s="194"/>
      <c r="Q42" s="194"/>
      <c r="R42" s="194"/>
      <c r="S42" s="194"/>
      <c r="T42" s="194"/>
      <c r="U42" s="194"/>
      <c r="V42" s="194"/>
      <c r="W42" s="194"/>
      <c r="X42" s="194"/>
      <c r="Y42" s="194"/>
      <c r="Z42" s="194"/>
      <c r="AA42" s="194"/>
      <c r="AB42" s="194"/>
      <c r="AC42" s="194"/>
      <c r="AD42" s="194"/>
    </row>
    <row r="43" spans="1:41" x14ac:dyDescent="0.3">
      <c r="A43" s="194"/>
      <c r="Q43" s="194"/>
      <c r="R43" s="194"/>
      <c r="S43" s="194"/>
      <c r="T43" s="194"/>
      <c r="U43" s="194"/>
      <c r="V43" s="194"/>
      <c r="W43" s="194"/>
      <c r="X43" s="194"/>
      <c r="Y43" s="194"/>
      <c r="Z43" s="194"/>
      <c r="AA43" s="194"/>
      <c r="AB43" s="194"/>
      <c r="AC43" s="194"/>
      <c r="AD43" s="194"/>
    </row>
    <row r="44" spans="1:41" x14ac:dyDescent="0.3">
      <c r="A44" s="194"/>
      <c r="Q44" s="194"/>
      <c r="R44" s="194"/>
      <c r="S44" s="194"/>
      <c r="T44" s="194"/>
      <c r="U44" s="194"/>
      <c r="V44" s="194"/>
      <c r="W44" s="194"/>
      <c r="X44" s="194"/>
      <c r="Y44" s="194"/>
      <c r="Z44" s="194"/>
      <c r="AA44" s="194"/>
      <c r="AB44" s="194"/>
      <c r="AC44" s="194"/>
      <c r="AD44" s="194"/>
    </row>
    <row r="45" spans="1:41" x14ac:dyDescent="0.3">
      <c r="A45" s="194"/>
      <c r="Q45" s="194"/>
      <c r="R45" s="194"/>
      <c r="S45" s="194"/>
      <c r="T45" s="194"/>
      <c r="U45" s="194"/>
      <c r="V45" s="194"/>
      <c r="W45" s="194"/>
      <c r="X45" s="194"/>
      <c r="Y45" s="194"/>
      <c r="Z45" s="194"/>
      <c r="AA45" s="194"/>
      <c r="AB45" s="194"/>
      <c r="AC45" s="194"/>
      <c r="AD45" s="194"/>
    </row>
    <row r="46" spans="1:41" x14ac:dyDescent="0.3">
      <c r="A46" s="194"/>
      <c r="Q46" s="194"/>
      <c r="R46" s="194"/>
      <c r="S46" s="194"/>
      <c r="T46" s="194"/>
      <c r="U46" s="194"/>
      <c r="V46" s="194"/>
      <c r="W46" s="194"/>
      <c r="X46" s="194"/>
      <c r="Y46" s="194"/>
      <c r="Z46" s="194"/>
      <c r="AA46" s="194"/>
      <c r="AB46" s="194"/>
      <c r="AC46" s="194"/>
      <c r="AD46" s="194"/>
    </row>
    <row r="47" spans="1:41" x14ac:dyDescent="0.3">
      <c r="A47" s="194"/>
      <c r="Q47" s="194"/>
      <c r="R47" s="194"/>
      <c r="S47" s="194"/>
      <c r="T47" s="194"/>
      <c r="U47" s="194"/>
      <c r="V47" s="194"/>
      <c r="W47" s="194"/>
      <c r="X47" s="194"/>
      <c r="Y47" s="194"/>
      <c r="Z47" s="194"/>
      <c r="AA47" s="194"/>
      <c r="AB47" s="194"/>
      <c r="AC47" s="194"/>
      <c r="AD47" s="194"/>
    </row>
    <row r="48" spans="1:41" x14ac:dyDescent="0.3">
      <c r="A48" s="194"/>
      <c r="Q48" s="194"/>
      <c r="R48" s="194"/>
      <c r="S48" s="194"/>
      <c r="T48" s="194"/>
      <c r="U48" s="194"/>
      <c r="V48" s="194"/>
      <c r="W48" s="194"/>
      <c r="X48" s="194"/>
      <c r="Y48" s="194"/>
      <c r="Z48" s="194"/>
      <c r="AA48" s="194"/>
      <c r="AB48" s="194"/>
      <c r="AC48" s="194"/>
      <c r="AD48" s="194"/>
    </row>
    <row r="49" spans="1:30" x14ac:dyDescent="0.3">
      <c r="A49" s="194"/>
      <c r="Q49" s="194"/>
      <c r="R49" s="194"/>
      <c r="S49" s="194"/>
      <c r="T49" s="194"/>
      <c r="U49" s="194"/>
      <c r="V49" s="194"/>
      <c r="W49" s="194"/>
      <c r="X49" s="194"/>
      <c r="Y49" s="194"/>
      <c r="Z49" s="194"/>
      <c r="AA49" s="194"/>
      <c r="AB49" s="194"/>
      <c r="AC49" s="194"/>
      <c r="AD49" s="194"/>
    </row>
    <row r="50" spans="1:30" hidden="1" x14ac:dyDescent="0.3">
      <c r="A50" s="194"/>
      <c r="Q50" s="194"/>
      <c r="R50" s="194"/>
      <c r="S50" s="194"/>
      <c r="T50" s="194"/>
      <c r="U50" s="194"/>
      <c r="V50" s="194"/>
      <c r="W50" s="194"/>
      <c r="X50" s="194"/>
      <c r="Y50" s="194"/>
      <c r="Z50" s="194"/>
      <c r="AA50" s="194"/>
      <c r="AB50" s="194"/>
      <c r="AC50" s="194"/>
      <c r="AD50" s="194"/>
    </row>
    <row r="51" spans="1:30" hidden="1" x14ac:dyDescent="0.3">
      <c r="A51" s="194"/>
      <c r="Q51" s="194"/>
      <c r="R51" s="194"/>
      <c r="S51" s="194"/>
      <c r="T51" s="194"/>
      <c r="U51" s="194"/>
      <c r="V51" s="194"/>
      <c r="W51" s="194"/>
      <c r="X51" s="194"/>
      <c r="Y51" s="194"/>
      <c r="Z51" s="194"/>
      <c r="AA51" s="194"/>
      <c r="AB51" s="194"/>
      <c r="AC51" s="194"/>
      <c r="AD51" s="194"/>
    </row>
    <row r="52" spans="1:30" hidden="1" x14ac:dyDescent="0.3">
      <c r="A52" s="194"/>
      <c r="Q52" s="194"/>
      <c r="R52" s="194"/>
      <c r="S52" s="194"/>
      <c r="T52" s="194"/>
      <c r="U52" s="194"/>
      <c r="V52" s="194"/>
      <c r="W52" s="194"/>
      <c r="X52" s="194"/>
      <c r="Y52" s="194"/>
      <c r="Z52" s="194"/>
      <c r="AA52" s="194"/>
      <c r="AB52" s="194"/>
      <c r="AC52" s="194"/>
      <c r="AD52" s="194"/>
    </row>
    <row r="53" spans="1:30" hidden="1" x14ac:dyDescent="0.3">
      <c r="A53" s="194"/>
      <c r="Q53" s="194"/>
      <c r="R53" s="194"/>
      <c r="S53" s="194"/>
      <c r="T53" s="194"/>
      <c r="U53" s="194"/>
      <c r="V53" s="194"/>
      <c r="W53" s="194"/>
      <c r="X53" s="194"/>
      <c r="Y53" s="194"/>
      <c r="Z53" s="194"/>
      <c r="AA53" s="194"/>
      <c r="AB53" s="194"/>
      <c r="AC53" s="194"/>
      <c r="AD53" s="194"/>
    </row>
    <row r="54" spans="1:30" hidden="1" x14ac:dyDescent="0.3">
      <c r="A54" s="194"/>
      <c r="Q54" s="194"/>
      <c r="R54" s="194"/>
      <c r="S54" s="194"/>
      <c r="T54" s="194"/>
      <c r="U54" s="194"/>
      <c r="V54" s="194"/>
      <c r="W54" s="194"/>
      <c r="X54" s="194"/>
      <c r="Y54" s="194"/>
      <c r="Z54" s="194"/>
      <c r="AA54" s="194"/>
      <c r="AB54" s="194"/>
      <c r="AC54" s="194"/>
      <c r="AD54" s="194"/>
    </row>
    <row r="55" spans="1:30" ht="15" hidden="1" customHeight="1" x14ac:dyDescent="0.3">
      <c r="A55" s="558" t="s">
        <v>90</v>
      </c>
      <c r="B55" s="560" t="s">
        <v>65</v>
      </c>
      <c r="C55" s="562" t="s">
        <v>66</v>
      </c>
      <c r="D55" s="563"/>
      <c r="E55" s="563"/>
      <c r="F55" s="563"/>
      <c r="G55" s="563"/>
      <c r="H55" s="563"/>
      <c r="I55" s="563"/>
      <c r="J55" s="563"/>
      <c r="K55" s="563"/>
      <c r="L55" s="563"/>
      <c r="M55" s="563"/>
      <c r="N55" s="563"/>
      <c r="O55" s="563"/>
      <c r="P55" s="564"/>
      <c r="Q55" s="195"/>
      <c r="R55" s="195"/>
      <c r="S55" s="194"/>
      <c r="T55" s="194"/>
      <c r="U55" s="194"/>
      <c r="V55" s="194"/>
      <c r="W55" s="194"/>
      <c r="X55" s="194"/>
      <c r="Y55" s="194"/>
      <c r="Z55" s="194"/>
      <c r="AA55" s="194"/>
      <c r="AB55" s="194"/>
      <c r="AC55" s="194"/>
      <c r="AD55" s="194"/>
    </row>
    <row r="56" spans="1:30" hidden="1" x14ac:dyDescent="0.3">
      <c r="A56" s="559"/>
      <c r="B56" s="561"/>
      <c r="C56" s="177" t="s">
        <v>68</v>
      </c>
      <c r="D56" s="177" t="s">
        <v>69</v>
      </c>
      <c r="E56" s="177" t="s">
        <v>70</v>
      </c>
      <c r="F56" s="177" t="s">
        <v>71</v>
      </c>
      <c r="G56" s="177" t="s">
        <v>72</v>
      </c>
      <c r="H56" s="177" t="s">
        <v>73</v>
      </c>
      <c r="I56" s="177" t="s">
        <v>74</v>
      </c>
      <c r="J56" s="177" t="s">
        <v>75</v>
      </c>
      <c r="K56" s="177" t="s">
        <v>76</v>
      </c>
      <c r="L56" s="177" t="s">
        <v>77</v>
      </c>
      <c r="M56" s="177" t="s">
        <v>78</v>
      </c>
      <c r="N56" s="177" t="s">
        <v>79</v>
      </c>
      <c r="O56" s="177" t="s">
        <v>80</v>
      </c>
      <c r="P56" s="177" t="s">
        <v>81</v>
      </c>
      <c r="Q56" s="195"/>
      <c r="R56" s="195"/>
      <c r="S56" s="194"/>
      <c r="T56" s="194"/>
      <c r="U56" s="194"/>
      <c r="V56" s="194"/>
      <c r="W56" s="194"/>
      <c r="X56" s="194"/>
      <c r="Y56" s="194"/>
      <c r="Z56" s="194"/>
      <c r="AA56" s="194"/>
      <c r="AB56" s="194"/>
      <c r="AC56" s="194"/>
      <c r="AD56" s="194"/>
    </row>
    <row r="57" spans="1:30" ht="15" hidden="1" customHeight="1" x14ac:dyDescent="0.3">
      <c r="A57" s="546" t="str">
        <f>A38</f>
        <v>24. Realizar la implementación de la estrategia de fortalecimiento de capacidades para el ejercicio del derecho a la participación de las mujeres en el Distrito.</v>
      </c>
      <c r="B57" s="565">
        <f>B38</f>
        <v>0.06</v>
      </c>
      <c r="C57" s="176" t="s">
        <v>62</v>
      </c>
      <c r="D57" s="175">
        <f>D38*$B$38/$P$38</f>
        <v>0</v>
      </c>
      <c r="E57" s="175">
        <f t="shared" ref="D57:O58" si="2">E38*$B$38/$P$38</f>
        <v>6.0000000000000019E-3</v>
      </c>
      <c r="F57" s="175">
        <f t="shared" si="2"/>
        <v>5.4000000000000003E-3</v>
      </c>
      <c r="G57" s="175">
        <f t="shared" si="2"/>
        <v>5.4000000000000003E-3</v>
      </c>
      <c r="H57" s="175">
        <f t="shared" si="2"/>
        <v>5.4000000000000003E-3</v>
      </c>
      <c r="I57" s="175">
        <f t="shared" si="2"/>
        <v>5.4000000000000003E-3</v>
      </c>
      <c r="J57" s="175">
        <f t="shared" si="2"/>
        <v>5.4000000000000003E-3</v>
      </c>
      <c r="K57" s="175">
        <f t="shared" si="2"/>
        <v>5.4000000000000003E-3</v>
      </c>
      <c r="L57" s="175">
        <f t="shared" si="2"/>
        <v>5.4000000000000003E-3</v>
      </c>
      <c r="M57" s="175">
        <f t="shared" si="2"/>
        <v>5.4000000000000003E-3</v>
      </c>
      <c r="N57" s="175">
        <f t="shared" si="2"/>
        <v>5.4000000000000003E-3</v>
      </c>
      <c r="O57" s="175">
        <f t="shared" si="2"/>
        <v>5.4000000000000003E-3</v>
      </c>
      <c r="P57" s="174">
        <f>SUM(D57:O57)</f>
        <v>6.0000000000000019E-2</v>
      </c>
      <c r="Q57" s="197">
        <v>0.05</v>
      </c>
      <c r="R57" s="198">
        <f>+P57-Q57</f>
        <v>1.0000000000000016E-2</v>
      </c>
      <c r="S57" s="194"/>
      <c r="T57" s="194"/>
      <c r="U57" s="194"/>
      <c r="V57" s="194"/>
      <c r="W57" s="194"/>
      <c r="X57" s="194"/>
      <c r="Y57" s="194"/>
      <c r="Z57" s="194"/>
      <c r="AA57" s="194"/>
      <c r="AB57" s="194"/>
      <c r="AC57" s="194"/>
      <c r="AD57" s="194"/>
    </row>
    <row r="58" spans="1:30" hidden="1" x14ac:dyDescent="0.3">
      <c r="A58" s="547"/>
      <c r="B58" s="566"/>
      <c r="C58" s="181" t="s">
        <v>63</v>
      </c>
      <c r="D58" s="172">
        <f t="shared" si="2"/>
        <v>0</v>
      </c>
      <c r="E58" s="172">
        <f t="shared" si="2"/>
        <v>6.0000000000000019E-3</v>
      </c>
      <c r="F58" s="172">
        <f t="shared" si="2"/>
        <v>5.4000000000000003E-3</v>
      </c>
      <c r="G58" s="172">
        <f t="shared" si="2"/>
        <v>5.4000000000000003E-3</v>
      </c>
      <c r="H58" s="172">
        <f t="shared" si="2"/>
        <v>5.4000000000000003E-3</v>
      </c>
      <c r="I58" s="172">
        <f t="shared" si="2"/>
        <v>5.4000000000000003E-3</v>
      </c>
      <c r="J58" s="172">
        <f t="shared" si="2"/>
        <v>5.4000000000000003E-3</v>
      </c>
      <c r="K58" s="172">
        <f t="shared" si="2"/>
        <v>5.4000000000000003E-3</v>
      </c>
      <c r="L58" s="172">
        <f t="shared" si="2"/>
        <v>5.4000000000000003E-3</v>
      </c>
      <c r="M58" s="172">
        <f t="shared" si="2"/>
        <v>5.4000000000000003E-3</v>
      </c>
      <c r="N58" s="172">
        <f t="shared" si="2"/>
        <v>0</v>
      </c>
      <c r="O58" s="172">
        <f t="shared" si="2"/>
        <v>0</v>
      </c>
      <c r="P58" s="171">
        <f>SUM(D58:O58)</f>
        <v>4.9200000000000015E-2</v>
      </c>
      <c r="Q58" s="199">
        <f>+P58</f>
        <v>4.9200000000000015E-2</v>
      </c>
      <c r="R58" s="198">
        <f>+P58-Q58</f>
        <v>0</v>
      </c>
      <c r="S58" s="194"/>
      <c r="T58" s="194"/>
      <c r="U58" s="194"/>
      <c r="V58" s="194"/>
      <c r="W58" s="194"/>
      <c r="X58" s="194"/>
      <c r="Y58" s="194"/>
      <c r="Z58" s="194"/>
      <c r="AA58" s="194"/>
      <c r="AB58" s="194"/>
      <c r="AC58" s="194"/>
      <c r="AD58" s="194"/>
    </row>
    <row r="59" spans="1:30" hidden="1" x14ac:dyDescent="0.3">
      <c r="A59" s="898"/>
      <c r="B59" s="899"/>
      <c r="C59" s="184"/>
      <c r="D59" s="175"/>
      <c r="E59" s="175"/>
      <c r="F59" s="175"/>
      <c r="G59" s="175"/>
      <c r="H59" s="175"/>
      <c r="I59" s="175"/>
      <c r="J59" s="175"/>
      <c r="K59" s="175"/>
      <c r="L59" s="175"/>
      <c r="M59" s="175"/>
      <c r="N59" s="175"/>
      <c r="O59" s="175"/>
      <c r="P59" s="185"/>
      <c r="Q59" s="197"/>
      <c r="R59" s="198"/>
      <c r="S59" s="194"/>
      <c r="T59" s="194"/>
      <c r="U59" s="194"/>
      <c r="V59" s="194"/>
      <c r="W59" s="194"/>
      <c r="X59" s="194"/>
      <c r="Y59" s="194"/>
      <c r="Z59" s="194"/>
      <c r="AA59" s="194"/>
      <c r="AB59" s="194"/>
      <c r="AC59" s="194"/>
      <c r="AD59" s="194"/>
    </row>
    <row r="60" spans="1:30" hidden="1" x14ac:dyDescent="0.3">
      <c r="A60" s="550"/>
      <c r="B60" s="551"/>
      <c r="C60" s="184"/>
      <c r="D60" s="168"/>
      <c r="E60" s="168"/>
      <c r="F60" s="168"/>
      <c r="G60" s="168"/>
      <c r="H60" s="168"/>
      <c r="I60" s="168"/>
      <c r="J60" s="168"/>
      <c r="K60" s="168"/>
      <c r="L60" s="168"/>
      <c r="M60" s="168"/>
      <c r="N60" s="168"/>
      <c r="O60" s="168"/>
      <c r="P60" s="185"/>
      <c r="Q60" s="199"/>
      <c r="R60" s="198"/>
      <c r="S60" s="194"/>
      <c r="T60" s="194"/>
      <c r="U60" s="194"/>
      <c r="V60" s="194"/>
      <c r="W60" s="194"/>
      <c r="X60" s="194"/>
      <c r="Y60" s="194"/>
      <c r="Z60" s="194"/>
      <c r="AA60" s="194"/>
      <c r="AB60" s="194"/>
      <c r="AC60" s="194"/>
      <c r="AD60" s="194"/>
    </row>
    <row r="61" spans="1:30" hidden="1" x14ac:dyDescent="0.3">
      <c r="A61" s="550"/>
      <c r="B61" s="551"/>
      <c r="C61" s="184"/>
      <c r="D61" s="175"/>
      <c r="E61" s="175"/>
      <c r="F61" s="175"/>
      <c r="G61" s="175"/>
      <c r="H61" s="175"/>
      <c r="I61" s="175"/>
      <c r="J61" s="175"/>
      <c r="K61" s="175"/>
      <c r="L61" s="175"/>
      <c r="M61" s="175"/>
      <c r="N61" s="175"/>
      <c r="O61" s="175"/>
      <c r="P61" s="185"/>
      <c r="Q61" s="197"/>
      <c r="R61" s="198"/>
      <c r="S61" s="194"/>
      <c r="T61" s="194"/>
      <c r="U61" s="194"/>
      <c r="V61" s="194"/>
      <c r="W61" s="194"/>
      <c r="X61" s="194"/>
      <c r="Y61" s="194"/>
      <c r="Z61" s="194"/>
      <c r="AA61" s="194"/>
      <c r="AB61" s="194"/>
      <c r="AC61" s="194"/>
      <c r="AD61" s="194"/>
    </row>
    <row r="62" spans="1:30" hidden="1" x14ac:dyDescent="0.3">
      <c r="A62" s="550"/>
      <c r="B62" s="551"/>
      <c r="C62" s="184"/>
      <c r="D62" s="168"/>
      <c r="E62" s="168"/>
      <c r="F62" s="168"/>
      <c r="G62" s="168"/>
      <c r="H62" s="168"/>
      <c r="I62" s="168"/>
      <c r="J62" s="168"/>
      <c r="K62" s="168"/>
      <c r="L62" s="168"/>
      <c r="M62" s="168"/>
      <c r="N62" s="168"/>
      <c r="O62" s="168"/>
      <c r="P62" s="185"/>
      <c r="Q62" s="199"/>
      <c r="R62" s="198"/>
      <c r="S62" s="194"/>
      <c r="T62" s="194"/>
      <c r="U62" s="194"/>
      <c r="V62" s="194"/>
      <c r="W62" s="194"/>
      <c r="X62" s="194"/>
      <c r="Y62" s="194"/>
      <c r="Z62" s="194"/>
      <c r="AA62" s="194"/>
      <c r="AB62" s="194"/>
      <c r="AC62" s="194"/>
      <c r="AD62" s="194"/>
    </row>
    <row r="63" spans="1:30" hidden="1" x14ac:dyDescent="0.3">
      <c r="A63" s="182"/>
      <c r="B63" s="183"/>
      <c r="C63" s="184"/>
      <c r="D63" s="175"/>
      <c r="E63" s="175"/>
      <c r="F63" s="175"/>
      <c r="G63" s="175"/>
      <c r="H63" s="175"/>
      <c r="I63" s="175"/>
      <c r="J63" s="175"/>
      <c r="K63" s="175"/>
      <c r="L63" s="175"/>
      <c r="M63" s="175"/>
      <c r="N63" s="175"/>
      <c r="O63" s="175"/>
      <c r="P63" s="185"/>
      <c r="Q63" s="197"/>
      <c r="R63" s="198"/>
      <c r="S63" s="194"/>
      <c r="T63" s="194"/>
      <c r="U63" s="194"/>
      <c r="V63" s="194"/>
      <c r="W63" s="194"/>
      <c r="X63" s="194"/>
      <c r="Y63" s="194"/>
      <c r="Z63" s="194"/>
      <c r="AA63" s="194"/>
      <c r="AB63" s="194"/>
      <c r="AC63" s="194"/>
      <c r="AD63" s="194"/>
    </row>
    <row r="64" spans="1:30" hidden="1" x14ac:dyDescent="0.3">
      <c r="A64" s="186"/>
      <c r="B64" s="187"/>
      <c r="C64" s="184"/>
      <c r="D64" s="168"/>
      <c r="E64" s="168"/>
      <c r="F64" s="168"/>
      <c r="G64" s="168"/>
      <c r="H64" s="168"/>
      <c r="I64" s="168"/>
      <c r="J64" s="168"/>
      <c r="K64" s="168"/>
      <c r="L64" s="168"/>
      <c r="M64" s="168"/>
      <c r="N64" s="168"/>
      <c r="O64" s="168"/>
      <c r="P64" s="185"/>
      <c r="Q64" s="199"/>
      <c r="R64" s="198"/>
      <c r="S64" s="194"/>
      <c r="T64" s="194"/>
      <c r="U64" s="194"/>
      <c r="V64" s="194"/>
      <c r="W64" s="194"/>
      <c r="X64" s="194"/>
      <c r="Y64" s="194"/>
      <c r="Z64" s="194"/>
      <c r="AA64" s="194"/>
      <c r="AB64" s="194"/>
      <c r="AC64" s="194"/>
      <c r="AD64" s="194"/>
    </row>
    <row r="65" spans="1:30" hidden="1" x14ac:dyDescent="0.3">
      <c r="A65" s="195"/>
      <c r="B65" s="169"/>
      <c r="C65" s="170"/>
      <c r="D65" s="165">
        <f>D58</f>
        <v>0</v>
      </c>
      <c r="E65" s="165">
        <f t="shared" ref="E65:O65" si="3">E58</f>
        <v>6.0000000000000019E-3</v>
      </c>
      <c r="F65" s="165">
        <f t="shared" si="3"/>
        <v>5.4000000000000003E-3</v>
      </c>
      <c r="G65" s="165">
        <f t="shared" si="3"/>
        <v>5.4000000000000003E-3</v>
      </c>
      <c r="H65" s="165">
        <f t="shared" si="3"/>
        <v>5.4000000000000003E-3</v>
      </c>
      <c r="I65" s="165">
        <f t="shared" si="3"/>
        <v>5.4000000000000003E-3</v>
      </c>
      <c r="J65" s="165">
        <f t="shared" si="3"/>
        <v>5.4000000000000003E-3</v>
      </c>
      <c r="K65" s="165">
        <f t="shared" si="3"/>
        <v>5.4000000000000003E-3</v>
      </c>
      <c r="L65" s="165">
        <f t="shared" si="3"/>
        <v>5.4000000000000003E-3</v>
      </c>
      <c r="M65" s="165">
        <f t="shared" si="3"/>
        <v>5.4000000000000003E-3</v>
      </c>
      <c r="N65" s="165">
        <f t="shared" si="3"/>
        <v>0</v>
      </c>
      <c r="O65" s="165">
        <f t="shared" si="3"/>
        <v>0</v>
      </c>
      <c r="P65" s="165">
        <f>P58+P60+P62</f>
        <v>4.9200000000000015E-2</v>
      </c>
      <c r="Q65" s="195"/>
      <c r="R65" s="198">
        <f>+P65-Q65</f>
        <v>4.9200000000000015E-2</v>
      </c>
      <c r="S65" s="194"/>
      <c r="T65" s="194"/>
      <c r="U65" s="194"/>
      <c r="V65" s="194"/>
      <c r="W65" s="194"/>
      <c r="X65" s="194"/>
      <c r="Y65" s="194"/>
      <c r="Z65" s="194"/>
      <c r="AA65" s="194"/>
      <c r="AB65" s="194"/>
      <c r="AC65" s="194"/>
      <c r="AD65" s="194"/>
    </row>
    <row r="66" spans="1:30" hidden="1" x14ac:dyDescent="0.3">
      <c r="A66" s="195"/>
      <c r="B66" s="167"/>
      <c r="C66" s="164" t="s">
        <v>63</v>
      </c>
      <c r="D66" s="163">
        <f>D65*$W$17/$B$34</f>
        <v>0</v>
      </c>
      <c r="E66" s="163">
        <f t="shared" ref="E66:O66" si="4">E65*$W$17/$B$34</f>
        <v>2.0000000000000011E-2</v>
      </c>
      <c r="F66" s="163">
        <f t="shared" si="4"/>
        <v>1.8000000000000002E-2</v>
      </c>
      <c r="G66" s="163">
        <f t="shared" si="4"/>
        <v>1.8000000000000002E-2</v>
      </c>
      <c r="H66" s="163">
        <f t="shared" si="4"/>
        <v>1.8000000000000002E-2</v>
      </c>
      <c r="I66" s="163">
        <f t="shared" si="4"/>
        <v>1.8000000000000002E-2</v>
      </c>
      <c r="J66" s="163">
        <f t="shared" si="4"/>
        <v>1.8000000000000002E-2</v>
      </c>
      <c r="K66" s="163">
        <f t="shared" si="4"/>
        <v>1.8000000000000002E-2</v>
      </c>
      <c r="L66" s="163">
        <f t="shared" si="4"/>
        <v>1.8000000000000002E-2</v>
      </c>
      <c r="M66" s="163">
        <f t="shared" si="4"/>
        <v>1.8000000000000002E-2</v>
      </c>
      <c r="N66" s="163">
        <f t="shared" si="4"/>
        <v>0</v>
      </c>
      <c r="O66" s="163">
        <f t="shared" si="4"/>
        <v>0</v>
      </c>
      <c r="P66" s="162">
        <f>SUM(D66:O66)</f>
        <v>0.16400000000000003</v>
      </c>
      <c r="Q66" s="196"/>
      <c r="R66" s="195"/>
      <c r="S66" s="194"/>
      <c r="T66" s="194"/>
      <c r="U66" s="194"/>
      <c r="V66" s="194"/>
      <c r="W66" s="194"/>
      <c r="X66" s="194"/>
      <c r="Y66" s="194"/>
      <c r="Z66" s="194"/>
      <c r="AA66" s="194"/>
      <c r="AB66" s="194"/>
      <c r="AC66" s="194"/>
      <c r="AD66" s="194"/>
    </row>
    <row r="67" spans="1:30" hidden="1" x14ac:dyDescent="0.3">
      <c r="A67" s="196"/>
      <c r="B67" s="166"/>
      <c r="C67" s="166"/>
      <c r="D67" s="166"/>
      <c r="E67" s="166"/>
      <c r="F67" s="166"/>
      <c r="G67" s="166"/>
      <c r="H67" s="166"/>
      <c r="I67" s="166"/>
      <c r="J67" s="166"/>
      <c r="K67" s="166"/>
      <c r="L67" s="166"/>
      <c r="M67" s="166"/>
      <c r="N67" s="166"/>
      <c r="O67" s="166"/>
      <c r="P67" s="166"/>
      <c r="Q67" s="196"/>
      <c r="R67" s="196"/>
      <c r="S67" s="194"/>
      <c r="T67" s="194"/>
      <c r="U67" s="194"/>
      <c r="V67" s="194"/>
      <c r="W67" s="194"/>
      <c r="X67" s="194"/>
      <c r="Y67" s="194"/>
      <c r="Z67" s="194"/>
      <c r="AA67" s="194"/>
      <c r="AB67" s="194"/>
      <c r="AC67" s="194"/>
      <c r="AD67" s="194"/>
    </row>
    <row r="68" spans="1:30" hidden="1" x14ac:dyDescent="0.3">
      <c r="A68" s="197"/>
      <c r="B68" s="108"/>
      <c r="C68" s="108"/>
      <c r="D68" s="165">
        <f>+D57</f>
        <v>0</v>
      </c>
      <c r="E68" s="165">
        <f t="shared" ref="E68:O68" si="5">+E57</f>
        <v>6.0000000000000019E-3</v>
      </c>
      <c r="F68" s="165">
        <f t="shared" si="5"/>
        <v>5.4000000000000003E-3</v>
      </c>
      <c r="G68" s="165">
        <f t="shared" si="5"/>
        <v>5.4000000000000003E-3</v>
      </c>
      <c r="H68" s="165">
        <f t="shared" si="5"/>
        <v>5.4000000000000003E-3</v>
      </c>
      <c r="I68" s="165">
        <f t="shared" si="5"/>
        <v>5.4000000000000003E-3</v>
      </c>
      <c r="J68" s="165">
        <f t="shared" si="5"/>
        <v>5.4000000000000003E-3</v>
      </c>
      <c r="K68" s="165">
        <f t="shared" si="5"/>
        <v>5.4000000000000003E-3</v>
      </c>
      <c r="L68" s="165">
        <f t="shared" si="5"/>
        <v>5.4000000000000003E-3</v>
      </c>
      <c r="M68" s="165">
        <f t="shared" si="5"/>
        <v>5.4000000000000003E-3</v>
      </c>
      <c r="N68" s="165">
        <f t="shared" si="5"/>
        <v>5.4000000000000003E-3</v>
      </c>
      <c r="O68" s="165">
        <f t="shared" si="5"/>
        <v>5.4000000000000003E-3</v>
      </c>
      <c r="P68" s="165">
        <f>+P57+P59+P61</f>
        <v>6.0000000000000019E-2</v>
      </c>
      <c r="Q68" s="197"/>
      <c r="R68" s="197"/>
      <c r="S68" s="194"/>
      <c r="T68" s="194"/>
      <c r="U68" s="194"/>
      <c r="V68" s="194"/>
      <c r="W68" s="194"/>
      <c r="X68" s="194"/>
      <c r="Y68" s="194"/>
      <c r="Z68" s="194"/>
      <c r="AA68" s="194"/>
      <c r="AB68" s="194"/>
      <c r="AC68" s="194"/>
      <c r="AD68" s="194"/>
    </row>
    <row r="69" spans="1:30" hidden="1" x14ac:dyDescent="0.3">
      <c r="A69" s="197"/>
      <c r="B69" s="108"/>
      <c r="C69" s="164" t="s">
        <v>62</v>
      </c>
      <c r="D69" s="163">
        <f t="shared" ref="D69:O69" si="6">D68*$W$17/$B$34</f>
        <v>0</v>
      </c>
      <c r="E69" s="163">
        <f t="shared" si="6"/>
        <v>2.0000000000000011E-2</v>
      </c>
      <c r="F69" s="163">
        <f t="shared" si="6"/>
        <v>1.8000000000000002E-2</v>
      </c>
      <c r="G69" s="163">
        <f t="shared" si="6"/>
        <v>1.8000000000000002E-2</v>
      </c>
      <c r="H69" s="163">
        <f t="shared" si="6"/>
        <v>1.8000000000000002E-2</v>
      </c>
      <c r="I69" s="163">
        <f t="shared" si="6"/>
        <v>1.8000000000000002E-2</v>
      </c>
      <c r="J69" s="163">
        <f t="shared" si="6"/>
        <v>1.8000000000000002E-2</v>
      </c>
      <c r="K69" s="163">
        <f t="shared" si="6"/>
        <v>1.8000000000000002E-2</v>
      </c>
      <c r="L69" s="163">
        <f t="shared" si="6"/>
        <v>1.8000000000000002E-2</v>
      </c>
      <c r="M69" s="163">
        <f t="shared" si="6"/>
        <v>1.8000000000000002E-2</v>
      </c>
      <c r="N69" s="163">
        <f t="shared" si="6"/>
        <v>1.8000000000000002E-2</v>
      </c>
      <c r="O69" s="163">
        <f t="shared" si="6"/>
        <v>1.8000000000000002E-2</v>
      </c>
      <c r="P69" s="162">
        <f>SUM(D69:O69)</f>
        <v>0.20000000000000007</v>
      </c>
      <c r="Q69" s="197"/>
      <c r="R69" s="197"/>
      <c r="S69" s="194"/>
      <c r="T69" s="194"/>
      <c r="U69" s="194"/>
      <c r="V69" s="194"/>
      <c r="W69" s="194"/>
      <c r="X69" s="194"/>
      <c r="Y69" s="194"/>
      <c r="Z69" s="194"/>
      <c r="AA69" s="194"/>
      <c r="AB69" s="194"/>
      <c r="AC69" s="194"/>
      <c r="AD69" s="194"/>
    </row>
    <row r="70" spans="1:30" hidden="1" x14ac:dyDescent="0.3">
      <c r="A70" s="194"/>
      <c r="Q70" s="194"/>
      <c r="R70" s="194"/>
      <c r="S70" s="194"/>
      <c r="T70" s="194"/>
      <c r="U70" s="194"/>
      <c r="V70" s="194"/>
      <c r="W70" s="194"/>
      <c r="X70" s="194"/>
      <c r="Y70" s="194"/>
      <c r="Z70" s="194"/>
      <c r="AA70" s="194"/>
      <c r="AB70" s="194"/>
      <c r="AC70" s="194"/>
      <c r="AD70" s="194"/>
    </row>
    <row r="71" spans="1:30" hidden="1" x14ac:dyDescent="0.3">
      <c r="A71" s="194"/>
      <c r="Q71" s="194"/>
      <c r="R71" s="194"/>
      <c r="S71" s="194"/>
      <c r="T71" s="194"/>
      <c r="U71" s="194"/>
      <c r="V71" s="194"/>
      <c r="W71" s="194"/>
      <c r="X71" s="194"/>
      <c r="Y71" s="194"/>
      <c r="Z71" s="194"/>
      <c r="AA71" s="194"/>
      <c r="AB71" s="194"/>
      <c r="AC71" s="194"/>
      <c r="AD71" s="194"/>
    </row>
    <row r="72" spans="1:30" hidden="1" x14ac:dyDescent="0.3">
      <c r="A72" s="194"/>
      <c r="Q72" s="194"/>
      <c r="R72" s="194"/>
      <c r="S72" s="194"/>
      <c r="T72" s="194"/>
      <c r="U72" s="194"/>
      <c r="V72" s="194"/>
      <c r="W72" s="194"/>
      <c r="X72" s="194"/>
      <c r="Y72" s="194"/>
      <c r="Z72" s="194"/>
      <c r="AA72" s="194"/>
      <c r="AB72" s="194"/>
      <c r="AC72" s="194"/>
      <c r="AD72" s="194"/>
    </row>
    <row r="73" spans="1:30" x14ac:dyDescent="0.3">
      <c r="A73" s="194"/>
      <c r="Q73" s="194"/>
      <c r="R73" s="194"/>
      <c r="S73" s="194"/>
      <c r="T73" s="194"/>
      <c r="U73" s="194"/>
      <c r="V73" s="194"/>
      <c r="W73" s="194"/>
      <c r="X73" s="194"/>
      <c r="Y73" s="194"/>
      <c r="Z73" s="194"/>
      <c r="AA73" s="194"/>
      <c r="AB73" s="194"/>
      <c r="AC73" s="194"/>
      <c r="AD73" s="194"/>
    </row>
    <row r="74" spans="1:30" x14ac:dyDescent="0.3">
      <c r="A74" s="194"/>
      <c r="Q74" s="194"/>
      <c r="R74" s="194"/>
      <c r="S74" s="194"/>
      <c r="T74" s="194"/>
      <c r="U74" s="194"/>
      <c r="V74" s="194"/>
      <c r="W74" s="194"/>
      <c r="X74" s="194"/>
      <c r="Y74" s="194"/>
      <c r="Z74" s="194"/>
      <c r="AA74" s="194"/>
      <c r="AB74" s="194"/>
      <c r="AC74" s="194"/>
      <c r="AD74" s="194"/>
    </row>
    <row r="75" spans="1:30" x14ac:dyDescent="0.3">
      <c r="A75" s="194"/>
      <c r="Q75" s="194"/>
      <c r="R75" s="194"/>
      <c r="S75" s="194"/>
      <c r="T75" s="194"/>
      <c r="U75" s="194"/>
      <c r="V75" s="194"/>
      <c r="W75" s="194"/>
      <c r="X75" s="194"/>
      <c r="Y75" s="194"/>
      <c r="Z75" s="194"/>
      <c r="AA75" s="194"/>
      <c r="AB75" s="194"/>
      <c r="AC75" s="194"/>
      <c r="AD75" s="194"/>
    </row>
    <row r="76" spans="1:30" x14ac:dyDescent="0.3">
      <c r="A76" s="194"/>
      <c r="Q76" s="194"/>
      <c r="R76" s="194"/>
      <c r="S76" s="194"/>
      <c r="T76" s="194"/>
      <c r="U76" s="194"/>
      <c r="V76" s="194"/>
      <c r="W76" s="194"/>
      <c r="X76" s="194"/>
      <c r="Y76" s="194"/>
      <c r="Z76" s="194"/>
      <c r="AA76" s="194"/>
      <c r="AB76" s="194"/>
      <c r="AC76" s="194"/>
      <c r="AD76" s="194"/>
    </row>
    <row r="77" spans="1:30" x14ac:dyDescent="0.3">
      <c r="A77" s="194"/>
      <c r="Q77" s="194"/>
      <c r="R77" s="194"/>
      <c r="S77" s="194"/>
      <c r="T77" s="194"/>
      <c r="U77" s="194"/>
      <c r="V77" s="194"/>
      <c r="W77" s="194"/>
      <c r="X77" s="194"/>
      <c r="Y77" s="194"/>
      <c r="Z77" s="194"/>
      <c r="AA77" s="194"/>
      <c r="AB77" s="194"/>
      <c r="AC77" s="194"/>
      <c r="AD77" s="194"/>
    </row>
    <row r="78" spans="1:30" x14ac:dyDescent="0.3">
      <c r="A78" s="194"/>
      <c r="Q78" s="194"/>
      <c r="R78" s="194"/>
      <c r="S78" s="194"/>
      <c r="T78" s="194"/>
      <c r="U78" s="194"/>
      <c r="V78" s="194"/>
      <c r="W78" s="194"/>
      <c r="X78" s="194"/>
      <c r="Y78" s="194"/>
      <c r="Z78" s="194"/>
      <c r="AA78" s="194"/>
      <c r="AB78" s="194"/>
      <c r="AC78" s="194"/>
      <c r="AD78" s="194"/>
    </row>
    <row r="79" spans="1:30" x14ac:dyDescent="0.3">
      <c r="A79" s="194"/>
      <c r="Q79" s="194"/>
      <c r="R79" s="194"/>
      <c r="S79" s="194"/>
      <c r="T79" s="194"/>
      <c r="U79" s="194"/>
      <c r="V79" s="194"/>
      <c r="W79" s="194"/>
      <c r="X79" s="194"/>
      <c r="Y79" s="194"/>
      <c r="Z79" s="194"/>
      <c r="AA79" s="194"/>
      <c r="AB79" s="194"/>
      <c r="AC79" s="194"/>
      <c r="AD79" s="194"/>
    </row>
    <row r="80" spans="1:30" x14ac:dyDescent="0.3">
      <c r="A80" s="194"/>
      <c r="Q80" s="194"/>
      <c r="R80" s="194"/>
      <c r="S80" s="194"/>
      <c r="T80" s="194"/>
      <c r="U80" s="194"/>
      <c r="V80" s="194"/>
      <c r="W80" s="194"/>
      <c r="X80" s="194"/>
      <c r="Y80" s="194"/>
      <c r="Z80" s="194"/>
      <c r="AA80" s="194"/>
      <c r="AB80" s="194"/>
      <c r="AC80" s="194"/>
      <c r="AD80" s="194"/>
    </row>
    <row r="81" spans="1:30" x14ac:dyDescent="0.3">
      <c r="A81" s="194"/>
      <c r="Q81" s="194"/>
      <c r="R81" s="194"/>
      <c r="S81" s="194"/>
      <c r="T81" s="194"/>
      <c r="U81" s="194"/>
      <c r="V81" s="194"/>
      <c r="W81" s="194"/>
      <c r="X81" s="194"/>
      <c r="Y81" s="194"/>
      <c r="Z81" s="194"/>
      <c r="AA81" s="194"/>
      <c r="AB81" s="194"/>
      <c r="AC81" s="194"/>
      <c r="AD81" s="194"/>
    </row>
    <row r="82" spans="1:30" x14ac:dyDescent="0.3">
      <c r="A82" s="194"/>
      <c r="Q82" s="194"/>
      <c r="R82" s="194"/>
      <c r="S82" s="194"/>
      <c r="T82" s="194"/>
      <c r="U82" s="194"/>
      <c r="V82" s="194"/>
      <c r="W82" s="194"/>
      <c r="X82" s="194"/>
      <c r="Y82" s="194"/>
      <c r="Z82" s="194"/>
      <c r="AA82" s="194"/>
      <c r="AB82" s="194"/>
      <c r="AC82" s="194"/>
      <c r="AD82" s="194"/>
    </row>
    <row r="83" spans="1:30" x14ac:dyDescent="0.3">
      <c r="A83" s="194"/>
      <c r="Q83" s="194"/>
      <c r="R83" s="194"/>
      <c r="S83" s="194"/>
      <c r="T83" s="194"/>
      <c r="U83" s="194"/>
      <c r="V83" s="194"/>
      <c r="W83" s="194"/>
      <c r="X83" s="194"/>
      <c r="Y83" s="194"/>
      <c r="Z83" s="194"/>
      <c r="AA83" s="194"/>
      <c r="AB83" s="194"/>
      <c r="AC83" s="194"/>
      <c r="AD83" s="194"/>
    </row>
    <row r="84" spans="1:30" x14ac:dyDescent="0.3">
      <c r="A84" s="194"/>
      <c r="Q84" s="194"/>
      <c r="R84" s="194"/>
      <c r="S84" s="194"/>
      <c r="T84" s="194"/>
      <c r="U84" s="194"/>
      <c r="V84" s="194"/>
      <c r="W84" s="194"/>
      <c r="X84" s="194"/>
      <c r="Y84" s="194"/>
      <c r="Z84" s="194"/>
      <c r="AA84" s="194"/>
      <c r="AB84" s="194"/>
      <c r="AC84" s="194"/>
      <c r="AD84" s="194"/>
    </row>
    <row r="85" spans="1:30" x14ac:dyDescent="0.3">
      <c r="A85" s="194"/>
      <c r="Q85" s="194"/>
      <c r="R85" s="194"/>
      <c r="S85" s="194"/>
      <c r="T85" s="194"/>
      <c r="U85" s="194"/>
      <c r="V85" s="194"/>
      <c r="W85" s="194"/>
      <c r="X85" s="194"/>
      <c r="Y85" s="194"/>
      <c r="Z85" s="194"/>
      <c r="AA85" s="194"/>
      <c r="AB85" s="194"/>
      <c r="AC85" s="194"/>
      <c r="AD85" s="194"/>
    </row>
    <row r="86" spans="1:30" x14ac:dyDescent="0.3">
      <c r="A86" s="194"/>
      <c r="Q86" s="194"/>
      <c r="R86" s="194"/>
      <c r="S86" s="194"/>
      <c r="T86" s="194"/>
      <c r="U86" s="194"/>
      <c r="V86" s="194"/>
      <c r="W86" s="194"/>
      <c r="X86" s="194"/>
      <c r="Y86" s="194"/>
      <c r="Z86" s="194"/>
      <c r="AA86" s="194"/>
      <c r="AB86" s="194"/>
      <c r="AC86" s="194"/>
      <c r="AD86" s="194"/>
    </row>
    <row r="87" spans="1:30" x14ac:dyDescent="0.3">
      <c r="A87" s="194"/>
      <c r="Q87" s="194"/>
      <c r="R87" s="194"/>
      <c r="S87" s="194"/>
      <c r="T87" s="194"/>
      <c r="U87" s="194"/>
      <c r="V87" s="194"/>
      <c r="W87" s="194"/>
      <c r="X87" s="194"/>
      <c r="Y87" s="194"/>
      <c r="Z87" s="194"/>
      <c r="AA87" s="194"/>
      <c r="AB87" s="194"/>
      <c r="AC87" s="194"/>
      <c r="AD87" s="194"/>
    </row>
    <row r="88" spans="1:30" x14ac:dyDescent="0.3">
      <c r="A88" s="194"/>
      <c r="Q88" s="194"/>
      <c r="R88" s="194"/>
      <c r="S88" s="194"/>
      <c r="T88" s="194"/>
      <c r="U88" s="194"/>
      <c r="V88" s="194"/>
      <c r="W88" s="194"/>
      <c r="X88" s="194"/>
      <c r="Y88" s="194"/>
      <c r="Z88" s="194"/>
      <c r="AA88" s="194"/>
      <c r="AB88" s="194"/>
      <c r="AC88" s="194"/>
      <c r="AD88" s="194"/>
    </row>
    <row r="89" spans="1:30" x14ac:dyDescent="0.3">
      <c r="A89" s="194"/>
      <c r="Q89" s="194"/>
      <c r="R89" s="194"/>
      <c r="S89" s="194"/>
      <c r="T89" s="194"/>
      <c r="U89" s="194"/>
      <c r="V89" s="194"/>
      <c r="W89" s="194"/>
      <c r="X89" s="194"/>
      <c r="Y89" s="194"/>
      <c r="Z89" s="194"/>
      <c r="AA89" s="194"/>
      <c r="AB89" s="194"/>
      <c r="AC89" s="194"/>
      <c r="AD89" s="194"/>
    </row>
    <row r="90" spans="1:30" x14ac:dyDescent="0.3">
      <c r="A90" s="194"/>
      <c r="Q90" s="194"/>
      <c r="R90" s="194"/>
      <c r="S90" s="194"/>
      <c r="T90" s="194"/>
      <c r="U90" s="194"/>
      <c r="V90" s="194"/>
      <c r="W90" s="194"/>
      <c r="X90" s="194"/>
      <c r="Y90" s="194"/>
      <c r="Z90" s="194"/>
      <c r="AA90" s="194"/>
      <c r="AB90" s="194"/>
      <c r="AC90" s="194"/>
      <c r="AD90" s="194"/>
    </row>
    <row r="91" spans="1:30" x14ac:dyDescent="0.3">
      <c r="A91" s="194"/>
      <c r="Q91" s="194"/>
      <c r="R91" s="194"/>
      <c r="S91" s="194"/>
      <c r="T91" s="194"/>
      <c r="U91" s="194"/>
      <c r="V91" s="194"/>
      <c r="W91" s="194"/>
      <c r="X91" s="194"/>
      <c r="Y91" s="194"/>
      <c r="Z91" s="194"/>
      <c r="AA91" s="194"/>
      <c r="AB91" s="194"/>
      <c r="AC91" s="194"/>
      <c r="AD91" s="194"/>
    </row>
    <row r="92" spans="1:30" x14ac:dyDescent="0.3">
      <c r="A92" s="194"/>
      <c r="Q92" s="194"/>
      <c r="R92" s="194"/>
      <c r="S92" s="194"/>
      <c r="T92" s="194"/>
      <c r="U92" s="194"/>
      <c r="V92" s="194"/>
      <c r="W92" s="194"/>
      <c r="X92" s="194"/>
      <c r="Y92" s="194"/>
      <c r="Z92" s="194"/>
      <c r="AA92" s="194"/>
      <c r="AB92" s="194"/>
      <c r="AC92" s="194"/>
      <c r="AD92" s="194"/>
    </row>
    <row r="93" spans="1:30" x14ac:dyDescent="0.3">
      <c r="A93" s="194"/>
      <c r="Q93" s="194"/>
      <c r="R93" s="194"/>
      <c r="S93" s="194"/>
      <c r="T93" s="194"/>
      <c r="U93" s="194"/>
      <c r="V93" s="194"/>
      <c r="W93" s="194"/>
      <c r="X93" s="194"/>
      <c r="Y93" s="194"/>
      <c r="Z93" s="194"/>
      <c r="AA93" s="194"/>
      <c r="AB93" s="194"/>
      <c r="AC93" s="194"/>
      <c r="AD93" s="194"/>
    </row>
    <row r="94" spans="1:30" x14ac:dyDescent="0.3">
      <c r="A94" s="194"/>
      <c r="Q94" s="194"/>
      <c r="R94" s="194"/>
      <c r="S94" s="194"/>
      <c r="T94" s="194"/>
      <c r="U94" s="194"/>
      <c r="V94" s="194"/>
      <c r="W94" s="194"/>
      <c r="X94" s="194"/>
      <c r="Y94" s="194"/>
      <c r="Z94" s="194"/>
      <c r="AA94" s="194"/>
      <c r="AB94" s="194"/>
      <c r="AC94" s="194"/>
      <c r="AD94" s="194"/>
    </row>
    <row r="95" spans="1:30" x14ac:dyDescent="0.3">
      <c r="A95" s="194"/>
      <c r="Q95" s="194"/>
      <c r="R95" s="194"/>
      <c r="S95" s="194"/>
      <c r="T95" s="194"/>
      <c r="U95" s="194"/>
      <c r="V95" s="194"/>
      <c r="W95" s="194"/>
      <c r="X95" s="194"/>
      <c r="Y95" s="194"/>
      <c r="Z95" s="194"/>
      <c r="AA95" s="194"/>
      <c r="AB95" s="194"/>
      <c r="AC95" s="194"/>
      <c r="AD95" s="194"/>
    </row>
    <row r="96" spans="1:30" x14ac:dyDescent="0.3">
      <c r="A96" s="194"/>
      <c r="Q96" s="194"/>
      <c r="R96" s="194"/>
      <c r="S96" s="194"/>
      <c r="T96" s="194"/>
      <c r="U96" s="194"/>
      <c r="V96" s="194"/>
      <c r="W96" s="194"/>
      <c r="X96" s="194"/>
      <c r="Y96" s="194"/>
      <c r="Z96" s="194"/>
      <c r="AA96" s="194"/>
      <c r="AB96" s="194"/>
      <c r="AC96" s="194"/>
      <c r="AD96" s="194"/>
    </row>
    <row r="97" spans="1:30" x14ac:dyDescent="0.3">
      <c r="A97" s="194"/>
      <c r="Q97" s="194"/>
      <c r="R97" s="194"/>
      <c r="S97" s="194"/>
      <c r="T97" s="194"/>
      <c r="U97" s="194"/>
      <c r="V97" s="194"/>
      <c r="W97" s="194"/>
      <c r="X97" s="194"/>
      <c r="Y97" s="194"/>
      <c r="Z97" s="194"/>
      <c r="AA97" s="194"/>
      <c r="AB97" s="194"/>
      <c r="AC97" s="194"/>
      <c r="AD97" s="194"/>
    </row>
    <row r="98" spans="1:30" x14ac:dyDescent="0.3">
      <c r="A98" s="194"/>
      <c r="Q98" s="194"/>
      <c r="R98" s="194"/>
      <c r="S98" s="194"/>
      <c r="T98" s="194"/>
      <c r="U98" s="194"/>
      <c r="V98" s="194"/>
      <c r="W98" s="194"/>
      <c r="X98" s="194"/>
      <c r="Y98" s="194"/>
      <c r="Z98" s="194"/>
      <c r="AA98" s="194"/>
      <c r="AB98" s="194"/>
      <c r="AC98" s="194"/>
      <c r="AD98" s="194"/>
    </row>
    <row r="99" spans="1:30" x14ac:dyDescent="0.3">
      <c r="A99" s="194"/>
      <c r="Q99" s="194"/>
      <c r="R99" s="194"/>
      <c r="S99" s="194"/>
      <c r="T99" s="194"/>
      <c r="U99" s="194"/>
      <c r="V99" s="194"/>
      <c r="W99" s="194"/>
      <c r="X99" s="194"/>
      <c r="Y99" s="194"/>
      <c r="Z99" s="194"/>
      <c r="AA99" s="194"/>
      <c r="AB99" s="194"/>
      <c r="AC99" s="194"/>
      <c r="AD99" s="194"/>
    </row>
    <row r="100" spans="1:30" x14ac:dyDescent="0.3">
      <c r="A100" s="194"/>
      <c r="Q100" s="194"/>
      <c r="R100" s="194"/>
      <c r="S100" s="194"/>
      <c r="T100" s="194"/>
      <c r="U100" s="194"/>
      <c r="V100" s="194"/>
      <c r="W100" s="194"/>
      <c r="X100" s="194"/>
      <c r="Y100" s="194"/>
      <c r="Z100" s="194"/>
      <c r="AA100" s="194"/>
      <c r="AB100" s="194"/>
      <c r="AC100" s="194"/>
      <c r="AD100" s="194"/>
    </row>
    <row r="101" spans="1:30" x14ac:dyDescent="0.3">
      <c r="A101" s="194"/>
      <c r="Q101" s="194"/>
      <c r="R101" s="194"/>
      <c r="S101" s="194"/>
      <c r="T101" s="194"/>
      <c r="U101" s="194"/>
      <c r="V101" s="194"/>
      <c r="W101" s="194"/>
      <c r="X101" s="194"/>
      <c r="Y101" s="194"/>
      <c r="Z101" s="194"/>
      <c r="AA101" s="194"/>
      <c r="AB101" s="194"/>
      <c r="AC101" s="194"/>
      <c r="AD101" s="194"/>
    </row>
    <row r="102" spans="1:30" x14ac:dyDescent="0.3">
      <c r="Q102" s="194"/>
      <c r="R102" s="194"/>
      <c r="S102" s="194"/>
      <c r="T102" s="194"/>
      <c r="U102" s="194"/>
      <c r="V102" s="194"/>
      <c r="W102" s="194"/>
      <c r="X102" s="194"/>
      <c r="Y102" s="194"/>
      <c r="Z102" s="194"/>
      <c r="AA102" s="194"/>
      <c r="AB102" s="194"/>
      <c r="AC102" s="194"/>
      <c r="AD102" s="194"/>
    </row>
    <row r="103" spans="1:30" x14ac:dyDescent="0.3">
      <c r="Q103" s="194"/>
      <c r="R103" s="194"/>
      <c r="S103" s="194"/>
      <c r="T103" s="194"/>
      <c r="U103" s="194"/>
      <c r="V103" s="194"/>
      <c r="W103" s="194"/>
      <c r="X103" s="194"/>
      <c r="Y103" s="194"/>
      <c r="Z103" s="194"/>
      <c r="AA103" s="194"/>
      <c r="AB103" s="194"/>
      <c r="AC103" s="194"/>
      <c r="AD103" s="194"/>
    </row>
    <row r="104" spans="1:30" x14ac:dyDescent="0.3">
      <c r="Q104" s="194"/>
      <c r="R104" s="194"/>
      <c r="S104" s="194"/>
      <c r="T104" s="194"/>
      <c r="U104" s="194"/>
      <c r="V104" s="194"/>
      <c r="W104" s="194"/>
      <c r="X104" s="194"/>
      <c r="Y104" s="194"/>
      <c r="Z104" s="194"/>
      <c r="AA104" s="194"/>
      <c r="AB104" s="194"/>
      <c r="AC104" s="194"/>
      <c r="AD104" s="194"/>
    </row>
    <row r="105" spans="1:30" x14ac:dyDescent="0.3">
      <c r="Q105" s="194"/>
      <c r="R105" s="194"/>
      <c r="S105" s="194"/>
      <c r="T105" s="194"/>
      <c r="U105" s="194"/>
      <c r="V105" s="194"/>
      <c r="W105" s="194"/>
      <c r="X105" s="194"/>
      <c r="Y105" s="194"/>
      <c r="Z105" s="194"/>
      <c r="AA105" s="194"/>
      <c r="AB105" s="194"/>
      <c r="AC105" s="194"/>
      <c r="AD105" s="194"/>
    </row>
    <row r="106" spans="1:30" x14ac:dyDescent="0.3">
      <c r="Q106" s="194"/>
      <c r="R106" s="194"/>
      <c r="S106" s="194"/>
      <c r="T106" s="194"/>
      <c r="U106" s="194"/>
      <c r="V106" s="194"/>
      <c r="W106" s="194"/>
      <c r="X106" s="194"/>
      <c r="Y106" s="194"/>
      <c r="Z106" s="194"/>
      <c r="AA106" s="194"/>
      <c r="AB106" s="194"/>
      <c r="AC106" s="194"/>
      <c r="AD106" s="194"/>
    </row>
    <row r="107" spans="1:30" x14ac:dyDescent="0.3">
      <c r="Q107" s="194"/>
      <c r="R107" s="194"/>
      <c r="S107" s="194"/>
      <c r="T107" s="194"/>
      <c r="U107" s="194"/>
      <c r="V107" s="194"/>
      <c r="W107" s="194"/>
      <c r="X107" s="194"/>
      <c r="Y107" s="194"/>
      <c r="Z107" s="194"/>
      <c r="AA107" s="194"/>
      <c r="AB107" s="194"/>
      <c r="AC107" s="194"/>
      <c r="AD107" s="194"/>
    </row>
    <row r="108" spans="1:30" x14ac:dyDescent="0.3">
      <c r="Q108" s="194"/>
      <c r="R108" s="194"/>
      <c r="S108" s="194"/>
      <c r="T108" s="194"/>
      <c r="U108" s="194"/>
      <c r="V108" s="194"/>
      <c r="W108" s="194"/>
      <c r="X108" s="194"/>
      <c r="Y108" s="194"/>
      <c r="Z108" s="194"/>
      <c r="AA108" s="194"/>
      <c r="AB108" s="194"/>
      <c r="AC108" s="194"/>
      <c r="AD108" s="194"/>
    </row>
    <row r="109" spans="1:30" x14ac:dyDescent="0.3">
      <c r="Q109" s="194"/>
      <c r="R109" s="194"/>
      <c r="S109" s="194"/>
      <c r="T109" s="194"/>
      <c r="U109" s="194"/>
      <c r="V109" s="194"/>
      <c r="W109" s="194"/>
      <c r="X109" s="194"/>
      <c r="Y109" s="194"/>
      <c r="Z109" s="194"/>
      <c r="AA109" s="194"/>
      <c r="AB109" s="194"/>
      <c r="AC109" s="194"/>
      <c r="AD109" s="194"/>
    </row>
    <row r="110" spans="1:30" x14ac:dyDescent="0.3">
      <c r="Q110" s="194"/>
      <c r="R110" s="194"/>
      <c r="S110" s="194"/>
      <c r="T110" s="194"/>
      <c r="U110" s="194"/>
      <c r="V110" s="194"/>
      <c r="W110" s="194"/>
      <c r="X110" s="194"/>
      <c r="Y110" s="194"/>
      <c r="Z110" s="194"/>
      <c r="AA110" s="194"/>
      <c r="AB110" s="194"/>
      <c r="AC110" s="194"/>
      <c r="AD110" s="194"/>
    </row>
    <row r="111" spans="1:30" x14ac:dyDescent="0.3">
      <c r="Q111" s="194"/>
      <c r="R111" s="194"/>
      <c r="S111" s="194"/>
      <c r="T111" s="194"/>
      <c r="U111" s="194"/>
      <c r="V111" s="194"/>
      <c r="W111" s="194"/>
      <c r="X111" s="194"/>
      <c r="Y111" s="194"/>
      <c r="Z111" s="194"/>
      <c r="AA111" s="194"/>
      <c r="AB111" s="194"/>
      <c r="AC111" s="194"/>
      <c r="AD111" s="194"/>
    </row>
    <row r="112" spans="1:30" x14ac:dyDescent="0.3">
      <c r="Q112" s="194"/>
      <c r="R112" s="194"/>
      <c r="S112" s="194"/>
      <c r="T112" s="194"/>
      <c r="U112" s="194"/>
      <c r="V112" s="194"/>
      <c r="W112" s="194"/>
      <c r="X112" s="194"/>
      <c r="Y112" s="194"/>
      <c r="Z112" s="194"/>
      <c r="AA112" s="194"/>
      <c r="AB112" s="194"/>
      <c r="AC112" s="194"/>
      <c r="AD112" s="194"/>
    </row>
    <row r="113" spans="17:30" x14ac:dyDescent="0.3">
      <c r="Q113" s="194"/>
      <c r="R113" s="194"/>
      <c r="S113" s="194"/>
      <c r="T113" s="194"/>
      <c r="U113" s="194"/>
      <c r="V113" s="194"/>
      <c r="W113" s="194"/>
      <c r="X113" s="194"/>
      <c r="Y113" s="194"/>
      <c r="Z113" s="194"/>
      <c r="AA113" s="194"/>
      <c r="AB113" s="194"/>
      <c r="AC113" s="194"/>
      <c r="AD113" s="194"/>
    </row>
    <row r="114" spans="17:30" x14ac:dyDescent="0.3">
      <c r="Q114" s="194"/>
      <c r="R114" s="194"/>
      <c r="S114" s="194"/>
      <c r="T114" s="194"/>
      <c r="U114" s="194"/>
      <c r="V114" s="194"/>
      <c r="W114" s="194"/>
      <c r="X114" s="194"/>
      <c r="Y114" s="194"/>
      <c r="Z114" s="194"/>
      <c r="AA114" s="194"/>
      <c r="AB114" s="194"/>
      <c r="AC114" s="194"/>
      <c r="AD114" s="194"/>
    </row>
    <row r="115" spans="17:30" x14ac:dyDescent="0.3">
      <c r="Q115" s="194"/>
      <c r="R115" s="194"/>
      <c r="S115" s="194"/>
      <c r="T115" s="194"/>
      <c r="U115" s="194"/>
      <c r="V115" s="194"/>
      <c r="W115" s="194"/>
      <c r="X115" s="194"/>
      <c r="Y115" s="194"/>
      <c r="Z115" s="194"/>
      <c r="AA115" s="194"/>
      <c r="AB115" s="194"/>
      <c r="AC115" s="194"/>
      <c r="AD115" s="194"/>
    </row>
    <row r="116" spans="17:30" x14ac:dyDescent="0.3">
      <c r="Q116" s="194"/>
      <c r="R116" s="194"/>
      <c r="S116" s="194"/>
      <c r="T116" s="194"/>
      <c r="U116" s="194"/>
      <c r="V116" s="194"/>
      <c r="W116" s="194"/>
      <c r="X116" s="194"/>
      <c r="Y116" s="194"/>
      <c r="Z116" s="194"/>
      <c r="AA116" s="194"/>
      <c r="AB116" s="194"/>
      <c r="AC116" s="194"/>
      <c r="AD116" s="194"/>
    </row>
    <row r="117" spans="17:30" x14ac:dyDescent="0.3">
      <c r="Q117" s="194"/>
      <c r="R117" s="194"/>
      <c r="S117" s="194"/>
      <c r="T117" s="194"/>
      <c r="U117" s="194"/>
      <c r="V117" s="194"/>
      <c r="W117" s="194"/>
      <c r="X117" s="194"/>
      <c r="Y117" s="194"/>
      <c r="Z117" s="194"/>
      <c r="AA117" s="194"/>
      <c r="AB117" s="194"/>
      <c r="AC117" s="194"/>
      <c r="AD117" s="194"/>
    </row>
    <row r="118" spans="17:30" x14ac:dyDescent="0.3">
      <c r="Q118" s="194"/>
      <c r="R118" s="194"/>
      <c r="S118" s="194"/>
      <c r="T118" s="194"/>
      <c r="U118" s="194"/>
      <c r="V118" s="194"/>
      <c r="W118" s="194"/>
      <c r="X118" s="194"/>
      <c r="Y118" s="194"/>
      <c r="Z118" s="194"/>
      <c r="AA118" s="194"/>
      <c r="AB118" s="194"/>
      <c r="AC118" s="194"/>
      <c r="AD118" s="194"/>
    </row>
    <row r="119" spans="17:30" x14ac:dyDescent="0.3">
      <c r="Q119" s="194"/>
      <c r="R119" s="194"/>
      <c r="S119" s="194"/>
      <c r="T119" s="194"/>
      <c r="U119" s="194"/>
      <c r="V119" s="194"/>
      <c r="W119" s="194"/>
      <c r="X119" s="194"/>
      <c r="Y119" s="194"/>
      <c r="Z119" s="194"/>
      <c r="AA119" s="194"/>
      <c r="AB119" s="194"/>
      <c r="AC119" s="194"/>
      <c r="AD119" s="194"/>
    </row>
    <row r="120" spans="17:30" x14ac:dyDescent="0.3">
      <c r="Q120" s="194"/>
      <c r="R120" s="194"/>
      <c r="S120" s="194"/>
      <c r="T120" s="194"/>
      <c r="U120" s="194"/>
      <c r="V120" s="194"/>
      <c r="W120" s="194"/>
      <c r="X120" s="194"/>
      <c r="Y120" s="194"/>
      <c r="Z120" s="194"/>
      <c r="AA120" s="194"/>
      <c r="AB120" s="194"/>
      <c r="AC120" s="194"/>
      <c r="AD120" s="194"/>
    </row>
    <row r="121" spans="17:30" x14ac:dyDescent="0.3">
      <c r="Q121" s="194"/>
      <c r="R121" s="194"/>
      <c r="S121" s="194"/>
      <c r="T121" s="194"/>
      <c r="U121" s="194"/>
      <c r="V121" s="194"/>
      <c r="W121" s="194"/>
      <c r="X121" s="194"/>
      <c r="Y121" s="194"/>
      <c r="Z121" s="194"/>
      <c r="AA121" s="194"/>
      <c r="AB121" s="194"/>
      <c r="AC121" s="194"/>
      <c r="AD121" s="194"/>
    </row>
    <row r="122" spans="17:30" x14ac:dyDescent="0.3">
      <c r="Q122" s="194"/>
      <c r="R122" s="194"/>
      <c r="S122" s="194"/>
      <c r="T122" s="194"/>
      <c r="U122" s="194"/>
      <c r="V122" s="194"/>
      <c r="W122" s="194"/>
      <c r="X122" s="194"/>
      <c r="Y122" s="194"/>
      <c r="Z122" s="194"/>
      <c r="AA122" s="194"/>
      <c r="AB122" s="194"/>
      <c r="AC122" s="194"/>
      <c r="AD122" s="194"/>
    </row>
    <row r="123" spans="17:30" x14ac:dyDescent="0.3">
      <c r="Q123" s="194"/>
      <c r="R123" s="194"/>
      <c r="S123" s="194"/>
      <c r="T123" s="194"/>
      <c r="U123" s="194"/>
      <c r="V123" s="194"/>
      <c r="W123" s="194"/>
      <c r="X123" s="194"/>
      <c r="Y123" s="194"/>
      <c r="Z123" s="194"/>
      <c r="AA123" s="194"/>
      <c r="AB123" s="194"/>
      <c r="AC123" s="194"/>
      <c r="AD123" s="194"/>
    </row>
    <row r="124" spans="17:30" x14ac:dyDescent="0.3">
      <c r="Q124" s="194"/>
      <c r="R124" s="194"/>
      <c r="S124" s="194"/>
      <c r="T124" s="194"/>
      <c r="U124" s="194"/>
      <c r="V124" s="194"/>
      <c r="W124" s="194"/>
      <c r="X124" s="194"/>
      <c r="Y124" s="194"/>
      <c r="Z124" s="194"/>
      <c r="AA124" s="194"/>
      <c r="AB124" s="194"/>
      <c r="AC124" s="194"/>
      <c r="AD124" s="194"/>
    </row>
    <row r="125" spans="17:30" x14ac:dyDescent="0.3">
      <c r="Q125" s="194"/>
      <c r="R125" s="194"/>
      <c r="S125" s="194"/>
      <c r="T125" s="194"/>
      <c r="U125" s="194"/>
      <c r="V125" s="194"/>
      <c r="W125" s="194"/>
      <c r="X125" s="194"/>
      <c r="Y125" s="194"/>
      <c r="Z125" s="194"/>
      <c r="AA125" s="194"/>
      <c r="AB125" s="194"/>
      <c r="AC125" s="194"/>
      <c r="AD125" s="194"/>
    </row>
    <row r="126" spans="17:30" x14ac:dyDescent="0.3">
      <c r="Q126" s="194"/>
      <c r="R126" s="194"/>
      <c r="S126" s="194"/>
      <c r="T126" s="194"/>
      <c r="U126" s="194"/>
      <c r="V126" s="194"/>
      <c r="W126" s="194"/>
      <c r="X126" s="194"/>
      <c r="Y126" s="194"/>
      <c r="Z126" s="194"/>
      <c r="AA126" s="194"/>
      <c r="AB126" s="194"/>
      <c r="AC126" s="194"/>
      <c r="AD126" s="194"/>
    </row>
    <row r="127" spans="17:30" x14ac:dyDescent="0.3">
      <c r="Q127" s="194"/>
      <c r="R127" s="194"/>
      <c r="S127" s="194"/>
      <c r="T127" s="194"/>
      <c r="U127" s="194"/>
      <c r="V127" s="194"/>
      <c r="W127" s="194"/>
      <c r="X127" s="194"/>
      <c r="Y127" s="194"/>
      <c r="Z127" s="194"/>
      <c r="AA127" s="194"/>
      <c r="AB127" s="194"/>
      <c r="AC127" s="194"/>
      <c r="AD127" s="194"/>
    </row>
    <row r="128" spans="17:30" x14ac:dyDescent="0.3">
      <c r="Q128" s="194"/>
      <c r="R128" s="194"/>
      <c r="S128" s="194"/>
      <c r="T128" s="194"/>
      <c r="U128" s="194"/>
      <c r="V128" s="194"/>
      <c r="W128" s="194"/>
      <c r="X128" s="194"/>
      <c r="Y128" s="194"/>
      <c r="Z128" s="194"/>
      <c r="AA128" s="194"/>
      <c r="AB128" s="194"/>
      <c r="AC128" s="194"/>
      <c r="AD128" s="194"/>
    </row>
    <row r="129" spans="17:30" x14ac:dyDescent="0.3">
      <c r="Q129" s="194"/>
      <c r="R129" s="194"/>
      <c r="S129" s="194"/>
      <c r="T129" s="194"/>
      <c r="U129" s="194"/>
      <c r="V129" s="194"/>
      <c r="W129" s="194"/>
      <c r="X129" s="194"/>
      <c r="Y129" s="194"/>
      <c r="Z129" s="194"/>
      <c r="AA129" s="194"/>
      <c r="AB129" s="194"/>
      <c r="AC129" s="194"/>
      <c r="AD129" s="194"/>
    </row>
    <row r="130" spans="17:30" x14ac:dyDescent="0.3">
      <c r="Q130" s="194"/>
      <c r="R130" s="194"/>
      <c r="S130" s="194"/>
      <c r="T130" s="194"/>
      <c r="U130" s="194"/>
      <c r="V130" s="194"/>
      <c r="W130" s="194"/>
      <c r="X130" s="194"/>
      <c r="Y130" s="194"/>
      <c r="Z130" s="194"/>
      <c r="AA130" s="194"/>
      <c r="AB130" s="194"/>
      <c r="AC130" s="194"/>
      <c r="AD130" s="194"/>
    </row>
    <row r="131" spans="17:30" x14ac:dyDescent="0.3">
      <c r="Q131" s="194"/>
      <c r="R131" s="194"/>
      <c r="S131" s="194"/>
      <c r="T131" s="194"/>
      <c r="U131" s="194"/>
      <c r="V131" s="194"/>
      <c r="W131" s="194"/>
      <c r="X131" s="194"/>
      <c r="Y131" s="194"/>
      <c r="Z131" s="194"/>
      <c r="AA131" s="194"/>
      <c r="AB131" s="194"/>
      <c r="AC131" s="194"/>
      <c r="AD131" s="194"/>
    </row>
    <row r="132" spans="17:30" x14ac:dyDescent="0.3">
      <c r="Q132" s="194"/>
      <c r="R132" s="194"/>
      <c r="S132" s="194"/>
      <c r="T132" s="194"/>
      <c r="U132" s="194"/>
      <c r="V132" s="194"/>
      <c r="W132" s="194"/>
      <c r="X132" s="194"/>
      <c r="Y132" s="194"/>
      <c r="Z132" s="194"/>
      <c r="AA132" s="194"/>
      <c r="AB132" s="194"/>
      <c r="AC132" s="194"/>
      <c r="AD132" s="194"/>
    </row>
    <row r="133" spans="17:30" x14ac:dyDescent="0.3">
      <c r="Q133" s="194"/>
      <c r="R133" s="194"/>
      <c r="S133" s="194"/>
      <c r="T133" s="194"/>
      <c r="U133" s="194"/>
      <c r="V133" s="194"/>
      <c r="W133" s="194"/>
      <c r="X133" s="194"/>
      <c r="Y133" s="194"/>
      <c r="Z133" s="194"/>
      <c r="AA133" s="194"/>
      <c r="AB133" s="194"/>
      <c r="AC133" s="194"/>
      <c r="AD133" s="194"/>
    </row>
    <row r="134" spans="17:30" x14ac:dyDescent="0.3">
      <c r="Q134" s="194"/>
      <c r="R134" s="194"/>
      <c r="S134" s="194"/>
      <c r="T134" s="194"/>
      <c r="U134" s="194"/>
      <c r="V134" s="194"/>
      <c r="W134" s="194"/>
      <c r="X134" s="194"/>
      <c r="Y134" s="194"/>
      <c r="Z134" s="194"/>
      <c r="AA134" s="194"/>
      <c r="AB134" s="194"/>
      <c r="AC134" s="194"/>
      <c r="AD134" s="194"/>
    </row>
    <row r="135" spans="17:30" x14ac:dyDescent="0.3">
      <c r="Q135" s="194"/>
      <c r="R135" s="194"/>
      <c r="S135" s="194"/>
      <c r="T135" s="194"/>
      <c r="U135" s="194"/>
      <c r="V135" s="194"/>
      <c r="W135" s="194"/>
      <c r="X135" s="194"/>
      <c r="Y135" s="194"/>
      <c r="Z135" s="194"/>
      <c r="AA135" s="194"/>
      <c r="AB135" s="194"/>
      <c r="AC135" s="194"/>
      <c r="AD135" s="194"/>
    </row>
    <row r="136" spans="17:30" x14ac:dyDescent="0.3">
      <c r="Q136" s="194"/>
      <c r="R136" s="194"/>
      <c r="S136" s="194"/>
      <c r="T136" s="194"/>
      <c r="U136" s="194"/>
      <c r="V136" s="194"/>
      <c r="W136" s="194"/>
      <c r="X136" s="194"/>
      <c r="Y136" s="194"/>
      <c r="Z136" s="194"/>
      <c r="AA136" s="194"/>
      <c r="AB136" s="194"/>
      <c r="AC136" s="194"/>
      <c r="AD136" s="194"/>
    </row>
    <row r="137" spans="17:30" x14ac:dyDescent="0.3">
      <c r="Q137" s="194"/>
      <c r="R137" s="194"/>
      <c r="S137" s="194"/>
      <c r="T137" s="194"/>
      <c r="U137" s="194"/>
      <c r="V137" s="194"/>
      <c r="W137" s="194"/>
      <c r="X137" s="194"/>
      <c r="Y137" s="194"/>
      <c r="Z137" s="194"/>
      <c r="AA137" s="194"/>
      <c r="AB137" s="194"/>
      <c r="AC137" s="194"/>
      <c r="AD137" s="194"/>
    </row>
    <row r="138" spans="17:30" x14ac:dyDescent="0.3">
      <c r="Q138" s="194"/>
      <c r="R138" s="194"/>
      <c r="S138" s="194"/>
      <c r="T138" s="194"/>
      <c r="U138" s="194"/>
      <c r="V138" s="194"/>
      <c r="W138" s="194"/>
      <c r="X138" s="194"/>
      <c r="Y138" s="194"/>
      <c r="Z138" s="194"/>
      <c r="AA138" s="194"/>
      <c r="AB138" s="194"/>
      <c r="AC138" s="194"/>
      <c r="AD138" s="194"/>
    </row>
    <row r="139" spans="17:30" x14ac:dyDescent="0.3">
      <c r="Q139" s="194"/>
      <c r="R139" s="194"/>
      <c r="S139" s="194"/>
      <c r="T139" s="194"/>
      <c r="U139" s="194"/>
      <c r="V139" s="194"/>
      <c r="W139" s="194"/>
      <c r="X139" s="194"/>
      <c r="Y139" s="194"/>
      <c r="Z139" s="194"/>
      <c r="AA139" s="194"/>
      <c r="AB139" s="194"/>
      <c r="AC139" s="194"/>
      <c r="AD139" s="194"/>
    </row>
    <row r="140" spans="17:30" x14ac:dyDescent="0.3">
      <c r="Q140" s="194"/>
      <c r="R140" s="194"/>
      <c r="S140" s="194"/>
      <c r="T140" s="194"/>
      <c r="U140" s="194"/>
      <c r="V140" s="194"/>
      <c r="W140" s="194"/>
      <c r="X140" s="194"/>
      <c r="Y140" s="194"/>
      <c r="Z140" s="194"/>
      <c r="AA140" s="194"/>
      <c r="AB140" s="194"/>
      <c r="AC140" s="194"/>
      <c r="AD140" s="194"/>
    </row>
    <row r="141" spans="17:30" x14ac:dyDescent="0.3">
      <c r="Q141" s="194"/>
      <c r="R141" s="194"/>
      <c r="S141" s="194"/>
      <c r="T141" s="194"/>
      <c r="U141" s="194"/>
      <c r="V141" s="194"/>
      <c r="W141" s="194"/>
      <c r="X141" s="194"/>
      <c r="Y141" s="194"/>
      <c r="Z141" s="194"/>
      <c r="AA141" s="194"/>
      <c r="AB141" s="194"/>
      <c r="AC141" s="194"/>
      <c r="AD141" s="194"/>
    </row>
    <row r="142" spans="17:30" x14ac:dyDescent="0.3">
      <c r="Q142" s="194"/>
      <c r="R142" s="194"/>
      <c r="S142" s="194"/>
      <c r="T142" s="194"/>
      <c r="U142" s="194"/>
      <c r="V142" s="194"/>
      <c r="W142" s="194"/>
      <c r="X142" s="194"/>
      <c r="Y142" s="194"/>
      <c r="Z142" s="194"/>
      <c r="AA142" s="194"/>
      <c r="AB142" s="194"/>
      <c r="AC142" s="194"/>
      <c r="AD142" s="194"/>
    </row>
    <row r="143" spans="17:30" x14ac:dyDescent="0.3">
      <c r="Q143" s="194"/>
      <c r="R143" s="194"/>
      <c r="S143" s="194"/>
      <c r="T143" s="194"/>
      <c r="U143" s="194"/>
      <c r="V143" s="194"/>
      <c r="W143" s="194"/>
      <c r="X143" s="194"/>
      <c r="Y143" s="194"/>
      <c r="Z143" s="194"/>
      <c r="AA143" s="194"/>
      <c r="AB143" s="194"/>
      <c r="AC143" s="194"/>
      <c r="AD143" s="194"/>
    </row>
    <row r="144" spans="17:30" x14ac:dyDescent="0.3">
      <c r="Q144" s="194"/>
      <c r="R144" s="194"/>
      <c r="S144" s="194"/>
      <c r="T144" s="194"/>
      <c r="U144" s="194"/>
      <c r="V144" s="194"/>
      <c r="W144" s="194"/>
      <c r="X144" s="194"/>
      <c r="Y144" s="194"/>
      <c r="Z144" s="194"/>
      <c r="AA144" s="194"/>
      <c r="AB144" s="194"/>
      <c r="AC144" s="194"/>
      <c r="AD144" s="194"/>
    </row>
    <row r="145" spans="17:30" x14ac:dyDescent="0.3">
      <c r="Q145" s="194"/>
      <c r="R145" s="194"/>
      <c r="S145" s="194"/>
      <c r="T145" s="194"/>
      <c r="U145" s="194"/>
      <c r="V145" s="194"/>
      <c r="W145" s="194"/>
      <c r="X145" s="194"/>
      <c r="Y145" s="194"/>
      <c r="Z145" s="194"/>
      <c r="AA145" s="194"/>
      <c r="AB145" s="194"/>
      <c r="AC145" s="194"/>
      <c r="AD145" s="194"/>
    </row>
    <row r="146" spans="17:30" x14ac:dyDescent="0.3">
      <c r="Q146" s="194"/>
      <c r="R146" s="194"/>
      <c r="S146" s="194"/>
      <c r="T146" s="194"/>
      <c r="U146" s="194"/>
      <c r="V146" s="194"/>
      <c r="W146" s="194"/>
      <c r="X146" s="194"/>
      <c r="Y146" s="194"/>
      <c r="Z146" s="194"/>
      <c r="AA146" s="194"/>
      <c r="AB146" s="194"/>
      <c r="AC146" s="194"/>
      <c r="AD146" s="194"/>
    </row>
    <row r="147" spans="17:30" x14ac:dyDescent="0.3">
      <c r="Q147" s="194"/>
      <c r="R147" s="194"/>
      <c r="S147" s="194"/>
      <c r="T147" s="194"/>
      <c r="U147" s="194"/>
      <c r="V147" s="194"/>
      <c r="W147" s="194"/>
      <c r="X147" s="194"/>
      <c r="Y147" s="194"/>
      <c r="Z147" s="194"/>
      <c r="AA147" s="194"/>
      <c r="AB147" s="194"/>
      <c r="AC147" s="194"/>
      <c r="AD147" s="194"/>
    </row>
    <row r="148" spans="17:30" x14ac:dyDescent="0.3">
      <c r="Q148" s="194"/>
      <c r="R148" s="194"/>
      <c r="S148" s="194"/>
      <c r="T148" s="194"/>
      <c r="U148" s="194"/>
      <c r="V148" s="194"/>
      <c r="W148" s="194"/>
      <c r="X148" s="194"/>
      <c r="Y148" s="194"/>
      <c r="Z148" s="194"/>
      <c r="AA148" s="194"/>
      <c r="AB148" s="194"/>
      <c r="AC148" s="194"/>
      <c r="AD148" s="194"/>
    </row>
    <row r="149" spans="17:30" x14ac:dyDescent="0.3">
      <c r="Q149" s="194"/>
      <c r="R149" s="194"/>
      <c r="S149" s="194"/>
      <c r="T149" s="194"/>
      <c r="U149" s="194"/>
      <c r="V149" s="194"/>
      <c r="W149" s="194"/>
      <c r="X149" s="194"/>
      <c r="Y149" s="194"/>
      <c r="Z149" s="194"/>
      <c r="AA149" s="194"/>
      <c r="AB149" s="194"/>
      <c r="AC149" s="194"/>
      <c r="AD149" s="194"/>
    </row>
    <row r="150" spans="17:30" x14ac:dyDescent="0.3">
      <c r="Q150" s="194"/>
      <c r="R150" s="194"/>
      <c r="S150" s="194"/>
      <c r="T150" s="194"/>
      <c r="U150" s="194"/>
      <c r="V150" s="194"/>
      <c r="W150" s="194"/>
      <c r="X150" s="194"/>
      <c r="Y150" s="194"/>
      <c r="Z150" s="194"/>
      <c r="AA150" s="194"/>
      <c r="AB150" s="194"/>
      <c r="AC150" s="194"/>
      <c r="AD150" s="194"/>
    </row>
    <row r="151" spans="17:30" x14ac:dyDescent="0.3">
      <c r="Q151" s="194"/>
      <c r="R151" s="194"/>
      <c r="S151" s="194"/>
      <c r="T151" s="194"/>
      <c r="U151" s="194"/>
      <c r="V151" s="194"/>
      <c r="W151" s="194"/>
      <c r="X151" s="194"/>
      <c r="Y151" s="194"/>
      <c r="Z151" s="194"/>
      <c r="AA151" s="194"/>
      <c r="AB151" s="194"/>
      <c r="AC151" s="194"/>
      <c r="AD151" s="194"/>
    </row>
    <row r="152" spans="17:30" x14ac:dyDescent="0.3">
      <c r="Q152" s="194"/>
      <c r="R152" s="194"/>
      <c r="S152" s="194"/>
      <c r="T152" s="194"/>
      <c r="U152" s="194"/>
      <c r="V152" s="194"/>
      <c r="W152" s="194"/>
      <c r="X152" s="194"/>
      <c r="Y152" s="194"/>
      <c r="Z152" s="194"/>
      <c r="AA152" s="194"/>
      <c r="AB152" s="194"/>
      <c r="AC152" s="194"/>
      <c r="AD152" s="194"/>
    </row>
    <row r="153" spans="17:30" x14ac:dyDescent="0.3">
      <c r="Q153" s="194"/>
      <c r="R153" s="194"/>
      <c r="S153" s="194"/>
      <c r="T153" s="194"/>
      <c r="U153" s="194"/>
      <c r="V153" s="194"/>
      <c r="W153" s="194"/>
      <c r="X153" s="194"/>
      <c r="Y153" s="194"/>
      <c r="Z153" s="194"/>
      <c r="AA153" s="194"/>
      <c r="AB153" s="194"/>
      <c r="AC153" s="194"/>
      <c r="AD153" s="194"/>
    </row>
    <row r="154" spans="17:30" x14ac:dyDescent="0.3">
      <c r="Q154" s="194"/>
      <c r="R154" s="194"/>
      <c r="S154" s="194"/>
      <c r="T154" s="194"/>
      <c r="U154" s="194"/>
      <c r="V154" s="194"/>
      <c r="W154" s="194"/>
      <c r="X154" s="194"/>
      <c r="Y154" s="194"/>
      <c r="Z154" s="194"/>
      <c r="AA154" s="194"/>
      <c r="AB154" s="194"/>
      <c r="AC154" s="194"/>
      <c r="AD154" s="194"/>
    </row>
    <row r="155" spans="17:30" x14ac:dyDescent="0.3">
      <c r="Q155" s="194"/>
      <c r="R155" s="194"/>
      <c r="S155" s="194"/>
      <c r="T155" s="194"/>
      <c r="U155" s="194"/>
      <c r="V155" s="194"/>
      <c r="W155" s="194"/>
      <c r="X155" s="194"/>
      <c r="Y155" s="194"/>
      <c r="Z155" s="194"/>
      <c r="AA155" s="194"/>
      <c r="AB155" s="194"/>
      <c r="AC155" s="194"/>
      <c r="AD155" s="194"/>
    </row>
    <row r="156" spans="17:30" x14ac:dyDescent="0.3">
      <c r="Q156" s="194"/>
      <c r="R156" s="194"/>
      <c r="S156" s="194"/>
      <c r="T156" s="194"/>
      <c r="U156" s="194"/>
      <c r="V156" s="194"/>
      <c r="W156" s="194"/>
      <c r="X156" s="194"/>
      <c r="Y156" s="194"/>
      <c r="Z156" s="194"/>
      <c r="AA156" s="194"/>
      <c r="AB156" s="194"/>
      <c r="AC156" s="194"/>
      <c r="AD156" s="194"/>
    </row>
    <row r="157" spans="17:30" x14ac:dyDescent="0.3">
      <c r="Q157" s="194"/>
      <c r="R157" s="194"/>
      <c r="S157" s="194"/>
      <c r="T157" s="194"/>
      <c r="U157" s="194"/>
      <c r="V157" s="194"/>
      <c r="W157" s="194"/>
      <c r="X157" s="194"/>
      <c r="Y157" s="194"/>
      <c r="Z157" s="194"/>
      <c r="AA157" s="194"/>
      <c r="AB157" s="194"/>
      <c r="AC157" s="194"/>
      <c r="AD157" s="194"/>
    </row>
    <row r="158" spans="17:30" x14ac:dyDescent="0.3">
      <c r="Q158" s="194"/>
      <c r="R158" s="194"/>
      <c r="S158" s="194"/>
      <c r="T158" s="194"/>
      <c r="U158" s="194"/>
      <c r="V158" s="194"/>
      <c r="W158" s="194"/>
      <c r="X158" s="194"/>
      <c r="Y158" s="194"/>
      <c r="Z158" s="194"/>
      <c r="AA158" s="194"/>
      <c r="AB158" s="194"/>
      <c r="AC158" s="194"/>
      <c r="AD158" s="194"/>
    </row>
    <row r="159" spans="17:30" x14ac:dyDescent="0.3">
      <c r="Q159" s="194"/>
      <c r="R159" s="194"/>
      <c r="S159" s="194"/>
      <c r="T159" s="194"/>
      <c r="U159" s="194"/>
      <c r="V159" s="194"/>
      <c r="W159" s="194"/>
      <c r="X159" s="194"/>
      <c r="Y159" s="194"/>
      <c r="Z159" s="194"/>
      <c r="AA159" s="194"/>
      <c r="AB159" s="194"/>
      <c r="AC159" s="194"/>
      <c r="AD159" s="194"/>
    </row>
    <row r="160" spans="17:30" x14ac:dyDescent="0.3">
      <c r="Q160" s="194"/>
      <c r="R160" s="194"/>
      <c r="S160" s="194"/>
      <c r="T160" s="194"/>
      <c r="U160" s="194"/>
      <c r="V160" s="194"/>
      <c r="W160" s="194"/>
      <c r="X160" s="194"/>
      <c r="Y160" s="194"/>
      <c r="Z160" s="194"/>
      <c r="AA160" s="194"/>
      <c r="AB160" s="194"/>
      <c r="AC160" s="194"/>
      <c r="AD160" s="194"/>
    </row>
    <row r="161" spans="17:30" x14ac:dyDescent="0.3">
      <c r="Q161" s="194"/>
      <c r="R161" s="194"/>
      <c r="S161" s="194"/>
      <c r="T161" s="194"/>
      <c r="U161" s="194"/>
      <c r="V161" s="194"/>
      <c r="W161" s="194"/>
      <c r="X161" s="194"/>
      <c r="Y161" s="194"/>
      <c r="Z161" s="194"/>
      <c r="AA161" s="194"/>
      <c r="AB161" s="194"/>
      <c r="AC161" s="194"/>
      <c r="AD161" s="194"/>
    </row>
    <row r="162" spans="17:30" x14ac:dyDescent="0.3">
      <c r="Q162" s="194"/>
      <c r="R162" s="194"/>
      <c r="S162" s="194"/>
      <c r="T162" s="194"/>
      <c r="U162" s="194"/>
      <c r="V162" s="194"/>
      <c r="W162" s="194"/>
      <c r="X162" s="194"/>
      <c r="Y162" s="194"/>
      <c r="Z162" s="194"/>
      <c r="AA162" s="194"/>
      <c r="AB162" s="194"/>
      <c r="AC162" s="194"/>
      <c r="AD162" s="194"/>
    </row>
    <row r="163" spans="17:30" x14ac:dyDescent="0.3">
      <c r="Q163" s="194"/>
      <c r="R163" s="194"/>
      <c r="S163" s="194"/>
      <c r="T163" s="194"/>
      <c r="U163" s="194"/>
      <c r="V163" s="194"/>
      <c r="W163" s="194"/>
      <c r="X163" s="194"/>
      <c r="Y163" s="194"/>
      <c r="Z163" s="194"/>
      <c r="AA163" s="194"/>
      <c r="AB163" s="194"/>
      <c r="AC163" s="194"/>
      <c r="AD163" s="194"/>
    </row>
    <row r="164" spans="17:30" x14ac:dyDescent="0.3">
      <c r="Q164" s="194"/>
      <c r="R164" s="194"/>
      <c r="S164" s="194"/>
      <c r="T164" s="194"/>
      <c r="U164" s="194"/>
      <c r="V164" s="194"/>
      <c r="W164" s="194"/>
      <c r="X164" s="194"/>
      <c r="Y164" s="194"/>
      <c r="Z164" s="194"/>
      <c r="AA164" s="194"/>
      <c r="AB164" s="194"/>
      <c r="AC164" s="194"/>
      <c r="AD164" s="194"/>
    </row>
    <row r="165" spans="17:30" x14ac:dyDescent="0.3">
      <c r="Q165" s="194"/>
      <c r="R165" s="194"/>
      <c r="S165" s="194"/>
      <c r="T165" s="194"/>
      <c r="U165" s="194"/>
      <c r="V165" s="194"/>
      <c r="W165" s="194"/>
      <c r="X165" s="194"/>
      <c r="Y165" s="194"/>
      <c r="Z165" s="194"/>
      <c r="AA165" s="194"/>
      <c r="AB165" s="194"/>
      <c r="AC165" s="194"/>
      <c r="AD165" s="194"/>
    </row>
    <row r="166" spans="17:30" x14ac:dyDescent="0.3">
      <c r="Q166" s="194"/>
      <c r="R166" s="194"/>
      <c r="S166" s="194"/>
      <c r="T166" s="194"/>
      <c r="U166" s="194"/>
      <c r="V166" s="194"/>
      <c r="W166" s="194"/>
      <c r="X166" s="194"/>
      <c r="Y166" s="194"/>
      <c r="Z166" s="194"/>
      <c r="AA166" s="194"/>
      <c r="AB166" s="194"/>
      <c r="AC166" s="194"/>
      <c r="AD166" s="194"/>
    </row>
    <row r="167" spans="17:30" x14ac:dyDescent="0.3">
      <c r="Q167" s="194"/>
      <c r="R167" s="194"/>
      <c r="S167" s="194"/>
      <c r="T167" s="194"/>
      <c r="U167" s="194"/>
      <c r="V167" s="194"/>
      <c r="W167" s="194"/>
      <c r="X167" s="194"/>
      <c r="Y167" s="194"/>
      <c r="Z167" s="194"/>
      <c r="AA167" s="194"/>
      <c r="AB167" s="194"/>
      <c r="AC167" s="194"/>
      <c r="AD167" s="194"/>
    </row>
    <row r="168" spans="17:30" x14ac:dyDescent="0.3">
      <c r="Q168" s="194"/>
      <c r="R168" s="194"/>
      <c r="S168" s="194"/>
      <c r="T168" s="194"/>
      <c r="U168" s="194"/>
      <c r="V168" s="194"/>
      <c r="W168" s="194"/>
      <c r="X168" s="194"/>
      <c r="Y168" s="194"/>
      <c r="Z168" s="194"/>
      <c r="AA168" s="194"/>
      <c r="AB168" s="194"/>
      <c r="AC168" s="194"/>
      <c r="AD168" s="194"/>
    </row>
    <row r="169" spans="17:30" x14ac:dyDescent="0.3">
      <c r="Q169" s="194"/>
      <c r="R169" s="194"/>
      <c r="S169" s="194"/>
      <c r="T169" s="194"/>
      <c r="U169" s="194"/>
      <c r="V169" s="194"/>
      <c r="W169" s="194"/>
      <c r="X169" s="194"/>
      <c r="Y169" s="194"/>
      <c r="Z169" s="194"/>
      <c r="AA169" s="194"/>
      <c r="AB169" s="194"/>
      <c r="AC169" s="194"/>
      <c r="AD169" s="194"/>
    </row>
    <row r="170" spans="17:30" x14ac:dyDescent="0.3">
      <c r="Q170" s="194"/>
      <c r="R170" s="194"/>
      <c r="S170" s="194"/>
      <c r="T170" s="194"/>
      <c r="U170" s="194"/>
      <c r="V170" s="194"/>
      <c r="W170" s="194"/>
      <c r="X170" s="194"/>
      <c r="Y170" s="194"/>
      <c r="Z170" s="194"/>
      <c r="AA170" s="194"/>
      <c r="AB170" s="194"/>
      <c r="AC170" s="194"/>
      <c r="AD170" s="194"/>
    </row>
    <row r="171" spans="17:30" x14ac:dyDescent="0.3">
      <c r="Q171" s="194"/>
      <c r="R171" s="194"/>
      <c r="S171" s="194"/>
      <c r="T171" s="194"/>
      <c r="U171" s="194"/>
      <c r="V171" s="194"/>
      <c r="W171" s="194"/>
      <c r="X171" s="194"/>
      <c r="Y171" s="194"/>
      <c r="Z171" s="194"/>
      <c r="AA171" s="194"/>
      <c r="AB171" s="194"/>
      <c r="AC171" s="194"/>
      <c r="AD171" s="194"/>
    </row>
    <row r="172" spans="17:30" x14ac:dyDescent="0.3">
      <c r="Q172" s="194"/>
      <c r="R172" s="194"/>
      <c r="S172" s="194"/>
      <c r="T172" s="194"/>
      <c r="U172" s="194"/>
      <c r="V172" s="194"/>
      <c r="W172" s="194"/>
      <c r="X172" s="194"/>
      <c r="Y172" s="194"/>
      <c r="Z172" s="194"/>
      <c r="AA172" s="194"/>
      <c r="AB172" s="194"/>
      <c r="AC172" s="194"/>
      <c r="AD172" s="194"/>
    </row>
    <row r="173" spans="17:30" x14ac:dyDescent="0.3">
      <c r="Q173" s="194"/>
      <c r="R173" s="194"/>
      <c r="S173" s="194"/>
      <c r="T173" s="194"/>
      <c r="U173" s="194"/>
      <c r="V173" s="194"/>
      <c r="W173" s="194"/>
      <c r="X173" s="194"/>
      <c r="Y173" s="194"/>
      <c r="Z173" s="194"/>
      <c r="AA173" s="194"/>
      <c r="AB173" s="194"/>
      <c r="AC173" s="194"/>
      <c r="AD173" s="194"/>
    </row>
    <row r="174" spans="17:30" x14ac:dyDescent="0.3">
      <c r="Q174" s="194"/>
      <c r="R174" s="194"/>
      <c r="S174" s="194"/>
      <c r="T174" s="194"/>
      <c r="U174" s="194"/>
      <c r="V174" s="194"/>
      <c r="W174" s="194"/>
      <c r="X174" s="194"/>
      <c r="Y174" s="194"/>
      <c r="Z174" s="194"/>
      <c r="AA174" s="194"/>
      <c r="AB174" s="194"/>
      <c r="AC174" s="194"/>
      <c r="AD174" s="194"/>
    </row>
    <row r="175" spans="17:30" x14ac:dyDescent="0.3">
      <c r="Q175" s="194"/>
      <c r="R175" s="194"/>
      <c r="S175" s="194"/>
      <c r="T175" s="194"/>
      <c r="U175" s="194"/>
      <c r="V175" s="194"/>
      <c r="W175" s="194"/>
      <c r="X175" s="194"/>
      <c r="Y175" s="194"/>
      <c r="Z175" s="194"/>
      <c r="AA175" s="194"/>
      <c r="AB175" s="194"/>
      <c r="AC175" s="194"/>
      <c r="AD175" s="194"/>
    </row>
    <row r="176" spans="17:30" x14ac:dyDescent="0.3">
      <c r="Q176" s="194"/>
      <c r="R176" s="194"/>
      <c r="S176" s="194"/>
      <c r="T176" s="194"/>
      <c r="U176" s="194"/>
      <c r="V176" s="194"/>
      <c r="W176" s="194"/>
      <c r="X176" s="194"/>
      <c r="Y176" s="194"/>
      <c r="Z176" s="194"/>
      <c r="AA176" s="194"/>
      <c r="AB176" s="194"/>
      <c r="AC176" s="194"/>
      <c r="AD176" s="194"/>
    </row>
    <row r="177" spans="17:30" x14ac:dyDescent="0.3">
      <c r="Q177" s="194"/>
      <c r="R177" s="194"/>
      <c r="S177" s="194"/>
      <c r="T177" s="194"/>
      <c r="U177" s="194"/>
      <c r="V177" s="194"/>
      <c r="W177" s="194"/>
      <c r="X177" s="194"/>
      <c r="Y177" s="194"/>
      <c r="Z177" s="194"/>
      <c r="AA177" s="194"/>
      <c r="AB177" s="194"/>
      <c r="AC177" s="194"/>
      <c r="AD177" s="194"/>
    </row>
    <row r="178" spans="17:30" x14ac:dyDescent="0.3">
      <c r="Q178" s="194"/>
      <c r="R178" s="194"/>
      <c r="S178" s="194"/>
      <c r="T178" s="194"/>
      <c r="U178" s="194"/>
      <c r="V178" s="194"/>
      <c r="W178" s="194"/>
      <c r="X178" s="194"/>
      <c r="Y178" s="194"/>
      <c r="Z178" s="194"/>
      <c r="AA178" s="194"/>
      <c r="AB178" s="194"/>
      <c r="AC178" s="194"/>
      <c r="AD178" s="194"/>
    </row>
    <row r="179" spans="17:30" x14ac:dyDescent="0.3">
      <c r="Q179" s="194"/>
      <c r="R179" s="194"/>
      <c r="S179" s="194"/>
      <c r="T179" s="194"/>
      <c r="U179" s="194"/>
      <c r="V179" s="194"/>
      <c r="W179" s="194"/>
      <c r="X179" s="194"/>
      <c r="Y179" s="194"/>
      <c r="Z179" s="194"/>
      <c r="AA179" s="194"/>
      <c r="AB179" s="194"/>
      <c r="AC179" s="194"/>
      <c r="AD179" s="194"/>
    </row>
    <row r="180" spans="17:30" x14ac:dyDescent="0.3">
      <c r="Q180" s="194"/>
      <c r="R180" s="194"/>
      <c r="S180" s="194"/>
      <c r="T180" s="194"/>
      <c r="U180" s="194"/>
      <c r="V180" s="194"/>
      <c r="W180" s="194"/>
      <c r="X180" s="194"/>
      <c r="Y180" s="194"/>
      <c r="Z180" s="194"/>
      <c r="AA180" s="194"/>
      <c r="AB180" s="194"/>
      <c r="AC180" s="194"/>
      <c r="AD180" s="194"/>
    </row>
    <row r="181" spans="17:30" x14ac:dyDescent="0.3">
      <c r="Q181" s="194"/>
      <c r="R181" s="194"/>
      <c r="S181" s="194"/>
      <c r="T181" s="194"/>
      <c r="U181" s="194"/>
      <c r="V181" s="194"/>
      <c r="W181" s="194"/>
      <c r="X181" s="194"/>
      <c r="Y181" s="194"/>
      <c r="Z181" s="194"/>
      <c r="AA181" s="194"/>
      <c r="AB181" s="194"/>
      <c r="AC181" s="194"/>
      <c r="AD181" s="194"/>
    </row>
    <row r="182" spans="17:30" x14ac:dyDescent="0.3">
      <c r="Q182" s="194"/>
      <c r="R182" s="194"/>
      <c r="S182" s="194"/>
      <c r="T182" s="194"/>
      <c r="U182" s="194"/>
      <c r="V182" s="194"/>
      <c r="W182" s="194"/>
      <c r="X182" s="194"/>
      <c r="Y182" s="194"/>
      <c r="Z182" s="194"/>
      <c r="AA182" s="194"/>
      <c r="AB182" s="194"/>
      <c r="AC182" s="194"/>
      <c r="AD182" s="194"/>
    </row>
    <row r="183" spans="17:30" x14ac:dyDescent="0.3">
      <c r="Q183" s="194"/>
      <c r="R183" s="194"/>
      <c r="S183" s="194"/>
      <c r="T183" s="194"/>
      <c r="U183" s="194"/>
      <c r="V183" s="194"/>
      <c r="W183" s="194"/>
      <c r="X183" s="194"/>
      <c r="Y183" s="194"/>
      <c r="Z183" s="194"/>
      <c r="AA183" s="194"/>
      <c r="AB183" s="194"/>
      <c r="AC183" s="194"/>
      <c r="AD183" s="194"/>
    </row>
    <row r="184" spans="17:30" x14ac:dyDescent="0.3">
      <c r="Q184" s="194"/>
      <c r="R184" s="194"/>
      <c r="S184" s="194"/>
      <c r="T184" s="194"/>
      <c r="U184" s="194"/>
      <c r="V184" s="194"/>
      <c r="W184" s="194"/>
      <c r="X184" s="194"/>
      <c r="Y184" s="194"/>
      <c r="Z184" s="194"/>
      <c r="AA184" s="194"/>
      <c r="AB184" s="194"/>
      <c r="AC184" s="194"/>
      <c r="AD184" s="194"/>
    </row>
    <row r="185" spans="17:30" x14ac:dyDescent="0.3">
      <c r="Q185" s="194"/>
      <c r="R185" s="194"/>
      <c r="S185" s="194"/>
      <c r="T185" s="194"/>
      <c r="U185" s="194"/>
      <c r="V185" s="194"/>
      <c r="W185" s="194"/>
      <c r="X185" s="194"/>
      <c r="Y185" s="194"/>
      <c r="Z185" s="194"/>
      <c r="AA185" s="194"/>
      <c r="AB185" s="194"/>
      <c r="AC185" s="194"/>
      <c r="AD185" s="194"/>
    </row>
    <row r="186" spans="17:30" x14ac:dyDescent="0.3">
      <c r="Q186" s="194"/>
      <c r="R186" s="194"/>
      <c r="S186" s="194"/>
      <c r="T186" s="194"/>
      <c r="U186" s="194"/>
      <c r="V186" s="194"/>
      <c r="W186" s="194"/>
      <c r="X186" s="194"/>
      <c r="Y186" s="194"/>
      <c r="Z186" s="194"/>
      <c r="AA186" s="194"/>
      <c r="AB186" s="194"/>
      <c r="AC186" s="194"/>
      <c r="AD186" s="194"/>
    </row>
    <row r="187" spans="17:30" x14ac:dyDescent="0.3">
      <c r="Q187" s="194"/>
      <c r="R187" s="194"/>
      <c r="S187" s="194"/>
      <c r="T187" s="194"/>
      <c r="U187" s="194"/>
      <c r="V187" s="194"/>
      <c r="W187" s="194"/>
      <c r="X187" s="194"/>
      <c r="Y187" s="194"/>
      <c r="Z187" s="194"/>
      <c r="AA187" s="194"/>
      <c r="AB187" s="194"/>
      <c r="AC187" s="194"/>
      <c r="AD187" s="194"/>
    </row>
    <row r="188" spans="17:30" x14ac:dyDescent="0.3">
      <c r="Q188" s="194"/>
      <c r="R188" s="194"/>
      <c r="S188" s="194"/>
      <c r="T188" s="194"/>
      <c r="U188" s="194"/>
      <c r="V188" s="194"/>
      <c r="W188" s="194"/>
      <c r="X188" s="194"/>
      <c r="Y188" s="194"/>
      <c r="Z188" s="194"/>
      <c r="AA188" s="194"/>
      <c r="AB188" s="194"/>
      <c r="AC188" s="194"/>
      <c r="AD188" s="194"/>
    </row>
    <row r="189" spans="17:30" x14ac:dyDescent="0.3">
      <c r="Q189" s="194"/>
      <c r="R189" s="194"/>
      <c r="S189" s="194"/>
      <c r="T189" s="194"/>
      <c r="U189" s="194"/>
      <c r="V189" s="194"/>
      <c r="W189" s="194"/>
      <c r="X189" s="194"/>
      <c r="Y189" s="194"/>
      <c r="Z189" s="194"/>
      <c r="AA189" s="194"/>
      <c r="AB189" s="194"/>
      <c r="AC189" s="194"/>
      <c r="AD189" s="194"/>
    </row>
    <row r="190" spans="17:30" x14ac:dyDescent="0.3">
      <c r="Q190" s="194"/>
      <c r="R190" s="194"/>
      <c r="S190" s="194"/>
      <c r="T190" s="194"/>
      <c r="U190" s="194"/>
      <c r="V190" s="194"/>
      <c r="W190" s="194"/>
      <c r="X190" s="194"/>
      <c r="Y190" s="194"/>
      <c r="Z190" s="194"/>
      <c r="AA190" s="194"/>
      <c r="AB190" s="194"/>
      <c r="AC190" s="194"/>
      <c r="AD190" s="194"/>
    </row>
    <row r="191" spans="17:30" x14ac:dyDescent="0.3">
      <c r="Q191" s="194"/>
      <c r="R191" s="194"/>
      <c r="S191" s="194"/>
      <c r="T191" s="194"/>
      <c r="U191" s="194"/>
      <c r="V191" s="194"/>
      <c r="W191" s="194"/>
      <c r="X191" s="194"/>
      <c r="Y191" s="194"/>
      <c r="Z191" s="194"/>
      <c r="AA191" s="194"/>
      <c r="AB191" s="194"/>
      <c r="AC191" s="194"/>
      <c r="AD191" s="194"/>
    </row>
    <row r="192" spans="17:30" x14ac:dyDescent="0.3">
      <c r="Q192" s="194"/>
      <c r="R192" s="194"/>
      <c r="S192" s="194"/>
      <c r="T192" s="194"/>
      <c r="U192" s="194"/>
      <c r="V192" s="194"/>
      <c r="W192" s="194"/>
      <c r="X192" s="194"/>
      <c r="Y192" s="194"/>
      <c r="Z192" s="194"/>
      <c r="AA192" s="194"/>
      <c r="AB192" s="194"/>
      <c r="AC192" s="194"/>
      <c r="AD192" s="194"/>
    </row>
    <row r="193" spans="17:30" x14ac:dyDescent="0.3">
      <c r="Q193" s="194"/>
      <c r="R193" s="194"/>
      <c r="S193" s="194"/>
      <c r="T193" s="194"/>
      <c r="U193" s="194"/>
      <c r="V193" s="194"/>
      <c r="W193" s="194"/>
      <c r="X193" s="194"/>
      <c r="Y193" s="194"/>
      <c r="Z193" s="194"/>
      <c r="AA193" s="194"/>
      <c r="AB193" s="194"/>
      <c r="AC193" s="194"/>
      <c r="AD193" s="194"/>
    </row>
    <row r="194" spans="17:30" x14ac:dyDescent="0.3">
      <c r="Q194" s="194"/>
      <c r="R194" s="194"/>
      <c r="S194" s="194"/>
      <c r="T194" s="194"/>
      <c r="U194" s="194"/>
      <c r="V194" s="194"/>
      <c r="W194" s="194"/>
      <c r="X194" s="194"/>
      <c r="Y194" s="194"/>
      <c r="Z194" s="194"/>
      <c r="AA194" s="194"/>
      <c r="AB194" s="194"/>
      <c r="AC194" s="194"/>
      <c r="AD194" s="194"/>
    </row>
    <row r="195" spans="17:30" x14ac:dyDescent="0.3">
      <c r="Q195" s="194"/>
      <c r="R195" s="194"/>
      <c r="S195" s="194"/>
      <c r="T195" s="194"/>
      <c r="U195" s="194"/>
      <c r="V195" s="194"/>
      <c r="W195" s="194"/>
      <c r="X195" s="194"/>
      <c r="Y195" s="194"/>
      <c r="Z195" s="194"/>
      <c r="AA195" s="194"/>
      <c r="AB195" s="194"/>
      <c r="AC195" s="194"/>
      <c r="AD195" s="194"/>
    </row>
    <row r="196" spans="17:30" x14ac:dyDescent="0.3">
      <c r="Q196" s="194"/>
      <c r="R196" s="194"/>
      <c r="S196" s="194"/>
      <c r="T196" s="194"/>
      <c r="U196" s="194"/>
      <c r="V196" s="194"/>
      <c r="W196" s="194"/>
      <c r="X196" s="194"/>
      <c r="Y196" s="194"/>
      <c r="Z196" s="194"/>
      <c r="AA196" s="194"/>
      <c r="AB196" s="194"/>
      <c r="AC196" s="194"/>
      <c r="AD196" s="194"/>
    </row>
    <row r="197" spans="17:30" x14ac:dyDescent="0.3">
      <c r="Q197" s="194"/>
      <c r="R197" s="194"/>
      <c r="S197" s="194"/>
      <c r="T197" s="194"/>
      <c r="U197" s="194"/>
      <c r="V197" s="194"/>
      <c r="W197" s="194"/>
      <c r="X197" s="194"/>
      <c r="Y197" s="194"/>
      <c r="Z197" s="194"/>
      <c r="AA197" s="194"/>
      <c r="AB197" s="194"/>
      <c r="AC197" s="194"/>
      <c r="AD197" s="194"/>
    </row>
    <row r="198" spans="17:30" x14ac:dyDescent="0.3">
      <c r="Q198" s="194"/>
      <c r="R198" s="194"/>
      <c r="S198" s="194"/>
      <c r="T198" s="194"/>
      <c r="U198" s="194"/>
      <c r="V198" s="194"/>
      <c r="W198" s="194"/>
      <c r="X198" s="194"/>
      <c r="Y198" s="194"/>
      <c r="Z198" s="194"/>
      <c r="AA198" s="194"/>
      <c r="AB198" s="194"/>
      <c r="AC198" s="194"/>
      <c r="AD198" s="194"/>
    </row>
    <row r="199" spans="17:30" x14ac:dyDescent="0.3">
      <c r="Q199" s="194"/>
      <c r="R199" s="194"/>
      <c r="S199" s="194"/>
      <c r="T199" s="194"/>
      <c r="U199" s="194"/>
      <c r="V199" s="194"/>
      <c r="W199" s="194"/>
      <c r="X199" s="194"/>
      <c r="Y199" s="194"/>
      <c r="Z199" s="194"/>
      <c r="AA199" s="194"/>
      <c r="AB199" s="194"/>
      <c r="AC199" s="194"/>
      <c r="AD199" s="194"/>
    </row>
    <row r="200" spans="17:30" x14ac:dyDescent="0.3">
      <c r="Q200" s="194"/>
      <c r="R200" s="194"/>
      <c r="S200" s="194"/>
      <c r="T200" s="194"/>
      <c r="U200" s="194"/>
      <c r="V200" s="194"/>
      <c r="W200" s="194"/>
      <c r="X200" s="194"/>
      <c r="Y200" s="194"/>
      <c r="Z200" s="194"/>
      <c r="AA200" s="194"/>
      <c r="AB200" s="194"/>
      <c r="AC200" s="194"/>
      <c r="AD200" s="194"/>
    </row>
    <row r="201" spans="17:30" x14ac:dyDescent="0.3">
      <c r="Q201" s="194"/>
      <c r="R201" s="194"/>
      <c r="S201" s="194"/>
      <c r="T201" s="194"/>
      <c r="U201" s="194"/>
      <c r="V201" s="194"/>
      <c r="W201" s="194"/>
      <c r="X201" s="194"/>
      <c r="Y201" s="194"/>
      <c r="Z201" s="194"/>
      <c r="AA201" s="194"/>
      <c r="AB201" s="194"/>
      <c r="AC201" s="194"/>
      <c r="AD201" s="194"/>
    </row>
    <row r="202" spans="17:30" x14ac:dyDescent="0.3">
      <c r="Q202" s="194"/>
      <c r="R202" s="194"/>
      <c r="S202" s="194"/>
      <c r="T202" s="194"/>
      <c r="U202" s="194"/>
      <c r="V202" s="194"/>
      <c r="W202" s="194"/>
      <c r="X202" s="194"/>
      <c r="Y202" s="194"/>
      <c r="Z202" s="194"/>
      <c r="AA202" s="194"/>
      <c r="AB202" s="194"/>
      <c r="AC202" s="194"/>
      <c r="AD202" s="194"/>
    </row>
    <row r="203" spans="17:30" x14ac:dyDescent="0.3">
      <c r="Q203" s="194"/>
      <c r="R203" s="194"/>
      <c r="S203" s="194"/>
      <c r="T203" s="194"/>
      <c r="U203" s="194"/>
      <c r="V203" s="194"/>
      <c r="W203" s="194"/>
      <c r="X203" s="194"/>
      <c r="Y203" s="194"/>
      <c r="Z203" s="194"/>
      <c r="AA203" s="194"/>
      <c r="AB203" s="194"/>
      <c r="AC203" s="194"/>
      <c r="AD203" s="194"/>
    </row>
    <row r="204" spans="17:30" x14ac:dyDescent="0.3">
      <c r="Q204" s="194"/>
      <c r="R204" s="194"/>
      <c r="S204" s="194"/>
      <c r="T204" s="194"/>
      <c r="U204" s="194"/>
      <c r="V204" s="194"/>
      <c r="W204" s="194"/>
      <c r="X204" s="194"/>
      <c r="Y204" s="194"/>
      <c r="Z204" s="194"/>
      <c r="AA204" s="194"/>
      <c r="AB204" s="194"/>
      <c r="AC204" s="194"/>
      <c r="AD204" s="194"/>
    </row>
    <row r="205" spans="17:30" x14ac:dyDescent="0.3">
      <c r="Q205" s="194"/>
      <c r="R205" s="194"/>
      <c r="S205" s="194"/>
      <c r="T205" s="194"/>
      <c r="U205" s="194"/>
      <c r="V205" s="194"/>
      <c r="W205" s="194"/>
      <c r="X205" s="194"/>
      <c r="Y205" s="194"/>
      <c r="Z205" s="194"/>
      <c r="AA205" s="194"/>
      <c r="AB205" s="194"/>
      <c r="AC205" s="194"/>
      <c r="AD205" s="194"/>
    </row>
    <row r="206" spans="17:30" x14ac:dyDescent="0.3">
      <c r="Q206" s="194"/>
      <c r="R206" s="194"/>
      <c r="S206" s="194"/>
      <c r="T206" s="194"/>
      <c r="U206" s="194"/>
      <c r="V206" s="194"/>
      <c r="W206" s="194"/>
      <c r="X206" s="194"/>
      <c r="Y206" s="194"/>
      <c r="Z206" s="194"/>
      <c r="AA206" s="194"/>
      <c r="AB206" s="194"/>
      <c r="AC206" s="194"/>
      <c r="AD206" s="194"/>
    </row>
    <row r="207" spans="17:30" x14ac:dyDescent="0.3">
      <c r="Q207" s="194"/>
      <c r="R207" s="194"/>
      <c r="S207" s="194"/>
      <c r="T207" s="194"/>
      <c r="U207" s="194"/>
      <c r="V207" s="194"/>
      <c r="W207" s="194"/>
      <c r="X207" s="194"/>
      <c r="Y207" s="194"/>
      <c r="Z207" s="194"/>
      <c r="AA207" s="194"/>
      <c r="AB207" s="194"/>
      <c r="AC207" s="194"/>
      <c r="AD207" s="194"/>
    </row>
    <row r="208" spans="17:30" x14ac:dyDescent="0.3">
      <c r="Q208" s="194"/>
      <c r="R208" s="194"/>
      <c r="S208" s="194"/>
      <c r="T208" s="194"/>
      <c r="U208" s="194"/>
      <c r="V208" s="194"/>
      <c r="W208" s="194"/>
      <c r="X208" s="194"/>
      <c r="Y208" s="194"/>
      <c r="Z208" s="194"/>
      <c r="AA208" s="194"/>
      <c r="AB208" s="194"/>
      <c r="AC208" s="194"/>
      <c r="AD208" s="194"/>
    </row>
    <row r="209" spans="17:30" x14ac:dyDescent="0.3">
      <c r="Q209" s="194"/>
      <c r="R209" s="194"/>
      <c r="S209" s="194"/>
      <c r="T209" s="194"/>
      <c r="U209" s="194"/>
      <c r="V209" s="194"/>
      <c r="W209" s="194"/>
      <c r="X209" s="194"/>
      <c r="Y209" s="194"/>
      <c r="Z209" s="194"/>
      <c r="AA209" s="194"/>
      <c r="AB209" s="194"/>
      <c r="AC209" s="194"/>
      <c r="AD209" s="194"/>
    </row>
    <row r="210" spans="17:30" x14ac:dyDescent="0.3">
      <c r="Q210" s="194"/>
      <c r="R210" s="194"/>
      <c r="S210" s="194"/>
      <c r="T210" s="194"/>
      <c r="U210" s="194"/>
      <c r="V210" s="194"/>
      <c r="W210" s="194"/>
      <c r="X210" s="194"/>
      <c r="Y210" s="194"/>
      <c r="Z210" s="194"/>
      <c r="AA210" s="194"/>
      <c r="AB210" s="194"/>
      <c r="AC210" s="194"/>
      <c r="AD210" s="194"/>
    </row>
    <row r="211" spans="17:30" x14ac:dyDescent="0.3">
      <c r="Q211" s="194"/>
      <c r="R211" s="194"/>
      <c r="S211" s="194"/>
      <c r="T211" s="194"/>
      <c r="U211" s="194"/>
      <c r="V211" s="194"/>
      <c r="W211" s="194"/>
      <c r="X211" s="194"/>
      <c r="Y211" s="194"/>
      <c r="Z211" s="194"/>
      <c r="AA211" s="194"/>
      <c r="AB211" s="194"/>
      <c r="AC211" s="194"/>
      <c r="AD211" s="194"/>
    </row>
    <row r="212" spans="17:30" x14ac:dyDescent="0.3">
      <c r="Q212" s="194"/>
      <c r="R212" s="194"/>
      <c r="S212" s="194"/>
      <c r="T212" s="194"/>
      <c r="U212" s="194"/>
      <c r="V212" s="194"/>
      <c r="W212" s="194"/>
      <c r="X212" s="194"/>
      <c r="Y212" s="194"/>
      <c r="Z212" s="194"/>
      <c r="AA212" s="194"/>
      <c r="AB212" s="194"/>
      <c r="AC212" s="194"/>
      <c r="AD212" s="194"/>
    </row>
    <row r="213" spans="17:30" x14ac:dyDescent="0.3">
      <c r="Q213" s="194"/>
      <c r="R213" s="194"/>
      <c r="S213" s="194"/>
      <c r="T213" s="194"/>
      <c r="U213" s="194"/>
      <c r="V213" s="194"/>
      <c r="W213" s="194"/>
      <c r="X213" s="194"/>
      <c r="Y213" s="194"/>
      <c r="Z213" s="194"/>
      <c r="AA213" s="194"/>
      <c r="AB213" s="194"/>
      <c r="AC213" s="194"/>
      <c r="AD213" s="194"/>
    </row>
    <row r="214" spans="17:30" x14ac:dyDescent="0.3">
      <c r="Q214" s="194"/>
      <c r="R214" s="194"/>
      <c r="S214" s="194"/>
      <c r="T214" s="194"/>
      <c r="U214" s="194"/>
      <c r="V214" s="194"/>
      <c r="W214" s="194"/>
      <c r="X214" s="194"/>
      <c r="Y214" s="194"/>
      <c r="Z214" s="194"/>
      <c r="AA214" s="194"/>
      <c r="AB214" s="194"/>
      <c r="AC214" s="194"/>
      <c r="AD214" s="194"/>
    </row>
    <row r="215" spans="17:30" x14ac:dyDescent="0.3">
      <c r="Q215" s="194"/>
      <c r="R215" s="194"/>
      <c r="S215" s="194"/>
      <c r="T215" s="194"/>
      <c r="U215" s="194"/>
      <c r="V215" s="194"/>
      <c r="W215" s="194"/>
      <c r="X215" s="194"/>
      <c r="Y215" s="194"/>
      <c r="Z215" s="194"/>
      <c r="AA215" s="194"/>
      <c r="AB215" s="194"/>
      <c r="AC215" s="194"/>
      <c r="AD215" s="194"/>
    </row>
    <row r="216" spans="17:30" x14ac:dyDescent="0.3">
      <c r="Q216" s="194"/>
      <c r="R216" s="194"/>
      <c r="S216" s="194"/>
      <c r="T216" s="194"/>
      <c r="U216" s="194"/>
      <c r="V216" s="194"/>
      <c r="W216" s="194"/>
      <c r="X216" s="194"/>
      <c r="Y216" s="194"/>
      <c r="Z216" s="194"/>
      <c r="AA216" s="194"/>
      <c r="AB216" s="194"/>
      <c r="AC216" s="194"/>
      <c r="AD216" s="194"/>
    </row>
    <row r="217" spans="17:30" x14ac:dyDescent="0.3">
      <c r="Q217" s="194"/>
      <c r="R217" s="194"/>
      <c r="S217" s="194"/>
      <c r="T217" s="194"/>
      <c r="U217" s="194"/>
      <c r="V217" s="194"/>
      <c r="W217" s="194"/>
      <c r="X217" s="194"/>
      <c r="Y217" s="194"/>
      <c r="Z217" s="194"/>
      <c r="AA217" s="194"/>
      <c r="AB217" s="194"/>
      <c r="AC217" s="194"/>
      <c r="AD217" s="194"/>
    </row>
    <row r="218" spans="17:30" x14ac:dyDescent="0.3">
      <c r="Q218" s="194"/>
      <c r="R218" s="194"/>
      <c r="S218" s="194"/>
      <c r="T218" s="194"/>
      <c r="U218" s="194"/>
      <c r="V218" s="194"/>
      <c r="W218" s="194"/>
      <c r="X218" s="194"/>
      <c r="Y218" s="194"/>
      <c r="Z218" s="194"/>
      <c r="AA218" s="194"/>
      <c r="AB218" s="194"/>
      <c r="AC218" s="194"/>
      <c r="AD218" s="194"/>
    </row>
    <row r="219" spans="17:30" x14ac:dyDescent="0.3">
      <c r="Q219" s="194"/>
      <c r="R219" s="194"/>
      <c r="S219" s="194"/>
      <c r="T219" s="194"/>
      <c r="U219" s="194"/>
      <c r="V219" s="194"/>
      <c r="W219" s="194"/>
      <c r="X219" s="194"/>
      <c r="Y219" s="194"/>
      <c r="Z219" s="194"/>
      <c r="AA219" s="194"/>
      <c r="AB219" s="194"/>
      <c r="AC219" s="194"/>
      <c r="AD219" s="194"/>
    </row>
    <row r="220" spans="17:30" x14ac:dyDescent="0.3">
      <c r="Q220" s="194"/>
      <c r="R220" s="194"/>
      <c r="S220" s="194"/>
      <c r="T220" s="194"/>
      <c r="U220" s="194"/>
      <c r="V220" s="194"/>
      <c r="W220" s="194"/>
      <c r="X220" s="194"/>
      <c r="Y220" s="194"/>
      <c r="Z220" s="194"/>
      <c r="AA220" s="194"/>
      <c r="AB220" s="194"/>
      <c r="AC220" s="194"/>
      <c r="AD220" s="194"/>
    </row>
    <row r="221" spans="17:30" x14ac:dyDescent="0.3">
      <c r="Q221" s="194"/>
      <c r="R221" s="194"/>
      <c r="S221" s="194"/>
      <c r="T221" s="194"/>
      <c r="U221" s="194"/>
      <c r="V221" s="194"/>
      <c r="W221" s="194"/>
      <c r="X221" s="194"/>
      <c r="Y221" s="194"/>
      <c r="Z221" s="194"/>
      <c r="AA221" s="194"/>
      <c r="AB221" s="194"/>
      <c r="AC221" s="194"/>
      <c r="AD221" s="194"/>
    </row>
    <row r="222" spans="17:30" x14ac:dyDescent="0.3">
      <c r="Q222" s="194"/>
      <c r="R222" s="194"/>
      <c r="S222" s="194"/>
      <c r="T222" s="194"/>
      <c r="U222" s="194"/>
      <c r="V222" s="194"/>
      <c r="W222" s="194"/>
      <c r="X222" s="194"/>
      <c r="Y222" s="194"/>
      <c r="Z222" s="194"/>
      <c r="AA222" s="194"/>
      <c r="AB222" s="194"/>
      <c r="AC222" s="194"/>
      <c r="AD222" s="194"/>
    </row>
    <row r="223" spans="17:30" x14ac:dyDescent="0.3">
      <c r="Q223" s="194"/>
      <c r="R223" s="194"/>
      <c r="S223" s="194"/>
      <c r="T223" s="194"/>
      <c r="U223" s="194"/>
      <c r="V223" s="194"/>
      <c r="W223" s="194"/>
      <c r="X223" s="194"/>
      <c r="Y223" s="194"/>
      <c r="Z223" s="194"/>
      <c r="AA223" s="194"/>
      <c r="AB223" s="194"/>
      <c r="AC223" s="194"/>
      <c r="AD223" s="194"/>
    </row>
    <row r="224" spans="17:30" x14ac:dyDescent="0.3">
      <c r="Q224" s="194"/>
      <c r="R224" s="194"/>
      <c r="S224" s="194"/>
      <c r="T224" s="194"/>
      <c r="U224" s="194"/>
      <c r="V224" s="194"/>
      <c r="W224" s="194"/>
      <c r="X224" s="194"/>
      <c r="Y224" s="194"/>
      <c r="Z224" s="194"/>
      <c r="AA224" s="194"/>
      <c r="AB224" s="194"/>
      <c r="AC224" s="194"/>
      <c r="AD224" s="194"/>
    </row>
    <row r="225" spans="17:30" x14ac:dyDescent="0.3">
      <c r="Q225" s="194"/>
      <c r="R225" s="194"/>
      <c r="S225" s="194"/>
      <c r="T225" s="194"/>
      <c r="U225" s="194"/>
      <c r="V225" s="194"/>
      <c r="W225" s="194"/>
      <c r="X225" s="194"/>
      <c r="Y225" s="194"/>
      <c r="Z225" s="194"/>
      <c r="AA225" s="194"/>
      <c r="AB225" s="194"/>
      <c r="AC225" s="194"/>
      <c r="AD225" s="194"/>
    </row>
    <row r="226" spans="17:30" x14ac:dyDescent="0.3">
      <c r="Q226" s="194"/>
      <c r="R226" s="194"/>
      <c r="S226" s="194"/>
      <c r="T226" s="194"/>
      <c r="U226" s="194"/>
      <c r="V226" s="194"/>
      <c r="W226" s="194"/>
      <c r="X226" s="194"/>
      <c r="Y226" s="194"/>
      <c r="Z226" s="194"/>
      <c r="AA226" s="194"/>
      <c r="AB226" s="194"/>
      <c r="AC226" s="194"/>
      <c r="AD226" s="194"/>
    </row>
    <row r="227" spans="17:30" x14ac:dyDescent="0.3">
      <c r="Q227" s="194"/>
      <c r="R227" s="194"/>
      <c r="S227" s="194"/>
      <c r="T227" s="194"/>
      <c r="U227" s="194"/>
      <c r="V227" s="194"/>
      <c r="W227" s="194"/>
      <c r="X227" s="194"/>
      <c r="Y227" s="194"/>
      <c r="Z227" s="194"/>
      <c r="AA227" s="194"/>
      <c r="AB227" s="194"/>
      <c r="AC227" s="194"/>
      <c r="AD227" s="194"/>
    </row>
    <row r="228" spans="17:30" x14ac:dyDescent="0.3">
      <c r="Q228" s="194"/>
      <c r="R228" s="194"/>
      <c r="S228" s="194"/>
      <c r="T228" s="194"/>
      <c r="U228" s="194"/>
      <c r="V228" s="194"/>
      <c r="W228" s="194"/>
      <c r="X228" s="194"/>
      <c r="Y228" s="194"/>
      <c r="Z228" s="194"/>
      <c r="AA228" s="194"/>
      <c r="AB228" s="194"/>
      <c r="AC228" s="194"/>
      <c r="AD228" s="194"/>
    </row>
    <row r="229" spans="17:30" x14ac:dyDescent="0.3">
      <c r="Q229" s="194"/>
      <c r="R229" s="194"/>
      <c r="S229" s="194"/>
      <c r="T229" s="194"/>
      <c r="U229" s="194"/>
      <c r="V229" s="194"/>
      <c r="W229" s="194"/>
      <c r="X229" s="194"/>
      <c r="Y229" s="194"/>
      <c r="Z229" s="194"/>
      <c r="AA229" s="194"/>
      <c r="AB229" s="194"/>
      <c r="AC229" s="194"/>
      <c r="AD229" s="194"/>
    </row>
    <row r="230" spans="17:30" x14ac:dyDescent="0.3">
      <c r="Q230" s="194"/>
      <c r="R230" s="194"/>
      <c r="S230" s="194"/>
      <c r="T230" s="194"/>
      <c r="U230" s="194"/>
      <c r="V230" s="194"/>
      <c r="W230" s="194"/>
      <c r="X230" s="194"/>
      <c r="Y230" s="194"/>
      <c r="Z230" s="194"/>
      <c r="AA230" s="194"/>
      <c r="AB230" s="194"/>
      <c r="AC230" s="194"/>
      <c r="AD230" s="194"/>
    </row>
    <row r="231" spans="17:30" x14ac:dyDescent="0.3">
      <c r="Q231" s="194"/>
      <c r="R231" s="194"/>
      <c r="S231" s="194"/>
      <c r="T231" s="194"/>
      <c r="U231" s="194"/>
      <c r="V231" s="194"/>
      <c r="W231" s="194"/>
      <c r="X231" s="194"/>
      <c r="Y231" s="194"/>
      <c r="Z231" s="194"/>
      <c r="AA231" s="194"/>
      <c r="AB231" s="194"/>
      <c r="AC231" s="194"/>
      <c r="AD231" s="194"/>
    </row>
    <row r="232" spans="17:30" x14ac:dyDescent="0.3">
      <c r="Q232" s="194"/>
      <c r="R232" s="194"/>
      <c r="S232" s="194"/>
      <c r="T232" s="194"/>
      <c r="U232" s="194"/>
      <c r="V232" s="194"/>
      <c r="W232" s="194"/>
      <c r="X232" s="194"/>
      <c r="Y232" s="194"/>
      <c r="Z232" s="194"/>
      <c r="AA232" s="194"/>
      <c r="AB232" s="194"/>
      <c r="AC232" s="194"/>
      <c r="AD232" s="194"/>
    </row>
    <row r="233" spans="17:30" x14ac:dyDescent="0.3">
      <c r="Q233" s="194"/>
      <c r="R233" s="194"/>
      <c r="S233" s="194"/>
      <c r="T233" s="194"/>
      <c r="U233" s="194"/>
      <c r="V233" s="194"/>
      <c r="W233" s="194"/>
      <c r="X233" s="194"/>
      <c r="Y233" s="194"/>
      <c r="Z233" s="194"/>
      <c r="AA233" s="194"/>
      <c r="AB233" s="194"/>
      <c r="AC233" s="194"/>
      <c r="AD233" s="194"/>
    </row>
    <row r="234" spans="17:30" x14ac:dyDescent="0.3">
      <c r="Q234" s="194"/>
      <c r="R234" s="194"/>
      <c r="S234" s="194"/>
      <c r="T234" s="194"/>
      <c r="U234" s="194"/>
      <c r="V234" s="194"/>
      <c r="W234" s="194"/>
      <c r="X234" s="194"/>
      <c r="Y234" s="194"/>
      <c r="Z234" s="194"/>
      <c r="AA234" s="194"/>
      <c r="AB234" s="194"/>
      <c r="AC234" s="194"/>
      <c r="AD234" s="194"/>
    </row>
    <row r="235" spans="17:30" x14ac:dyDescent="0.3">
      <c r="Q235" s="194"/>
      <c r="R235" s="194"/>
      <c r="S235" s="194"/>
      <c r="T235" s="194"/>
      <c r="U235" s="194"/>
      <c r="V235" s="194"/>
      <c r="W235" s="194"/>
      <c r="X235" s="194"/>
      <c r="Y235" s="194"/>
      <c r="Z235" s="194"/>
      <c r="AA235" s="194"/>
      <c r="AB235" s="194"/>
      <c r="AC235" s="194"/>
      <c r="AD235" s="194"/>
    </row>
    <row r="236" spans="17:30" x14ac:dyDescent="0.3">
      <c r="Q236" s="194"/>
      <c r="R236" s="194"/>
      <c r="S236" s="194"/>
      <c r="T236" s="194"/>
      <c r="U236" s="194"/>
      <c r="V236" s="194"/>
      <c r="W236" s="194"/>
      <c r="X236" s="194"/>
      <c r="Y236" s="194"/>
      <c r="Z236" s="194"/>
      <c r="AA236" s="194"/>
      <c r="AB236" s="194"/>
      <c r="AC236" s="194"/>
      <c r="AD236" s="194"/>
    </row>
    <row r="237" spans="17:30" x14ac:dyDescent="0.3">
      <c r="Q237" s="194"/>
      <c r="R237" s="194"/>
      <c r="S237" s="194"/>
      <c r="T237" s="194"/>
      <c r="U237" s="194"/>
      <c r="V237" s="194"/>
      <c r="W237" s="194"/>
      <c r="X237" s="194"/>
      <c r="Y237" s="194"/>
      <c r="Z237" s="194"/>
      <c r="AA237" s="194"/>
      <c r="AB237" s="194"/>
      <c r="AC237" s="194"/>
      <c r="AD237" s="194"/>
    </row>
    <row r="238" spans="17:30" x14ac:dyDescent="0.3">
      <c r="Q238" s="194"/>
      <c r="R238" s="194"/>
      <c r="S238" s="194"/>
      <c r="T238" s="194"/>
      <c r="U238" s="194"/>
      <c r="V238" s="194"/>
      <c r="W238" s="194"/>
      <c r="X238" s="194"/>
      <c r="Y238" s="194"/>
      <c r="Z238" s="194"/>
      <c r="AA238" s="194"/>
      <c r="AB238" s="194"/>
      <c r="AC238" s="194"/>
      <c r="AD238" s="194"/>
    </row>
    <row r="239" spans="17:30" x14ac:dyDescent="0.3">
      <c r="Q239" s="194"/>
      <c r="R239" s="194"/>
      <c r="S239" s="194"/>
      <c r="T239" s="194"/>
      <c r="U239" s="194"/>
      <c r="V239" s="194"/>
      <c r="W239" s="194"/>
      <c r="X239" s="194"/>
      <c r="Y239" s="194"/>
      <c r="Z239" s="194"/>
      <c r="AA239" s="194"/>
      <c r="AB239" s="194"/>
      <c r="AC239" s="194"/>
      <c r="AD239" s="194"/>
    </row>
    <row r="240" spans="17:30" x14ac:dyDescent="0.3">
      <c r="Q240" s="194"/>
      <c r="R240" s="194"/>
      <c r="S240" s="194"/>
      <c r="T240" s="194"/>
      <c r="U240" s="194"/>
      <c r="V240" s="194"/>
      <c r="W240" s="194"/>
      <c r="X240" s="194"/>
      <c r="Y240" s="194"/>
      <c r="Z240" s="194"/>
      <c r="AA240" s="194"/>
      <c r="AB240" s="194"/>
      <c r="AC240" s="194"/>
      <c r="AD240" s="194"/>
    </row>
    <row r="241" spans="17:30" x14ac:dyDescent="0.3">
      <c r="Q241" s="194"/>
      <c r="R241" s="194"/>
      <c r="S241" s="194"/>
      <c r="T241" s="194"/>
      <c r="U241" s="194"/>
      <c r="V241" s="194"/>
      <c r="W241" s="194"/>
      <c r="X241" s="194"/>
      <c r="Y241" s="194"/>
      <c r="Z241" s="194"/>
      <c r="AA241" s="194"/>
      <c r="AB241" s="194"/>
      <c r="AC241" s="194"/>
      <c r="AD241" s="194"/>
    </row>
    <row r="242" spans="17:30" x14ac:dyDescent="0.3">
      <c r="Q242" s="194"/>
      <c r="R242" s="194"/>
      <c r="S242" s="194"/>
      <c r="T242" s="194"/>
      <c r="U242" s="194"/>
      <c r="V242" s="194"/>
      <c r="W242" s="194"/>
      <c r="X242" s="194"/>
      <c r="Y242" s="194"/>
      <c r="Z242" s="194"/>
      <c r="AA242" s="194"/>
      <c r="AB242" s="194"/>
      <c r="AC242" s="194"/>
      <c r="AD242" s="194"/>
    </row>
    <row r="243" spans="17:30" x14ac:dyDescent="0.3">
      <c r="Q243" s="194"/>
      <c r="R243" s="194"/>
      <c r="S243" s="194"/>
      <c r="T243" s="194"/>
      <c r="U243" s="194"/>
      <c r="V243" s="194"/>
      <c r="W243" s="194"/>
      <c r="X243" s="194"/>
      <c r="Y243" s="194"/>
      <c r="Z243" s="194"/>
      <c r="AA243" s="194"/>
      <c r="AB243" s="194"/>
      <c r="AC243" s="194"/>
      <c r="AD243" s="194"/>
    </row>
    <row r="244" spans="17:30" x14ac:dyDescent="0.3">
      <c r="Q244" s="194"/>
      <c r="R244" s="194"/>
      <c r="S244" s="194"/>
      <c r="T244" s="194"/>
      <c r="U244" s="194"/>
      <c r="V244" s="194"/>
      <c r="W244" s="194"/>
      <c r="X244" s="194"/>
      <c r="Y244" s="194"/>
      <c r="Z244" s="194"/>
      <c r="AA244" s="194"/>
      <c r="AB244" s="194"/>
      <c r="AC244" s="194"/>
      <c r="AD244" s="194"/>
    </row>
    <row r="245" spans="17:30" x14ac:dyDescent="0.3">
      <c r="Q245" s="194"/>
      <c r="R245" s="194"/>
      <c r="S245" s="194"/>
      <c r="T245" s="194"/>
      <c r="U245" s="194"/>
      <c r="V245" s="194"/>
      <c r="W245" s="194"/>
      <c r="X245" s="194"/>
      <c r="Y245" s="194"/>
      <c r="Z245" s="194"/>
      <c r="AA245" s="194"/>
      <c r="AB245" s="194"/>
      <c r="AC245" s="194"/>
      <c r="AD245" s="194"/>
    </row>
    <row r="246" spans="17:30" x14ac:dyDescent="0.3">
      <c r="Q246" s="194"/>
      <c r="R246" s="194"/>
      <c r="S246" s="194"/>
      <c r="T246" s="194"/>
      <c r="U246" s="194"/>
      <c r="V246" s="194"/>
      <c r="W246" s="194"/>
      <c r="X246" s="194"/>
      <c r="Y246" s="194"/>
      <c r="Z246" s="194"/>
      <c r="AA246" s="194"/>
      <c r="AB246" s="194"/>
      <c r="AC246" s="194"/>
      <c r="AD246" s="194"/>
    </row>
    <row r="247" spans="17:30" x14ac:dyDescent="0.3">
      <c r="Q247" s="194"/>
      <c r="R247" s="194"/>
      <c r="S247" s="194"/>
      <c r="T247" s="194"/>
      <c r="U247" s="194"/>
      <c r="V247" s="194"/>
      <c r="W247" s="194"/>
      <c r="X247" s="194"/>
      <c r="Y247" s="194"/>
      <c r="Z247" s="194"/>
      <c r="AA247" s="194"/>
      <c r="AB247" s="194"/>
      <c r="AC247" s="194"/>
      <c r="AD247" s="194"/>
    </row>
    <row r="248" spans="17:30" x14ac:dyDescent="0.3">
      <c r="Q248" s="194"/>
      <c r="R248" s="194"/>
      <c r="S248" s="194"/>
      <c r="T248" s="194"/>
      <c r="U248" s="194"/>
      <c r="V248" s="194"/>
      <c r="W248" s="194"/>
      <c r="X248" s="194"/>
      <c r="Y248" s="194"/>
      <c r="Z248" s="194"/>
      <c r="AA248" s="194"/>
      <c r="AB248" s="194"/>
      <c r="AC248" s="194"/>
      <c r="AD248" s="194"/>
    </row>
    <row r="249" spans="17:30" x14ac:dyDescent="0.3">
      <c r="Q249" s="194"/>
      <c r="R249" s="194"/>
      <c r="S249" s="194"/>
      <c r="T249" s="194"/>
      <c r="U249" s="194"/>
      <c r="V249" s="194"/>
      <c r="W249" s="194"/>
      <c r="X249" s="194"/>
      <c r="Y249" s="194"/>
      <c r="Z249" s="194"/>
      <c r="AA249" s="194"/>
      <c r="AB249" s="194"/>
      <c r="AC249" s="194"/>
      <c r="AD249" s="194"/>
    </row>
    <row r="250" spans="17:30" x14ac:dyDescent="0.3">
      <c r="Q250" s="194"/>
      <c r="R250" s="194"/>
      <c r="S250" s="194"/>
      <c r="T250" s="194"/>
      <c r="U250" s="194"/>
      <c r="V250" s="194"/>
      <c r="W250" s="194"/>
      <c r="X250" s="194"/>
      <c r="Y250" s="194"/>
      <c r="Z250" s="194"/>
      <c r="AA250" s="194"/>
      <c r="AB250" s="194"/>
      <c r="AC250" s="194"/>
      <c r="AD250" s="194"/>
    </row>
    <row r="251" spans="17:30" x14ac:dyDescent="0.3">
      <c r="Q251" s="194"/>
      <c r="R251" s="194"/>
      <c r="S251" s="194"/>
      <c r="T251" s="194"/>
      <c r="U251" s="194"/>
      <c r="V251" s="194"/>
      <c r="W251" s="194"/>
      <c r="X251" s="194"/>
      <c r="Y251" s="194"/>
      <c r="Z251" s="194"/>
      <c r="AA251" s="194"/>
      <c r="AB251" s="194"/>
      <c r="AC251" s="194"/>
      <c r="AD251" s="194"/>
    </row>
    <row r="252" spans="17:30" x14ac:dyDescent="0.3">
      <c r="Q252" s="194"/>
      <c r="R252" s="194"/>
      <c r="S252" s="194"/>
      <c r="T252" s="194"/>
      <c r="U252" s="194"/>
      <c r="V252" s="194"/>
      <c r="W252" s="194"/>
      <c r="X252" s="194"/>
      <c r="Y252" s="194"/>
      <c r="Z252" s="194"/>
      <c r="AA252" s="194"/>
      <c r="AB252" s="194"/>
      <c r="AC252" s="194"/>
      <c r="AD252" s="194"/>
    </row>
    <row r="253" spans="17:30" x14ac:dyDescent="0.3">
      <c r="Q253" s="194"/>
      <c r="R253" s="194"/>
      <c r="S253" s="194"/>
      <c r="T253" s="194"/>
      <c r="U253" s="194"/>
      <c r="V253" s="194"/>
      <c r="W253" s="194"/>
      <c r="X253" s="194"/>
      <c r="Y253" s="194"/>
      <c r="Z253" s="194"/>
      <c r="AA253" s="194"/>
      <c r="AB253" s="194"/>
      <c r="AC253" s="194"/>
      <c r="AD253" s="194"/>
    </row>
    <row r="254" spans="17:30" x14ac:dyDescent="0.3">
      <c r="Q254" s="194"/>
      <c r="R254" s="194"/>
      <c r="S254" s="194"/>
      <c r="T254" s="194"/>
      <c r="U254" s="194"/>
      <c r="V254" s="194"/>
      <c r="W254" s="194"/>
      <c r="X254" s="194"/>
      <c r="Y254" s="194"/>
      <c r="Z254" s="194"/>
      <c r="AA254" s="194"/>
      <c r="AB254" s="194"/>
      <c r="AC254" s="194"/>
      <c r="AD254" s="194"/>
    </row>
    <row r="255" spans="17:30" x14ac:dyDescent="0.3">
      <c r="Q255" s="194"/>
      <c r="R255" s="194"/>
      <c r="S255" s="194"/>
      <c r="T255" s="194"/>
      <c r="U255" s="194"/>
      <c r="V255" s="194"/>
      <c r="W255" s="194"/>
      <c r="X255" s="194"/>
      <c r="Y255" s="194"/>
      <c r="Z255" s="194"/>
      <c r="AA255" s="194"/>
      <c r="AB255" s="194"/>
      <c r="AC255" s="194"/>
      <c r="AD255" s="194"/>
    </row>
    <row r="256" spans="17:30" x14ac:dyDescent="0.3">
      <c r="Q256" s="194"/>
      <c r="R256" s="194"/>
      <c r="S256" s="194"/>
      <c r="T256" s="194"/>
      <c r="U256" s="194"/>
      <c r="V256" s="194"/>
      <c r="W256" s="194"/>
      <c r="X256" s="194"/>
      <c r="Y256" s="194"/>
      <c r="Z256" s="194"/>
      <c r="AA256" s="194"/>
      <c r="AB256" s="194"/>
      <c r="AC256" s="194"/>
      <c r="AD256" s="194"/>
    </row>
    <row r="257" spans="17:30" x14ac:dyDescent="0.3">
      <c r="Q257" s="194"/>
      <c r="R257" s="194"/>
      <c r="S257" s="194"/>
      <c r="T257" s="194"/>
      <c r="U257" s="194"/>
      <c r="V257" s="194"/>
      <c r="W257" s="194"/>
      <c r="X257" s="194"/>
      <c r="Y257" s="194"/>
      <c r="Z257" s="194"/>
      <c r="AA257" s="194"/>
      <c r="AB257" s="194"/>
      <c r="AC257" s="194"/>
      <c r="AD257" s="194"/>
    </row>
    <row r="258" spans="17:30" x14ac:dyDescent="0.3">
      <c r="Q258" s="194"/>
      <c r="R258" s="194"/>
      <c r="S258" s="194"/>
      <c r="T258" s="194"/>
      <c r="U258" s="194"/>
      <c r="V258" s="194"/>
      <c r="W258" s="194"/>
      <c r="X258" s="194"/>
      <c r="Y258" s="194"/>
      <c r="Z258" s="194"/>
      <c r="AA258" s="194"/>
      <c r="AB258" s="194"/>
      <c r="AC258" s="194"/>
      <c r="AD258" s="194"/>
    </row>
    <row r="259" spans="17:30" x14ac:dyDescent="0.3">
      <c r="Q259" s="194"/>
      <c r="R259" s="194"/>
      <c r="S259" s="194"/>
      <c r="T259" s="194"/>
      <c r="U259" s="194"/>
      <c r="V259" s="194"/>
      <c r="W259" s="194"/>
      <c r="X259" s="194"/>
      <c r="Y259" s="194"/>
      <c r="Z259" s="194"/>
      <c r="AA259" s="194"/>
      <c r="AB259" s="194"/>
      <c r="AC259" s="194"/>
      <c r="AD259" s="194"/>
    </row>
    <row r="260" spans="17:30" x14ac:dyDescent="0.3">
      <c r="Q260" s="194"/>
      <c r="R260" s="194"/>
      <c r="S260" s="194"/>
      <c r="T260" s="194"/>
      <c r="U260" s="194"/>
      <c r="V260" s="194"/>
      <c r="W260" s="194"/>
      <c r="X260" s="194"/>
      <c r="Y260" s="194"/>
      <c r="Z260" s="194"/>
      <c r="AA260" s="194"/>
      <c r="AB260" s="194"/>
      <c r="AC260" s="194"/>
      <c r="AD260" s="194"/>
    </row>
    <row r="261" spans="17:30" x14ac:dyDescent="0.3">
      <c r="Q261" s="194"/>
      <c r="R261" s="194"/>
      <c r="S261" s="194"/>
      <c r="T261" s="194"/>
      <c r="U261" s="194"/>
      <c r="V261" s="194"/>
      <c r="W261" s="194"/>
      <c r="X261" s="194"/>
      <c r="Y261" s="194"/>
      <c r="Z261" s="194"/>
      <c r="AA261" s="194"/>
      <c r="AB261" s="194"/>
      <c r="AC261" s="194"/>
      <c r="AD261" s="194"/>
    </row>
    <row r="262" spans="17:30" x14ac:dyDescent="0.3">
      <c r="Q262" s="194"/>
      <c r="R262" s="194"/>
      <c r="S262" s="194"/>
      <c r="T262" s="194"/>
      <c r="U262" s="194"/>
      <c r="V262" s="194"/>
      <c r="W262" s="194"/>
      <c r="X262" s="194"/>
      <c r="Y262" s="194"/>
      <c r="Z262" s="194"/>
      <c r="AA262" s="194"/>
      <c r="AB262" s="194"/>
      <c r="AC262" s="194"/>
      <c r="AD262" s="194"/>
    </row>
    <row r="263" spans="17:30" x14ac:dyDescent="0.3">
      <c r="Q263" s="194"/>
      <c r="R263" s="194"/>
      <c r="S263" s="194"/>
      <c r="T263" s="194"/>
      <c r="U263" s="194"/>
      <c r="V263" s="194"/>
      <c r="W263" s="194"/>
      <c r="X263" s="194"/>
      <c r="Y263" s="194"/>
      <c r="Z263" s="194"/>
      <c r="AA263" s="194"/>
      <c r="AB263" s="194"/>
      <c r="AC263" s="194"/>
      <c r="AD263" s="194"/>
    </row>
    <row r="264" spans="17:30" x14ac:dyDescent="0.3">
      <c r="Q264" s="194"/>
      <c r="R264" s="194"/>
      <c r="S264" s="194"/>
      <c r="T264" s="194"/>
      <c r="U264" s="194"/>
      <c r="V264" s="194"/>
      <c r="W264" s="194"/>
      <c r="X264" s="194"/>
      <c r="Y264" s="194"/>
      <c r="Z264" s="194"/>
      <c r="AA264" s="194"/>
      <c r="AB264" s="194"/>
      <c r="AC264" s="194"/>
      <c r="AD264" s="194"/>
    </row>
    <row r="265" spans="17:30" x14ac:dyDescent="0.3">
      <c r="Q265" s="194"/>
      <c r="R265" s="194"/>
      <c r="S265" s="194"/>
      <c r="T265" s="194"/>
      <c r="U265" s="194"/>
      <c r="V265" s="194"/>
      <c r="W265" s="194"/>
      <c r="X265" s="194"/>
      <c r="Y265" s="194"/>
      <c r="Z265" s="194"/>
      <c r="AA265" s="194"/>
      <c r="AB265" s="194"/>
      <c r="AC265" s="194"/>
      <c r="AD265" s="194"/>
    </row>
    <row r="266" spans="17:30" x14ac:dyDescent="0.3">
      <c r="Q266" s="194"/>
      <c r="R266" s="194"/>
      <c r="S266" s="194"/>
      <c r="T266" s="194"/>
      <c r="U266" s="194"/>
      <c r="V266" s="194"/>
      <c r="W266" s="194"/>
      <c r="X266" s="194"/>
      <c r="Y266" s="194"/>
      <c r="Z266" s="194"/>
      <c r="AA266" s="194"/>
      <c r="AB266" s="194"/>
      <c r="AC266" s="194"/>
      <c r="AD266" s="194"/>
    </row>
    <row r="267" spans="17:30" x14ac:dyDescent="0.3">
      <c r="Q267" s="194"/>
      <c r="R267" s="194"/>
      <c r="S267" s="194"/>
      <c r="T267" s="194"/>
      <c r="U267" s="194"/>
      <c r="V267" s="194"/>
      <c r="W267" s="194"/>
      <c r="X267" s="194"/>
      <c r="Y267" s="194"/>
      <c r="Z267" s="194"/>
      <c r="AA267" s="194"/>
      <c r="AB267" s="194"/>
      <c r="AC267" s="194"/>
      <c r="AD267" s="194"/>
    </row>
    <row r="268" spans="17:30" x14ac:dyDescent="0.3">
      <c r="Q268" s="194"/>
      <c r="R268" s="194"/>
      <c r="S268" s="194"/>
      <c r="T268" s="194"/>
      <c r="U268" s="194"/>
      <c r="V268" s="194"/>
      <c r="W268" s="194"/>
      <c r="X268" s="194"/>
      <c r="Y268" s="194"/>
      <c r="Z268" s="194"/>
      <c r="AA268" s="194"/>
      <c r="AB268" s="194"/>
      <c r="AC268" s="194"/>
      <c r="AD268" s="194"/>
    </row>
    <row r="269" spans="17:30" x14ac:dyDescent="0.3">
      <c r="Q269" s="194"/>
      <c r="R269" s="194"/>
      <c r="S269" s="194"/>
      <c r="T269" s="194"/>
      <c r="U269" s="194"/>
      <c r="V269" s="194"/>
      <c r="W269" s="194"/>
      <c r="X269" s="194"/>
      <c r="Y269" s="194"/>
      <c r="Z269" s="194"/>
      <c r="AA269" s="194"/>
      <c r="AB269" s="194"/>
      <c r="AC269" s="194"/>
      <c r="AD269" s="194"/>
    </row>
    <row r="270" spans="17:30" x14ac:dyDescent="0.3">
      <c r="Q270" s="194"/>
      <c r="R270" s="194"/>
      <c r="S270" s="194"/>
      <c r="T270" s="194"/>
      <c r="U270" s="194"/>
      <c r="V270" s="194"/>
      <c r="W270" s="194"/>
      <c r="X270" s="194"/>
      <c r="Y270" s="194"/>
      <c r="Z270" s="194"/>
      <c r="AA270" s="194"/>
      <c r="AB270" s="194"/>
      <c r="AC270" s="194"/>
      <c r="AD270" s="194"/>
    </row>
    <row r="271" spans="17:30" x14ac:dyDescent="0.3">
      <c r="Q271" s="194"/>
      <c r="R271" s="194"/>
      <c r="S271" s="194"/>
      <c r="T271" s="194"/>
      <c r="U271" s="194"/>
      <c r="V271" s="194"/>
      <c r="W271" s="194"/>
      <c r="X271" s="194"/>
      <c r="Y271" s="194"/>
      <c r="Z271" s="194"/>
      <c r="AA271" s="194"/>
      <c r="AB271" s="194"/>
      <c r="AC271" s="194"/>
      <c r="AD271" s="194"/>
    </row>
    <row r="272" spans="17:30" x14ac:dyDescent="0.3">
      <c r="Q272" s="194"/>
      <c r="R272" s="194"/>
      <c r="S272" s="194"/>
      <c r="T272" s="194"/>
      <c r="U272" s="194"/>
      <c r="V272" s="194"/>
      <c r="W272" s="194"/>
      <c r="X272" s="194"/>
      <c r="Y272" s="194"/>
      <c r="Z272" s="194"/>
      <c r="AA272" s="194"/>
      <c r="AB272" s="194"/>
      <c r="AC272" s="194"/>
      <c r="AD272" s="194"/>
    </row>
    <row r="273" spans="17:30" x14ac:dyDescent="0.3">
      <c r="Q273" s="194"/>
      <c r="R273" s="194"/>
      <c r="S273" s="194"/>
      <c r="T273" s="194"/>
      <c r="U273" s="194"/>
      <c r="V273" s="194"/>
      <c r="W273" s="194"/>
      <c r="X273" s="194"/>
      <c r="Y273" s="194"/>
      <c r="Z273" s="194"/>
      <c r="AA273" s="194"/>
      <c r="AB273" s="194"/>
      <c r="AC273" s="194"/>
      <c r="AD273" s="194"/>
    </row>
    <row r="274" spans="17:30" x14ac:dyDescent="0.3">
      <c r="Q274" s="194"/>
      <c r="R274" s="194"/>
      <c r="S274" s="194"/>
      <c r="T274" s="194"/>
      <c r="U274" s="194"/>
      <c r="V274" s="194"/>
      <c r="W274" s="194"/>
      <c r="X274" s="194"/>
      <c r="Y274" s="194"/>
      <c r="Z274" s="194"/>
      <c r="AA274" s="194"/>
      <c r="AB274" s="194"/>
      <c r="AC274" s="194"/>
      <c r="AD274" s="194"/>
    </row>
    <row r="275" spans="17:30" x14ac:dyDescent="0.3">
      <c r="Q275" s="194"/>
      <c r="R275" s="194"/>
      <c r="S275" s="194"/>
      <c r="T275" s="194"/>
      <c r="U275" s="194"/>
      <c r="V275" s="194"/>
      <c r="W275" s="194"/>
      <c r="X275" s="194"/>
      <c r="Y275" s="194"/>
      <c r="Z275" s="194"/>
      <c r="AA275" s="194"/>
      <c r="AB275" s="194"/>
      <c r="AC275" s="194"/>
      <c r="AD275" s="194"/>
    </row>
    <row r="276" spans="17:30" x14ac:dyDescent="0.3">
      <c r="Q276" s="194"/>
      <c r="R276" s="194"/>
      <c r="S276" s="194"/>
      <c r="T276" s="194"/>
      <c r="U276" s="194"/>
      <c r="V276" s="194"/>
      <c r="W276" s="194"/>
      <c r="X276" s="194"/>
      <c r="Y276" s="194"/>
      <c r="Z276" s="194"/>
      <c r="AA276" s="194"/>
      <c r="AB276" s="194"/>
      <c r="AC276" s="194"/>
      <c r="AD276" s="194"/>
    </row>
    <row r="277" spans="17:30" x14ac:dyDescent="0.3">
      <c r="Q277" s="194"/>
      <c r="R277" s="194"/>
      <c r="S277" s="194"/>
      <c r="T277" s="194"/>
      <c r="U277" s="194"/>
      <c r="V277" s="194"/>
      <c r="W277" s="194"/>
      <c r="X277" s="194"/>
      <c r="Y277" s="194"/>
      <c r="Z277" s="194"/>
      <c r="AA277" s="194"/>
      <c r="AB277" s="194"/>
      <c r="AC277" s="194"/>
      <c r="AD277" s="194"/>
    </row>
    <row r="278" spans="17:30" x14ac:dyDescent="0.3">
      <c r="Q278" s="194"/>
      <c r="R278" s="194"/>
      <c r="S278" s="194"/>
      <c r="T278" s="194"/>
      <c r="U278" s="194"/>
      <c r="V278" s="194"/>
      <c r="W278" s="194"/>
      <c r="X278" s="194"/>
      <c r="Y278" s="194"/>
      <c r="Z278" s="194"/>
      <c r="AA278" s="194"/>
      <c r="AB278" s="194"/>
      <c r="AC278" s="194"/>
      <c r="AD278" s="194"/>
    </row>
    <row r="279" spans="17:30" x14ac:dyDescent="0.3">
      <c r="Q279" s="194"/>
      <c r="R279" s="194"/>
      <c r="S279" s="194"/>
      <c r="T279" s="194"/>
      <c r="U279" s="194"/>
      <c r="V279" s="194"/>
      <c r="W279" s="194"/>
      <c r="X279" s="194"/>
      <c r="Y279" s="194"/>
      <c r="Z279" s="194"/>
      <c r="AA279" s="194"/>
      <c r="AB279" s="194"/>
      <c r="AC279" s="194"/>
      <c r="AD279" s="194"/>
    </row>
    <row r="280" spans="17:30" x14ac:dyDescent="0.3">
      <c r="Q280" s="194"/>
      <c r="R280" s="194"/>
      <c r="S280" s="194"/>
      <c r="T280" s="194"/>
      <c r="U280" s="194"/>
      <c r="V280" s="194"/>
      <c r="W280" s="194"/>
      <c r="X280" s="194"/>
      <c r="Y280" s="194"/>
      <c r="Z280" s="194"/>
      <c r="AA280" s="194"/>
      <c r="AB280" s="194"/>
      <c r="AC280" s="194"/>
      <c r="AD280" s="194"/>
    </row>
    <row r="281" spans="17:30" x14ac:dyDescent="0.3">
      <c r="Q281" s="194"/>
      <c r="R281" s="194"/>
      <c r="S281" s="194"/>
      <c r="T281" s="194"/>
      <c r="U281" s="194"/>
      <c r="V281" s="194"/>
      <c r="W281" s="194"/>
      <c r="X281" s="194"/>
      <c r="Y281" s="194"/>
      <c r="Z281" s="194"/>
      <c r="AA281" s="194"/>
      <c r="AB281" s="194"/>
      <c r="AC281" s="194"/>
      <c r="AD281" s="194"/>
    </row>
    <row r="282" spans="17:30" x14ac:dyDescent="0.3">
      <c r="Q282" s="194"/>
      <c r="R282" s="194"/>
      <c r="S282" s="194"/>
      <c r="T282" s="194"/>
      <c r="U282" s="194"/>
      <c r="V282" s="194"/>
      <c r="W282" s="194"/>
      <c r="X282" s="194"/>
      <c r="Y282" s="194"/>
      <c r="Z282" s="194"/>
      <c r="AA282" s="194"/>
      <c r="AB282" s="194"/>
      <c r="AC282" s="194"/>
      <c r="AD282" s="194"/>
    </row>
    <row r="283" spans="17:30" x14ac:dyDescent="0.3">
      <c r="Q283" s="194"/>
      <c r="R283" s="194"/>
      <c r="S283" s="194"/>
      <c r="T283" s="194"/>
      <c r="U283" s="194"/>
      <c r="V283" s="194"/>
      <c r="W283" s="194"/>
      <c r="X283" s="194"/>
      <c r="Y283" s="194"/>
      <c r="Z283" s="194"/>
      <c r="AA283" s="194"/>
      <c r="AB283" s="194"/>
      <c r="AC283" s="194"/>
      <c r="AD283" s="194"/>
    </row>
    <row r="284" spans="17:30" x14ac:dyDescent="0.3">
      <c r="Q284" s="194"/>
      <c r="R284" s="194"/>
      <c r="S284" s="194"/>
      <c r="T284" s="194"/>
      <c r="U284" s="194"/>
      <c r="V284" s="194"/>
      <c r="W284" s="194"/>
      <c r="X284" s="194"/>
      <c r="Y284" s="194"/>
      <c r="Z284" s="194"/>
      <c r="AA284" s="194"/>
      <c r="AB284" s="194"/>
      <c r="AC284" s="194"/>
      <c r="AD284" s="194"/>
    </row>
    <row r="285" spans="17:30" x14ac:dyDescent="0.3">
      <c r="Q285" s="194"/>
      <c r="R285" s="194"/>
      <c r="S285" s="194"/>
      <c r="T285" s="194"/>
      <c r="U285" s="194"/>
      <c r="V285" s="194"/>
      <c r="W285" s="194"/>
      <c r="X285" s="194"/>
      <c r="Y285" s="194"/>
      <c r="Z285" s="194"/>
      <c r="AA285" s="194"/>
      <c r="AB285" s="194"/>
      <c r="AC285" s="194"/>
      <c r="AD285" s="194"/>
    </row>
    <row r="286" spans="17:30" x14ac:dyDescent="0.3">
      <c r="Q286" s="194"/>
      <c r="R286" s="194"/>
      <c r="S286" s="194"/>
      <c r="T286" s="194"/>
      <c r="U286" s="194"/>
      <c r="V286" s="194"/>
      <c r="W286" s="194"/>
      <c r="X286" s="194"/>
      <c r="Y286" s="194"/>
      <c r="Z286" s="194"/>
      <c r="AA286" s="194"/>
      <c r="AB286" s="194"/>
      <c r="AC286" s="194"/>
      <c r="AD286" s="194"/>
    </row>
    <row r="287" spans="17:30" x14ac:dyDescent="0.3">
      <c r="Q287" s="194"/>
      <c r="R287" s="194"/>
      <c r="S287" s="194"/>
      <c r="T287" s="194"/>
      <c r="U287" s="194"/>
      <c r="V287" s="194"/>
      <c r="W287" s="194"/>
      <c r="X287" s="194"/>
      <c r="Y287" s="194"/>
      <c r="Z287" s="194"/>
      <c r="AA287" s="194"/>
      <c r="AB287" s="194"/>
      <c r="AC287" s="194"/>
      <c r="AD287" s="194"/>
    </row>
    <row r="288" spans="17:30" x14ac:dyDescent="0.3">
      <c r="Q288" s="194"/>
      <c r="R288" s="194"/>
      <c r="S288" s="194"/>
      <c r="T288" s="194"/>
      <c r="U288" s="194"/>
      <c r="V288" s="194"/>
      <c r="W288" s="194"/>
      <c r="X288" s="194"/>
      <c r="Y288" s="194"/>
      <c r="Z288" s="194"/>
      <c r="AA288" s="194"/>
      <c r="AB288" s="194"/>
      <c r="AC288" s="194"/>
      <c r="AD288" s="194"/>
    </row>
    <row r="289" spans="17:30" x14ac:dyDescent="0.3">
      <c r="Q289" s="194"/>
      <c r="R289" s="194"/>
      <c r="S289" s="194"/>
      <c r="T289" s="194"/>
      <c r="U289" s="194"/>
      <c r="V289" s="194"/>
      <c r="W289" s="194"/>
      <c r="X289" s="194"/>
      <c r="Y289" s="194"/>
      <c r="Z289" s="194"/>
      <c r="AA289" s="194"/>
      <c r="AB289" s="194"/>
      <c r="AC289" s="194"/>
      <c r="AD289" s="194"/>
    </row>
    <row r="290" spans="17:30" x14ac:dyDescent="0.3">
      <c r="Q290" s="194"/>
      <c r="R290" s="194"/>
      <c r="S290" s="194"/>
      <c r="T290" s="194"/>
      <c r="U290" s="194"/>
      <c r="V290" s="194"/>
      <c r="W290" s="194"/>
      <c r="X290" s="194"/>
      <c r="Y290" s="194"/>
      <c r="Z290" s="194"/>
      <c r="AA290" s="194"/>
      <c r="AB290" s="194"/>
      <c r="AC290" s="194"/>
      <c r="AD290" s="194"/>
    </row>
    <row r="291" spans="17:30" x14ac:dyDescent="0.3">
      <c r="Q291" s="194"/>
      <c r="R291" s="194"/>
      <c r="S291" s="194"/>
      <c r="T291" s="194"/>
      <c r="U291" s="194"/>
      <c r="V291" s="194"/>
      <c r="W291" s="194"/>
      <c r="X291" s="194"/>
      <c r="Y291" s="194"/>
      <c r="Z291" s="194"/>
      <c r="AA291" s="194"/>
      <c r="AB291" s="194"/>
      <c r="AC291" s="194"/>
      <c r="AD291" s="194"/>
    </row>
    <row r="292" spans="17:30" x14ac:dyDescent="0.3">
      <c r="Q292" s="194"/>
      <c r="R292" s="194"/>
      <c r="S292" s="194"/>
      <c r="T292" s="194"/>
      <c r="U292" s="194"/>
      <c r="V292" s="194"/>
      <c r="W292" s="194"/>
      <c r="X292" s="194"/>
      <c r="Y292" s="194"/>
      <c r="Z292" s="194"/>
      <c r="AA292" s="194"/>
      <c r="AB292" s="194"/>
      <c r="AC292" s="194"/>
      <c r="AD292" s="194"/>
    </row>
    <row r="293" spans="17:30" x14ac:dyDescent="0.3">
      <c r="Q293" s="194"/>
      <c r="R293" s="194"/>
      <c r="S293" s="194"/>
      <c r="T293" s="194"/>
      <c r="U293" s="194"/>
      <c r="V293" s="194"/>
      <c r="W293" s="194"/>
      <c r="X293" s="194"/>
      <c r="Y293" s="194"/>
      <c r="Z293" s="194"/>
      <c r="AA293" s="194"/>
      <c r="AB293" s="194"/>
      <c r="AC293" s="194"/>
      <c r="AD293" s="194"/>
    </row>
    <row r="294" spans="17:30" x14ac:dyDescent="0.3">
      <c r="Q294" s="194"/>
      <c r="R294" s="194"/>
      <c r="S294" s="194"/>
      <c r="T294" s="194"/>
      <c r="U294" s="194"/>
      <c r="V294" s="194"/>
      <c r="W294" s="194"/>
      <c r="X294" s="194"/>
      <c r="Y294" s="194"/>
      <c r="Z294" s="194"/>
      <c r="AA294" s="194"/>
      <c r="AB294" s="194"/>
      <c r="AC294" s="194"/>
      <c r="AD294" s="194"/>
    </row>
    <row r="295" spans="17:30" x14ac:dyDescent="0.3">
      <c r="Q295" s="194"/>
      <c r="R295" s="194"/>
      <c r="S295" s="194"/>
      <c r="T295" s="194"/>
      <c r="U295" s="194"/>
      <c r="V295" s="194"/>
      <c r="W295" s="194"/>
      <c r="X295" s="194"/>
      <c r="Y295" s="194"/>
      <c r="Z295" s="194"/>
      <c r="AA295" s="194"/>
      <c r="AB295" s="194"/>
      <c r="AC295" s="194"/>
      <c r="AD295" s="194"/>
    </row>
    <row r="296" spans="17:30" x14ac:dyDescent="0.3">
      <c r="Q296" s="194"/>
      <c r="R296" s="194"/>
      <c r="S296" s="194"/>
      <c r="T296" s="194"/>
      <c r="U296" s="194"/>
      <c r="V296" s="194"/>
      <c r="W296" s="194"/>
      <c r="X296" s="194"/>
      <c r="Y296" s="194"/>
      <c r="Z296" s="194"/>
      <c r="AA296" s="194"/>
      <c r="AB296" s="194"/>
      <c r="AC296" s="194"/>
      <c r="AD296" s="194"/>
    </row>
    <row r="297" spans="17:30" x14ac:dyDescent="0.3">
      <c r="Q297" s="194"/>
      <c r="R297" s="194"/>
      <c r="S297" s="194"/>
      <c r="T297" s="194"/>
      <c r="U297" s="194"/>
      <c r="V297" s="194"/>
      <c r="W297" s="194"/>
      <c r="X297" s="194"/>
      <c r="Y297" s="194"/>
      <c r="Z297" s="194"/>
      <c r="AA297" s="194"/>
      <c r="AB297" s="194"/>
      <c r="AC297" s="194"/>
      <c r="AD297" s="194"/>
    </row>
    <row r="298" spans="17:30" x14ac:dyDescent="0.3">
      <c r="Q298" s="194"/>
      <c r="R298" s="194"/>
      <c r="S298" s="194"/>
      <c r="T298" s="194"/>
      <c r="U298" s="194"/>
      <c r="V298" s="194"/>
      <c r="W298" s="194"/>
      <c r="X298" s="194"/>
      <c r="Y298" s="194"/>
      <c r="Z298" s="194"/>
      <c r="AA298" s="194"/>
      <c r="AB298" s="194"/>
      <c r="AC298" s="194"/>
      <c r="AD298" s="194"/>
    </row>
    <row r="299" spans="17:30" x14ac:dyDescent="0.3">
      <c r="Q299" s="194"/>
      <c r="R299" s="194"/>
      <c r="S299" s="194"/>
      <c r="T299" s="194"/>
      <c r="U299" s="194"/>
      <c r="V299" s="194"/>
      <c r="W299" s="194"/>
      <c r="X299" s="194"/>
      <c r="Y299" s="194"/>
      <c r="Z299" s="194"/>
      <c r="AA299" s="194"/>
      <c r="AB299" s="194"/>
      <c r="AC299" s="194"/>
      <c r="AD299" s="194"/>
    </row>
    <row r="300" spans="17:30" x14ac:dyDescent="0.3">
      <c r="Q300" s="194"/>
      <c r="R300" s="194"/>
      <c r="S300" s="194"/>
      <c r="T300" s="194"/>
      <c r="U300" s="194"/>
      <c r="V300" s="194"/>
      <c r="W300" s="194"/>
      <c r="X300" s="194"/>
      <c r="Y300" s="194"/>
      <c r="Z300" s="194"/>
      <c r="AA300" s="194"/>
      <c r="AB300" s="194"/>
      <c r="AC300" s="194"/>
      <c r="AD300" s="194"/>
    </row>
    <row r="301" spans="17:30" x14ac:dyDescent="0.3">
      <c r="Q301" s="194"/>
      <c r="R301" s="194"/>
      <c r="S301" s="194"/>
      <c r="T301" s="194"/>
      <c r="U301" s="194"/>
      <c r="V301" s="194"/>
      <c r="W301" s="194"/>
      <c r="X301" s="194"/>
      <c r="Y301" s="194"/>
      <c r="Z301" s="194"/>
      <c r="AA301" s="194"/>
      <c r="AB301" s="194"/>
      <c r="AC301" s="194"/>
      <c r="AD301" s="194"/>
    </row>
    <row r="302" spans="17:30" x14ac:dyDescent="0.3">
      <c r="Q302" s="194"/>
      <c r="R302" s="194"/>
      <c r="S302" s="194"/>
      <c r="T302" s="194"/>
      <c r="U302" s="194"/>
      <c r="V302" s="194"/>
      <c r="W302" s="194"/>
      <c r="X302" s="194"/>
      <c r="Y302" s="194"/>
      <c r="Z302" s="194"/>
      <c r="AA302" s="194"/>
      <c r="AB302" s="194"/>
      <c r="AC302" s="194"/>
      <c r="AD302" s="194"/>
    </row>
    <row r="303" spans="17:30" x14ac:dyDescent="0.3">
      <c r="Q303" s="194"/>
      <c r="R303" s="194"/>
      <c r="S303" s="194"/>
      <c r="T303" s="194"/>
      <c r="U303" s="194"/>
      <c r="V303" s="194"/>
      <c r="W303" s="194"/>
      <c r="X303" s="194"/>
      <c r="Y303" s="194"/>
      <c r="Z303" s="194"/>
      <c r="AA303" s="194"/>
      <c r="AB303" s="194"/>
      <c r="AC303" s="194"/>
      <c r="AD303" s="194"/>
    </row>
  </sheetData>
  <mergeCells count="82">
    <mergeCell ref="C32:C33"/>
    <mergeCell ref="L15:Q15"/>
    <mergeCell ref="K7:L9"/>
    <mergeCell ref="M7:N7"/>
    <mergeCell ref="A25:B25"/>
    <mergeCell ref="A27:AD27"/>
    <mergeCell ref="AA15:AD15"/>
    <mergeCell ref="R17:V17"/>
    <mergeCell ref="W17:X17"/>
    <mergeCell ref="Y17:AB17"/>
    <mergeCell ref="A19:AD19"/>
    <mergeCell ref="C20:P20"/>
    <mergeCell ref="A22:B22"/>
    <mergeCell ref="A23:B23"/>
    <mergeCell ref="A24:B24"/>
    <mergeCell ref="AC17:AD17"/>
    <mergeCell ref="Q38:AD39"/>
    <mergeCell ref="W33:Z33"/>
    <mergeCell ref="AA34:AD35"/>
    <mergeCell ref="Q34:S35"/>
    <mergeCell ref="T34:V35"/>
    <mergeCell ref="W34:Z35"/>
    <mergeCell ref="Q36:AD36"/>
    <mergeCell ref="Q37:AD37"/>
    <mergeCell ref="A36:A37"/>
    <mergeCell ref="B36:B37"/>
    <mergeCell ref="C36:P36"/>
    <mergeCell ref="A38:A39"/>
    <mergeCell ref="B38:B39"/>
    <mergeCell ref="A15:B15"/>
    <mergeCell ref="C16:AB16"/>
    <mergeCell ref="Q28:AD29"/>
    <mergeCell ref="R15:X15"/>
    <mergeCell ref="Y15:Z15"/>
    <mergeCell ref="Q20:AD20"/>
    <mergeCell ref="C15:K15"/>
    <mergeCell ref="A17:B17"/>
    <mergeCell ref="C17:Q17"/>
    <mergeCell ref="A61:A62"/>
    <mergeCell ref="B61:B62"/>
    <mergeCell ref="A55:A56"/>
    <mergeCell ref="B55:B56"/>
    <mergeCell ref="C55:P55"/>
    <mergeCell ref="A57:A58"/>
    <mergeCell ref="B57:B58"/>
    <mergeCell ref="A59:A60"/>
    <mergeCell ref="B59:B60"/>
    <mergeCell ref="A34:A35"/>
    <mergeCell ref="A28:A29"/>
    <mergeCell ref="B28:C29"/>
    <mergeCell ref="D28:O28"/>
    <mergeCell ref="P28:P29"/>
    <mergeCell ref="A32:A33"/>
    <mergeCell ref="A31:AD31"/>
    <mergeCell ref="D32:P32"/>
    <mergeCell ref="Q32:AD32"/>
    <mergeCell ref="Q33:S33"/>
    <mergeCell ref="T33:V33"/>
    <mergeCell ref="AA33:AD33"/>
    <mergeCell ref="B30:C30"/>
    <mergeCell ref="Q30:AD30"/>
    <mergeCell ref="B34:B35"/>
    <mergeCell ref="B32:B33"/>
    <mergeCell ref="AB4:AD4"/>
    <mergeCell ref="B3:AA4"/>
    <mergeCell ref="AB3:AD3"/>
    <mergeCell ref="A1:A4"/>
    <mergeCell ref="B1:AA1"/>
    <mergeCell ref="AB1:AD1"/>
    <mergeCell ref="B2:AA2"/>
    <mergeCell ref="AB2:AD2"/>
    <mergeCell ref="C11:AD13"/>
    <mergeCell ref="A7:B9"/>
    <mergeCell ref="C7:C9"/>
    <mergeCell ref="D7:H9"/>
    <mergeCell ref="I7:J9"/>
    <mergeCell ref="O7:P7"/>
    <mergeCell ref="M8:N8"/>
    <mergeCell ref="O8:P8"/>
    <mergeCell ref="M9:N9"/>
    <mergeCell ref="O9:P9"/>
    <mergeCell ref="A11:B13"/>
  </mergeCells>
  <phoneticPr fontId="66" type="noConversion"/>
  <dataValidations count="4">
    <dataValidation type="textLength" operator="lessThanOrEqual" allowBlank="1" showInputMessage="1" showErrorMessage="1" errorTitle="Máximo 2.000 caracteres" error="Máximo 2.000 caracteres" sqref="Q34" xr:uid="{00000000-0002-0000-0500-000000000000}">
      <formula1>2000</formula1>
    </dataValidation>
    <dataValidation type="textLength" operator="lessThanOrEqual" allowBlank="1" showInputMessage="1" showErrorMessage="1" errorTitle="Máximo 2.000 caracteres" error="Máximo 2.000 caracteres" promptTitle="2.000 caracteres" sqref="Q30:AD30" xr:uid="{00000000-0002-0000-0500-000001000000}">
      <formula1>2000</formula1>
    </dataValidation>
    <dataValidation type="list" allowBlank="1" showInputMessage="1" showErrorMessage="1" sqref="C7:C9" xr:uid="{00000000-0002-0000-0500-000002000000}">
      <formula1>$C$21:$N$21</formula1>
    </dataValidation>
    <dataValidation type="textLength" operator="lessThanOrEqual" allowBlank="1" showInputMessage="1" showErrorMessage="1" errorTitle="Máximo 2.000 caracteres" error="Máximo 2.000 caracteres" sqref="Q38:AD39" xr:uid="{00000000-0002-0000-0500-000003000000}">
      <formula1>20000</formula1>
    </dataValidation>
  </dataValidations>
  <printOptions horizontalCentered="1"/>
  <pageMargins left="0.39370078740157483" right="0.39370078740157483" top="0.39370078740157483" bottom="0.39370078740157483" header="0" footer="0"/>
  <pageSetup paperSize="9" scale="23" orientation="landscape" r:id="rId1"/>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7" tint="0.39997558519241921"/>
  </sheetPr>
  <dimension ref="A1:AO303"/>
  <sheetViews>
    <sheetView showGridLines="0" view="pageBreakPreview" topLeftCell="L24" zoomScale="60" zoomScaleNormal="60" workbookViewId="0">
      <selection activeCell="Z25" sqref="Z25"/>
    </sheetView>
  </sheetViews>
  <sheetFormatPr baseColWidth="10" defaultColWidth="10.6640625" defaultRowHeight="14.4" x14ac:dyDescent="0.3"/>
  <cols>
    <col min="1" max="1" width="38.44140625" style="50" customWidth="1"/>
    <col min="2" max="2" width="15.44140625" style="50" customWidth="1"/>
    <col min="3" max="14" width="20.6640625" style="50" customWidth="1"/>
    <col min="15" max="15" width="16.109375" style="50" customWidth="1"/>
    <col min="16" max="16" width="18.109375" style="50" customWidth="1"/>
    <col min="17" max="17" width="20.33203125" style="50" customWidth="1"/>
    <col min="18" max="27" width="18.109375" style="50" customWidth="1"/>
    <col min="28" max="28" width="22.6640625" style="50" customWidth="1"/>
    <col min="29" max="29" width="19" style="50" customWidth="1"/>
    <col min="30" max="30" width="19.44140625" style="50" customWidth="1"/>
    <col min="31" max="31" width="6.33203125" style="50" bestFit="1" customWidth="1"/>
    <col min="32" max="32" width="22.6640625" style="50" customWidth="1"/>
    <col min="33" max="33" width="18.44140625" style="50" bestFit="1" customWidth="1"/>
    <col min="34" max="34" width="8.44140625" style="50" customWidth="1"/>
    <col min="35" max="35" width="18.44140625" style="50" bestFit="1" customWidth="1"/>
    <col min="36" max="36" width="5.6640625" style="50" customWidth="1"/>
    <col min="37" max="37" width="18.44140625" style="50" bestFit="1" customWidth="1"/>
    <col min="38" max="38" width="4.6640625" style="50" customWidth="1"/>
    <col min="39" max="39" width="23" style="50" bestFit="1" customWidth="1"/>
    <col min="40" max="40" width="10.6640625" style="50"/>
    <col min="41" max="41" width="18.44140625" style="50" bestFit="1" customWidth="1"/>
    <col min="42" max="42" width="16.109375" style="50" customWidth="1"/>
    <col min="43" max="16384" width="10.6640625" style="50"/>
  </cols>
  <sheetData>
    <row r="1" spans="1:33" ht="32.25" customHeight="1" thickBot="1" x14ac:dyDescent="0.35">
      <c r="A1" s="503"/>
      <c r="B1" s="506" t="s">
        <v>0</v>
      </c>
      <c r="C1" s="507"/>
      <c r="D1" s="507"/>
      <c r="E1" s="507"/>
      <c r="F1" s="507"/>
      <c r="G1" s="507"/>
      <c r="H1" s="507"/>
      <c r="I1" s="507"/>
      <c r="J1" s="507"/>
      <c r="K1" s="507"/>
      <c r="L1" s="507"/>
      <c r="M1" s="507"/>
      <c r="N1" s="507"/>
      <c r="O1" s="507"/>
      <c r="P1" s="507"/>
      <c r="Q1" s="507"/>
      <c r="R1" s="507"/>
      <c r="S1" s="507"/>
      <c r="T1" s="507"/>
      <c r="U1" s="507"/>
      <c r="V1" s="507"/>
      <c r="W1" s="507"/>
      <c r="X1" s="507"/>
      <c r="Y1" s="507"/>
      <c r="Z1" s="507"/>
      <c r="AA1" s="508"/>
      <c r="AB1" s="509" t="s">
        <v>1</v>
      </c>
      <c r="AC1" s="510"/>
      <c r="AD1" s="511"/>
    </row>
    <row r="2" spans="1:33" ht="30.75" customHeight="1" thickBot="1" x14ac:dyDescent="0.35">
      <c r="A2" s="504"/>
      <c r="B2" s="506" t="s">
        <v>2</v>
      </c>
      <c r="C2" s="507"/>
      <c r="D2" s="507"/>
      <c r="E2" s="507"/>
      <c r="F2" s="507"/>
      <c r="G2" s="507"/>
      <c r="H2" s="507"/>
      <c r="I2" s="507"/>
      <c r="J2" s="507"/>
      <c r="K2" s="507"/>
      <c r="L2" s="507"/>
      <c r="M2" s="507"/>
      <c r="N2" s="507"/>
      <c r="O2" s="507"/>
      <c r="P2" s="507"/>
      <c r="Q2" s="507"/>
      <c r="R2" s="507"/>
      <c r="S2" s="507"/>
      <c r="T2" s="507"/>
      <c r="U2" s="507"/>
      <c r="V2" s="507"/>
      <c r="W2" s="507"/>
      <c r="X2" s="507"/>
      <c r="Y2" s="507"/>
      <c r="Z2" s="507"/>
      <c r="AA2" s="508"/>
      <c r="AB2" s="512" t="s">
        <v>3</v>
      </c>
      <c r="AC2" s="513"/>
      <c r="AD2" s="514"/>
    </row>
    <row r="3" spans="1:33" ht="24" customHeight="1" x14ac:dyDescent="0.3">
      <c r="A3" s="504"/>
      <c r="B3" s="764" t="s">
        <v>4</v>
      </c>
      <c r="C3" s="460"/>
      <c r="D3" s="460"/>
      <c r="E3" s="460"/>
      <c r="F3" s="460"/>
      <c r="G3" s="460"/>
      <c r="H3" s="460"/>
      <c r="I3" s="460"/>
      <c r="J3" s="460"/>
      <c r="K3" s="460"/>
      <c r="L3" s="460"/>
      <c r="M3" s="460"/>
      <c r="N3" s="460"/>
      <c r="O3" s="460"/>
      <c r="P3" s="460"/>
      <c r="Q3" s="460"/>
      <c r="R3" s="460"/>
      <c r="S3" s="460"/>
      <c r="T3" s="460"/>
      <c r="U3" s="460"/>
      <c r="V3" s="460"/>
      <c r="W3" s="460"/>
      <c r="X3" s="460"/>
      <c r="Y3" s="460"/>
      <c r="Z3" s="460"/>
      <c r="AA3" s="461"/>
      <c r="AB3" s="512" t="s">
        <v>5</v>
      </c>
      <c r="AC3" s="513"/>
      <c r="AD3" s="514"/>
    </row>
    <row r="4" spans="1:33" ht="21.75" customHeight="1" thickBot="1" x14ac:dyDescent="0.35">
      <c r="A4" s="505"/>
      <c r="B4" s="765"/>
      <c r="C4" s="766"/>
      <c r="D4" s="766"/>
      <c r="E4" s="766"/>
      <c r="F4" s="766"/>
      <c r="G4" s="766"/>
      <c r="H4" s="766"/>
      <c r="I4" s="766"/>
      <c r="J4" s="766"/>
      <c r="K4" s="766"/>
      <c r="L4" s="766"/>
      <c r="M4" s="766"/>
      <c r="N4" s="766"/>
      <c r="O4" s="766"/>
      <c r="P4" s="766"/>
      <c r="Q4" s="766"/>
      <c r="R4" s="766"/>
      <c r="S4" s="766"/>
      <c r="T4" s="766"/>
      <c r="U4" s="766"/>
      <c r="V4" s="766"/>
      <c r="W4" s="766"/>
      <c r="X4" s="766"/>
      <c r="Y4" s="766"/>
      <c r="Z4" s="766"/>
      <c r="AA4" s="767"/>
      <c r="AB4" s="524" t="s">
        <v>6</v>
      </c>
      <c r="AC4" s="525"/>
      <c r="AD4" s="526"/>
    </row>
    <row r="5" spans="1:33" ht="9" customHeight="1" thickBot="1" x14ac:dyDescent="0.35">
      <c r="A5" s="239"/>
      <c r="B5" s="240"/>
      <c r="C5" s="241"/>
      <c r="D5" s="242"/>
      <c r="E5" s="242"/>
      <c r="F5" s="242"/>
      <c r="G5" s="242"/>
      <c r="H5" s="242"/>
      <c r="I5" s="242"/>
      <c r="J5" s="242"/>
      <c r="K5" s="242"/>
      <c r="L5" s="242"/>
      <c r="M5" s="242"/>
      <c r="N5" s="242"/>
      <c r="O5" s="242"/>
      <c r="P5" s="242"/>
      <c r="Q5" s="242"/>
      <c r="R5" s="242"/>
      <c r="S5" s="242"/>
      <c r="T5" s="242"/>
      <c r="U5" s="242"/>
      <c r="V5" s="242"/>
      <c r="W5" s="242"/>
      <c r="X5" s="242"/>
      <c r="Y5" s="242"/>
      <c r="Z5" s="243"/>
      <c r="AA5" s="242"/>
      <c r="AB5" s="244"/>
      <c r="AC5" s="245"/>
      <c r="AD5" s="246"/>
    </row>
    <row r="6" spans="1:33" ht="9" customHeight="1" thickBot="1" x14ac:dyDescent="0.35">
      <c r="A6" s="247"/>
      <c r="B6" s="242"/>
      <c r="C6" s="242"/>
      <c r="D6" s="242"/>
      <c r="E6" s="242"/>
      <c r="F6" s="242"/>
      <c r="G6" s="242"/>
      <c r="H6" s="242"/>
      <c r="I6" s="242"/>
      <c r="J6" s="242"/>
      <c r="K6" s="242"/>
      <c r="L6" s="242"/>
      <c r="M6" s="242"/>
      <c r="N6" s="242"/>
      <c r="O6" s="242"/>
      <c r="P6" s="242"/>
      <c r="Q6" s="242"/>
      <c r="R6" s="242"/>
      <c r="S6" s="242"/>
      <c r="T6" s="242"/>
      <c r="U6" s="242"/>
      <c r="V6" s="242"/>
      <c r="W6" s="242"/>
      <c r="X6" s="242"/>
      <c r="Y6" s="242"/>
      <c r="Z6" s="243"/>
      <c r="AA6" s="242"/>
      <c r="AB6" s="242"/>
      <c r="AC6" s="248"/>
      <c r="AD6" s="249"/>
    </row>
    <row r="7" spans="1:33" ht="15.6" x14ac:dyDescent="0.3">
      <c r="A7" s="467" t="s">
        <v>7</v>
      </c>
      <c r="B7" s="468"/>
      <c r="C7" s="473" t="s">
        <v>38</v>
      </c>
      <c r="D7" s="527" t="s">
        <v>9</v>
      </c>
      <c r="E7" s="528"/>
      <c r="F7" s="528"/>
      <c r="G7" s="528"/>
      <c r="H7" s="529"/>
      <c r="I7" s="536">
        <v>45232</v>
      </c>
      <c r="J7" s="537"/>
      <c r="K7" s="527" t="s">
        <v>10</v>
      </c>
      <c r="L7" s="529"/>
      <c r="M7" s="465" t="s">
        <v>11</v>
      </c>
      <c r="N7" s="466"/>
      <c r="O7" s="768"/>
      <c r="P7" s="769"/>
      <c r="Q7" s="250"/>
      <c r="R7" s="250"/>
      <c r="S7" s="250"/>
      <c r="T7" s="250"/>
      <c r="U7" s="250"/>
      <c r="V7" s="250"/>
      <c r="W7" s="250"/>
      <c r="X7" s="250"/>
      <c r="Y7" s="250"/>
      <c r="Z7" s="251"/>
      <c r="AA7" s="250"/>
      <c r="AB7" s="250"/>
      <c r="AC7" s="252"/>
      <c r="AD7" s="253"/>
      <c r="AE7" s="194"/>
      <c r="AF7" s="194"/>
      <c r="AG7" s="194"/>
    </row>
    <row r="8" spans="1:33" ht="15.6" x14ac:dyDescent="0.3">
      <c r="A8" s="469"/>
      <c r="B8" s="470"/>
      <c r="C8" s="474"/>
      <c r="D8" s="530"/>
      <c r="E8" s="531"/>
      <c r="F8" s="531"/>
      <c r="G8" s="531"/>
      <c r="H8" s="532"/>
      <c r="I8" s="538"/>
      <c r="J8" s="539"/>
      <c r="K8" s="530"/>
      <c r="L8" s="532"/>
      <c r="M8" s="544" t="s">
        <v>12</v>
      </c>
      <c r="N8" s="545"/>
      <c r="O8" s="463"/>
      <c r="P8" s="464"/>
      <c r="Q8" s="250"/>
      <c r="R8" s="250"/>
      <c r="S8" s="250"/>
      <c r="T8" s="250"/>
      <c r="U8" s="250"/>
      <c r="V8" s="250"/>
      <c r="W8" s="250"/>
      <c r="X8" s="250"/>
      <c r="Y8" s="250"/>
      <c r="Z8" s="251"/>
      <c r="AA8" s="250"/>
      <c r="AB8" s="250"/>
      <c r="AC8" s="252"/>
      <c r="AD8" s="253"/>
      <c r="AE8" s="194"/>
      <c r="AF8" s="194"/>
      <c r="AG8" s="194"/>
    </row>
    <row r="9" spans="1:33" ht="16.2" thickBot="1" x14ac:dyDescent="0.35">
      <c r="A9" s="471"/>
      <c r="B9" s="472"/>
      <c r="C9" s="475"/>
      <c r="D9" s="533"/>
      <c r="E9" s="534"/>
      <c r="F9" s="534"/>
      <c r="G9" s="534"/>
      <c r="H9" s="535"/>
      <c r="I9" s="540"/>
      <c r="J9" s="541"/>
      <c r="K9" s="533"/>
      <c r="L9" s="535"/>
      <c r="M9" s="484" t="s">
        <v>13</v>
      </c>
      <c r="N9" s="485"/>
      <c r="O9" s="486" t="s">
        <v>14</v>
      </c>
      <c r="P9" s="487"/>
      <c r="Q9" s="250"/>
      <c r="R9" s="250"/>
      <c r="S9" s="250"/>
      <c r="T9" s="250"/>
      <c r="U9" s="250"/>
      <c r="V9" s="250"/>
      <c r="W9" s="250"/>
      <c r="X9" s="250"/>
      <c r="Y9" s="250"/>
      <c r="Z9" s="251"/>
      <c r="AA9" s="250"/>
      <c r="AB9" s="250"/>
      <c r="AC9" s="252"/>
      <c r="AD9" s="253"/>
      <c r="AE9" s="194"/>
      <c r="AF9" s="194"/>
      <c r="AG9" s="194"/>
    </row>
    <row r="10" spans="1:33" ht="15" customHeight="1" thickBot="1" x14ac:dyDescent="0.35">
      <c r="A10" s="254"/>
      <c r="B10" s="255"/>
      <c r="C10" s="255"/>
      <c r="D10" s="256"/>
      <c r="E10" s="256"/>
      <c r="F10" s="256"/>
      <c r="G10" s="256"/>
      <c r="H10" s="256"/>
      <c r="I10" s="257"/>
      <c r="J10" s="257"/>
      <c r="K10" s="256"/>
      <c r="L10" s="256"/>
      <c r="M10" s="258"/>
      <c r="N10" s="258"/>
      <c r="O10" s="259"/>
      <c r="P10" s="259"/>
      <c r="Q10" s="255"/>
      <c r="R10" s="255"/>
      <c r="S10" s="255"/>
      <c r="T10" s="255"/>
      <c r="U10" s="255"/>
      <c r="V10" s="255"/>
      <c r="W10" s="255"/>
      <c r="X10" s="255"/>
      <c r="Y10" s="255"/>
      <c r="Z10" s="260"/>
      <c r="AA10" s="255"/>
      <c r="AB10" s="255"/>
      <c r="AC10" s="261"/>
      <c r="AD10" s="262"/>
    </row>
    <row r="11" spans="1:33" ht="15" customHeight="1" x14ac:dyDescent="0.3">
      <c r="A11" s="467" t="s">
        <v>15</v>
      </c>
      <c r="B11" s="468"/>
      <c r="C11" s="488" t="s">
        <v>16</v>
      </c>
      <c r="D11" s="489"/>
      <c r="E11" s="489"/>
      <c r="F11" s="489"/>
      <c r="G11" s="489"/>
      <c r="H11" s="489"/>
      <c r="I11" s="489"/>
      <c r="J11" s="489"/>
      <c r="K11" s="489"/>
      <c r="L11" s="489"/>
      <c r="M11" s="489"/>
      <c r="N11" s="489"/>
      <c r="O11" s="489"/>
      <c r="P11" s="489"/>
      <c r="Q11" s="489"/>
      <c r="R11" s="489"/>
      <c r="S11" s="489"/>
      <c r="T11" s="489"/>
      <c r="U11" s="489"/>
      <c r="V11" s="489"/>
      <c r="W11" s="489"/>
      <c r="X11" s="489"/>
      <c r="Y11" s="489"/>
      <c r="Z11" s="489"/>
      <c r="AA11" s="489"/>
      <c r="AB11" s="489"/>
      <c r="AC11" s="489"/>
      <c r="AD11" s="490"/>
    </row>
    <row r="12" spans="1:33" ht="15" customHeight="1" x14ac:dyDescent="0.3">
      <c r="A12" s="469"/>
      <c r="B12" s="470"/>
      <c r="C12" s="491"/>
      <c r="D12" s="492"/>
      <c r="E12" s="492"/>
      <c r="F12" s="492"/>
      <c r="G12" s="492"/>
      <c r="H12" s="492"/>
      <c r="I12" s="492"/>
      <c r="J12" s="492"/>
      <c r="K12" s="492"/>
      <c r="L12" s="492"/>
      <c r="M12" s="492"/>
      <c r="N12" s="492"/>
      <c r="O12" s="492"/>
      <c r="P12" s="492"/>
      <c r="Q12" s="492"/>
      <c r="R12" s="492"/>
      <c r="S12" s="492"/>
      <c r="T12" s="492"/>
      <c r="U12" s="492"/>
      <c r="V12" s="492"/>
      <c r="W12" s="492"/>
      <c r="X12" s="492"/>
      <c r="Y12" s="492"/>
      <c r="Z12" s="492"/>
      <c r="AA12" s="492"/>
      <c r="AB12" s="492"/>
      <c r="AC12" s="492"/>
      <c r="AD12" s="493"/>
    </row>
    <row r="13" spans="1:33" ht="15" customHeight="1" thickBot="1" x14ac:dyDescent="0.35">
      <c r="A13" s="471"/>
      <c r="B13" s="472"/>
      <c r="C13" s="494"/>
      <c r="D13" s="495"/>
      <c r="E13" s="495"/>
      <c r="F13" s="495"/>
      <c r="G13" s="495"/>
      <c r="H13" s="495"/>
      <c r="I13" s="495"/>
      <c r="J13" s="495"/>
      <c r="K13" s="495"/>
      <c r="L13" s="495"/>
      <c r="M13" s="495"/>
      <c r="N13" s="495"/>
      <c r="O13" s="495"/>
      <c r="P13" s="495"/>
      <c r="Q13" s="495"/>
      <c r="R13" s="495"/>
      <c r="S13" s="495"/>
      <c r="T13" s="495"/>
      <c r="U13" s="495"/>
      <c r="V13" s="495"/>
      <c r="W13" s="495"/>
      <c r="X13" s="495"/>
      <c r="Y13" s="495"/>
      <c r="Z13" s="495"/>
      <c r="AA13" s="495"/>
      <c r="AB13" s="495"/>
      <c r="AC13" s="495"/>
      <c r="AD13" s="496"/>
    </row>
    <row r="14" spans="1:33" ht="9" customHeight="1" thickBot="1" x14ac:dyDescent="0.35">
      <c r="A14" s="263"/>
      <c r="B14" s="264"/>
      <c r="C14" s="265"/>
      <c r="D14" s="265"/>
      <c r="E14" s="265"/>
      <c r="F14" s="265"/>
      <c r="G14" s="265"/>
      <c r="H14" s="265"/>
      <c r="I14" s="265"/>
      <c r="J14" s="265"/>
      <c r="K14" s="265"/>
      <c r="L14" s="265"/>
      <c r="M14" s="266"/>
      <c r="N14" s="266"/>
      <c r="O14" s="266"/>
      <c r="P14" s="266"/>
      <c r="Q14" s="266"/>
      <c r="R14" s="267"/>
      <c r="S14" s="267"/>
      <c r="T14" s="267"/>
      <c r="U14" s="267"/>
      <c r="V14" s="267"/>
      <c r="W14" s="267"/>
      <c r="X14" s="267"/>
      <c r="Y14" s="256"/>
      <c r="Z14" s="256"/>
      <c r="AA14" s="256"/>
      <c r="AB14" s="256"/>
      <c r="AC14" s="256"/>
      <c r="AD14" s="268"/>
    </row>
    <row r="15" spans="1:33" ht="43.35" customHeight="1" thickBot="1" x14ac:dyDescent="0.35">
      <c r="A15" s="449" t="s">
        <v>17</v>
      </c>
      <c r="B15" s="450"/>
      <c r="C15" s="515" t="s">
        <v>18</v>
      </c>
      <c r="D15" s="516"/>
      <c r="E15" s="516"/>
      <c r="F15" s="516"/>
      <c r="G15" s="516"/>
      <c r="H15" s="516"/>
      <c r="I15" s="516"/>
      <c r="J15" s="516"/>
      <c r="K15" s="517"/>
      <c r="L15" s="479" t="s">
        <v>19</v>
      </c>
      <c r="M15" s="483"/>
      <c r="N15" s="483"/>
      <c r="O15" s="483"/>
      <c r="P15" s="483"/>
      <c r="Q15" s="480"/>
      <c r="R15" s="476" t="s">
        <v>20</v>
      </c>
      <c r="S15" s="477"/>
      <c r="T15" s="477"/>
      <c r="U15" s="477"/>
      <c r="V15" s="477"/>
      <c r="W15" s="477"/>
      <c r="X15" s="478"/>
      <c r="Y15" s="479" t="s">
        <v>21</v>
      </c>
      <c r="Z15" s="480"/>
      <c r="AA15" s="437" t="s">
        <v>22</v>
      </c>
      <c r="AB15" s="438"/>
      <c r="AC15" s="438"/>
      <c r="AD15" s="439"/>
    </row>
    <row r="16" spans="1:33" ht="9" customHeight="1" thickBot="1" x14ac:dyDescent="0.35">
      <c r="A16" s="247"/>
      <c r="B16" s="242"/>
      <c r="C16" s="448"/>
      <c r="D16" s="448"/>
      <c r="E16" s="448"/>
      <c r="F16" s="448"/>
      <c r="G16" s="448"/>
      <c r="H16" s="448"/>
      <c r="I16" s="448"/>
      <c r="J16" s="448"/>
      <c r="K16" s="448"/>
      <c r="L16" s="448"/>
      <c r="M16" s="448"/>
      <c r="N16" s="448"/>
      <c r="O16" s="448"/>
      <c r="P16" s="448"/>
      <c r="Q16" s="448"/>
      <c r="R16" s="448"/>
      <c r="S16" s="448"/>
      <c r="T16" s="448"/>
      <c r="U16" s="448"/>
      <c r="V16" s="448"/>
      <c r="W16" s="448"/>
      <c r="X16" s="448"/>
      <c r="Y16" s="448"/>
      <c r="Z16" s="448"/>
      <c r="AA16" s="448"/>
      <c r="AB16" s="448"/>
      <c r="AC16" s="269"/>
      <c r="AD16" s="270"/>
    </row>
    <row r="17" spans="1:41" s="76" customFormat="1" ht="37.5" customHeight="1" thickBot="1" x14ac:dyDescent="0.35">
      <c r="A17" s="449" t="s">
        <v>23</v>
      </c>
      <c r="B17" s="450"/>
      <c r="C17" s="901" t="s">
        <v>142</v>
      </c>
      <c r="D17" s="902"/>
      <c r="E17" s="902"/>
      <c r="F17" s="902"/>
      <c r="G17" s="902"/>
      <c r="H17" s="902"/>
      <c r="I17" s="902"/>
      <c r="J17" s="902"/>
      <c r="K17" s="902"/>
      <c r="L17" s="902"/>
      <c r="M17" s="902"/>
      <c r="N17" s="902"/>
      <c r="O17" s="902"/>
      <c r="P17" s="902"/>
      <c r="Q17" s="903"/>
      <c r="R17" s="479" t="s">
        <v>25</v>
      </c>
      <c r="S17" s="483"/>
      <c r="T17" s="483"/>
      <c r="U17" s="483"/>
      <c r="V17" s="480"/>
      <c r="W17" s="951">
        <v>4</v>
      </c>
      <c r="X17" s="952"/>
      <c r="Y17" s="483" t="s">
        <v>26</v>
      </c>
      <c r="Z17" s="483"/>
      <c r="AA17" s="483"/>
      <c r="AB17" s="480"/>
      <c r="AC17" s="446">
        <v>0.05</v>
      </c>
      <c r="AD17" s="447"/>
    </row>
    <row r="18" spans="1:41" ht="16.5" customHeight="1" thickBot="1" x14ac:dyDescent="0.35">
      <c r="A18" s="271"/>
      <c r="B18" s="272"/>
      <c r="C18" s="272"/>
      <c r="D18" s="272"/>
      <c r="E18" s="272"/>
      <c r="F18" s="272"/>
      <c r="G18" s="272"/>
      <c r="H18" s="272"/>
      <c r="I18" s="272"/>
      <c r="J18" s="272"/>
      <c r="K18" s="272"/>
      <c r="L18" s="272"/>
      <c r="M18" s="272"/>
      <c r="N18" s="272"/>
      <c r="O18" s="272"/>
      <c r="P18" s="272"/>
      <c r="Q18" s="272"/>
      <c r="R18" s="272"/>
      <c r="S18" s="272"/>
      <c r="T18" s="272"/>
      <c r="U18" s="272"/>
      <c r="V18" s="272"/>
      <c r="W18" s="272"/>
      <c r="X18" s="272"/>
      <c r="Y18" s="272"/>
      <c r="Z18" s="272"/>
      <c r="AA18" s="272"/>
      <c r="AB18" s="272"/>
      <c r="AC18" s="272"/>
      <c r="AD18" s="273"/>
    </row>
    <row r="19" spans="1:41" ht="32.1" customHeight="1" thickBot="1" x14ac:dyDescent="0.35">
      <c r="A19" s="479" t="s">
        <v>27</v>
      </c>
      <c r="B19" s="483"/>
      <c r="C19" s="483"/>
      <c r="D19" s="483"/>
      <c r="E19" s="483"/>
      <c r="F19" s="483"/>
      <c r="G19" s="483"/>
      <c r="H19" s="483"/>
      <c r="I19" s="483"/>
      <c r="J19" s="483"/>
      <c r="K19" s="483"/>
      <c r="L19" s="483"/>
      <c r="M19" s="483"/>
      <c r="N19" s="483"/>
      <c r="O19" s="483"/>
      <c r="P19" s="483"/>
      <c r="Q19" s="483"/>
      <c r="R19" s="483"/>
      <c r="S19" s="483"/>
      <c r="T19" s="483"/>
      <c r="U19" s="483"/>
      <c r="V19" s="483"/>
      <c r="W19" s="483"/>
      <c r="X19" s="483"/>
      <c r="Y19" s="483"/>
      <c r="Z19" s="483"/>
      <c r="AA19" s="483"/>
      <c r="AB19" s="483"/>
      <c r="AC19" s="483"/>
      <c r="AD19" s="480"/>
      <c r="AE19" s="83"/>
      <c r="AF19" s="83"/>
    </row>
    <row r="20" spans="1:41" ht="32.1" customHeight="1" thickBot="1" x14ac:dyDescent="0.35">
      <c r="A20" s="274"/>
      <c r="B20" s="248"/>
      <c r="C20" s="500" t="s">
        <v>28</v>
      </c>
      <c r="D20" s="501"/>
      <c r="E20" s="501"/>
      <c r="F20" s="501"/>
      <c r="G20" s="501"/>
      <c r="H20" s="501"/>
      <c r="I20" s="501"/>
      <c r="J20" s="501"/>
      <c r="K20" s="501"/>
      <c r="L20" s="501"/>
      <c r="M20" s="501"/>
      <c r="N20" s="501"/>
      <c r="O20" s="501"/>
      <c r="P20" s="502"/>
      <c r="Q20" s="497" t="s">
        <v>29</v>
      </c>
      <c r="R20" s="498"/>
      <c r="S20" s="498"/>
      <c r="T20" s="498"/>
      <c r="U20" s="498"/>
      <c r="V20" s="498"/>
      <c r="W20" s="498"/>
      <c r="X20" s="498"/>
      <c r="Y20" s="498"/>
      <c r="Z20" s="498"/>
      <c r="AA20" s="498"/>
      <c r="AB20" s="498"/>
      <c r="AC20" s="498"/>
      <c r="AD20" s="499"/>
      <c r="AE20" s="83"/>
      <c r="AF20" s="83"/>
    </row>
    <row r="21" spans="1:41" ht="32.1" customHeight="1" thickBot="1" x14ac:dyDescent="0.35">
      <c r="A21" s="247"/>
      <c r="B21" s="242"/>
      <c r="C21" s="275" t="s">
        <v>30</v>
      </c>
      <c r="D21" s="276" t="s">
        <v>31</v>
      </c>
      <c r="E21" s="276" t="s">
        <v>32</v>
      </c>
      <c r="F21" s="276" t="s">
        <v>33</v>
      </c>
      <c r="G21" s="276" t="s">
        <v>34</v>
      </c>
      <c r="H21" s="276" t="s">
        <v>35</v>
      </c>
      <c r="I21" s="276" t="s">
        <v>36</v>
      </c>
      <c r="J21" s="276" t="s">
        <v>37</v>
      </c>
      <c r="K21" s="276" t="s">
        <v>8</v>
      </c>
      <c r="L21" s="276" t="s">
        <v>38</v>
      </c>
      <c r="M21" s="276" t="s">
        <v>39</v>
      </c>
      <c r="N21" s="276" t="s">
        <v>40</v>
      </c>
      <c r="O21" s="276" t="s">
        <v>41</v>
      </c>
      <c r="P21" s="277" t="s">
        <v>42</v>
      </c>
      <c r="Q21" s="275" t="s">
        <v>30</v>
      </c>
      <c r="R21" s="276" t="s">
        <v>31</v>
      </c>
      <c r="S21" s="276" t="s">
        <v>32</v>
      </c>
      <c r="T21" s="276" t="s">
        <v>33</v>
      </c>
      <c r="U21" s="276" t="s">
        <v>34</v>
      </c>
      <c r="V21" s="276" t="s">
        <v>35</v>
      </c>
      <c r="W21" s="276" t="s">
        <v>36</v>
      </c>
      <c r="X21" s="276" t="s">
        <v>37</v>
      </c>
      <c r="Y21" s="276" t="s">
        <v>8</v>
      </c>
      <c r="Z21" s="276" t="s">
        <v>38</v>
      </c>
      <c r="AA21" s="276" t="s">
        <v>39</v>
      </c>
      <c r="AB21" s="276" t="s">
        <v>40</v>
      </c>
      <c r="AC21" s="276" t="s">
        <v>41</v>
      </c>
      <c r="AD21" s="277" t="s">
        <v>42</v>
      </c>
      <c r="AE21" s="3"/>
      <c r="AF21" s="3"/>
    </row>
    <row r="22" spans="1:41" ht="32.1" customHeight="1" x14ac:dyDescent="0.3">
      <c r="A22" s="392" t="s">
        <v>43</v>
      </c>
      <c r="B22" s="445"/>
      <c r="C22" s="278"/>
      <c r="D22" s="279"/>
      <c r="E22" s="279"/>
      <c r="F22" s="279"/>
      <c r="G22" s="279"/>
      <c r="H22" s="279"/>
      <c r="I22" s="279"/>
      <c r="J22" s="279"/>
      <c r="K22" s="279"/>
      <c r="L22" s="279"/>
      <c r="M22" s="279"/>
      <c r="N22" s="279"/>
      <c r="O22" s="279">
        <f>SUM(C22:N22)</f>
        <v>0</v>
      </c>
      <c r="P22" s="280"/>
      <c r="Q22" s="361">
        <v>251556520</v>
      </c>
      <c r="R22" s="362">
        <v>0</v>
      </c>
      <c r="S22" s="362">
        <v>0</v>
      </c>
      <c r="T22" s="362">
        <v>0</v>
      </c>
      <c r="U22" s="362">
        <v>0</v>
      </c>
      <c r="V22" s="362">
        <v>0</v>
      </c>
      <c r="W22" s="362">
        <v>0</v>
      </c>
      <c r="X22" s="362">
        <v>0</v>
      </c>
      <c r="Y22" s="362">
        <v>0</v>
      </c>
      <c r="Z22" s="362">
        <v>-5023811</v>
      </c>
      <c r="AA22" s="362">
        <v>0</v>
      </c>
      <c r="AB22" s="362">
        <v>0</v>
      </c>
      <c r="AC22" s="279">
        <f>SUM(Q22:AB22)</f>
        <v>246532709</v>
      </c>
      <c r="AD22" s="363"/>
      <c r="AE22" s="3"/>
      <c r="AF22" s="3"/>
    </row>
    <row r="23" spans="1:41" ht="32.1" customHeight="1" x14ac:dyDescent="0.3">
      <c r="A23" s="434" t="s">
        <v>44</v>
      </c>
      <c r="B23" s="435"/>
      <c r="C23" s="286"/>
      <c r="D23" s="287"/>
      <c r="E23" s="287"/>
      <c r="F23" s="287"/>
      <c r="G23" s="287"/>
      <c r="H23" s="287"/>
      <c r="I23" s="287"/>
      <c r="J23" s="287"/>
      <c r="K23" s="287"/>
      <c r="L23" s="287"/>
      <c r="M23" s="287"/>
      <c r="N23" s="287"/>
      <c r="O23" s="287">
        <f>SUM(C23:N23)</f>
        <v>0</v>
      </c>
      <c r="P23" s="288" t="str">
        <f>IFERROR(O23/(SUMIF(C23:N23,"&gt;0",C22:N22))," ")</f>
        <v xml:space="preserve"> </v>
      </c>
      <c r="Q23" s="289">
        <f>203617024</f>
        <v>203617024</v>
      </c>
      <c r="R23" s="290">
        <f>249707464-Q23</f>
        <v>46090440</v>
      </c>
      <c r="S23" s="290">
        <f>247957907-Q23-R23</f>
        <v>-1749557</v>
      </c>
      <c r="T23" s="290">
        <f>246326387-Q23-R23-S23</f>
        <v>-1631520</v>
      </c>
      <c r="U23" s="290">
        <f>246326387-Q23-R23-S23-T23</f>
        <v>0</v>
      </c>
      <c r="V23" s="290">
        <f>246326387-Q23-R23-S23-T23</f>
        <v>0</v>
      </c>
      <c r="W23" s="290">
        <f>246326387-Q23-R23-S23-U23-T23-V23</f>
        <v>0</v>
      </c>
      <c r="X23" s="290">
        <f>246326387-Q23-R23-S23-T23-U23-V23-W23</f>
        <v>0</v>
      </c>
      <c r="Y23" s="290">
        <f>246326387-Q23-R23-S23-T23-U23-V23-W23-X23</f>
        <v>0</v>
      </c>
      <c r="Z23" s="290">
        <f>246326387-Q23-R23-S23-T23-U23-V23-W23-X23-Y23</f>
        <v>0</v>
      </c>
      <c r="AA23" s="290"/>
      <c r="AB23" s="290"/>
      <c r="AC23" s="287">
        <f>SUM(Q23:AB23)</f>
        <v>246326387</v>
      </c>
      <c r="AD23" s="291">
        <f>AC23/AC22</f>
        <v>0.99916310496551597</v>
      </c>
      <c r="AE23" s="3"/>
      <c r="AF23" s="3"/>
    </row>
    <row r="24" spans="1:41" ht="32.1" customHeight="1" x14ac:dyDescent="0.3">
      <c r="A24" s="434" t="s">
        <v>45</v>
      </c>
      <c r="B24" s="435"/>
      <c r="C24" s="286"/>
      <c r="D24" s="287">
        <v>1214133</v>
      </c>
      <c r="E24" s="287"/>
      <c r="F24" s="287"/>
      <c r="G24" s="287"/>
      <c r="H24" s="287"/>
      <c r="I24" s="287"/>
      <c r="J24" s="287"/>
      <c r="K24" s="287"/>
      <c r="L24" s="287"/>
      <c r="M24" s="287"/>
      <c r="N24" s="287"/>
      <c r="O24" s="290">
        <f>SUM(C24:N24)</f>
        <v>1214133</v>
      </c>
      <c r="P24" s="292"/>
      <c r="Q24" s="289"/>
      <c r="R24" s="346">
        <v>11708059</v>
      </c>
      <c r="S24" s="345">
        <v>22229470</v>
      </c>
      <c r="T24" s="345">
        <v>22229470</v>
      </c>
      <c r="U24" s="345">
        <v>22229470</v>
      </c>
      <c r="V24" s="345">
        <v>22229470</v>
      </c>
      <c r="W24" s="346">
        <v>22229470</v>
      </c>
      <c r="X24" s="346">
        <v>22229470</v>
      </c>
      <c r="Y24" s="346">
        <v>22229470</v>
      </c>
      <c r="Z24" s="346">
        <v>22229470</v>
      </c>
      <c r="AA24" s="346">
        <v>22229470</v>
      </c>
      <c r="AB24" s="346">
        <f>39783231-5023811</f>
        <v>34759420</v>
      </c>
      <c r="AC24" s="287">
        <f>SUM(Q24:AB24)</f>
        <v>246532709</v>
      </c>
      <c r="AD24" s="291"/>
      <c r="AE24" s="3"/>
      <c r="AF24" s="3"/>
    </row>
    <row r="25" spans="1:41" ht="32.1" customHeight="1" thickBot="1" x14ac:dyDescent="0.35">
      <c r="A25" s="393" t="s">
        <v>46</v>
      </c>
      <c r="B25" s="436"/>
      <c r="C25" s="296"/>
      <c r="D25" s="297">
        <v>1214133</v>
      </c>
      <c r="E25" s="297"/>
      <c r="F25" s="297"/>
      <c r="G25" s="297"/>
      <c r="H25" s="297"/>
      <c r="I25" s="297"/>
      <c r="J25" s="297"/>
      <c r="K25" s="297"/>
      <c r="L25" s="297"/>
      <c r="M25" s="297"/>
      <c r="N25" s="297"/>
      <c r="O25" s="297">
        <f>SUM(C25:N25)</f>
        <v>1214133</v>
      </c>
      <c r="P25" s="299">
        <f>IFERROR(O25/(SUMIF(C25:N25,"&gt;0",C24:N24))," ")</f>
        <v>1</v>
      </c>
      <c r="Q25" s="348"/>
      <c r="R25" s="298">
        <f>6532988</f>
        <v>6532988</v>
      </c>
      <c r="S25" s="298">
        <f>27999588-R25</f>
        <v>21466600</v>
      </c>
      <c r="T25" s="298">
        <f>49874067-R25-S25</f>
        <v>21874479</v>
      </c>
      <c r="U25" s="298">
        <f>71748548-R25-S25-T25</f>
        <v>21874481</v>
      </c>
      <c r="V25" s="298">
        <f>93623027-R25-S25-T25-U25</f>
        <v>21874479</v>
      </c>
      <c r="W25" s="298">
        <f>113118207-R25-S25-T25-U25-V25</f>
        <v>19495180</v>
      </c>
      <c r="X25" s="298">
        <f>137371987-R25-S25-T25-U25-V25-W25</f>
        <v>24253780</v>
      </c>
      <c r="Y25" s="298">
        <f>159246467-R25-S25-T25-U25-V25-W25-X25</f>
        <v>21874480</v>
      </c>
      <c r="Z25" s="298">
        <f>181120947-Q25-R25-S25-T25-U25-V25-X25-W25-Y25</f>
        <v>21874480</v>
      </c>
      <c r="AA25" s="298"/>
      <c r="AB25" s="298"/>
      <c r="AC25" s="297">
        <f>SUM(Q25:AB25)</f>
        <v>181120947</v>
      </c>
      <c r="AD25" s="302">
        <f>AC25/AC24</f>
        <v>0.73467308956557165</v>
      </c>
      <c r="AE25" s="3"/>
      <c r="AF25" s="3"/>
    </row>
    <row r="26" spans="1:41" ht="32.1" customHeight="1" thickBot="1" x14ac:dyDescent="0.35">
      <c r="A26" s="247"/>
      <c r="B26" s="242"/>
      <c r="C26" s="304"/>
      <c r="D26" s="304"/>
      <c r="E26" s="304"/>
      <c r="F26" s="304"/>
      <c r="G26" s="304"/>
      <c r="H26" s="304"/>
      <c r="I26" s="304"/>
      <c r="J26" s="304"/>
      <c r="K26" s="304"/>
      <c r="L26" s="304"/>
      <c r="M26" s="304"/>
      <c r="N26" s="304"/>
      <c r="O26" s="304"/>
      <c r="P26" s="304"/>
      <c r="Q26" s="304"/>
      <c r="R26" s="304"/>
      <c r="S26" s="304"/>
      <c r="T26" s="304"/>
      <c r="U26" s="304"/>
      <c r="V26" s="304"/>
      <c r="W26" s="304"/>
      <c r="X26" s="304"/>
      <c r="Y26" s="304"/>
      <c r="Z26" s="304"/>
      <c r="AA26" s="304"/>
      <c r="AB26" s="304"/>
      <c r="AC26" s="248"/>
      <c r="AD26" s="262"/>
    </row>
    <row r="27" spans="1:41" ht="33.75" customHeight="1" x14ac:dyDescent="0.3">
      <c r="A27" s="430" t="s">
        <v>47</v>
      </c>
      <c r="B27" s="431"/>
      <c r="C27" s="432"/>
      <c r="D27" s="432"/>
      <c r="E27" s="432"/>
      <c r="F27" s="432"/>
      <c r="G27" s="432"/>
      <c r="H27" s="432"/>
      <c r="I27" s="432"/>
      <c r="J27" s="432"/>
      <c r="K27" s="432"/>
      <c r="L27" s="432"/>
      <c r="M27" s="432"/>
      <c r="N27" s="432"/>
      <c r="O27" s="432"/>
      <c r="P27" s="432"/>
      <c r="Q27" s="432"/>
      <c r="R27" s="432"/>
      <c r="S27" s="432"/>
      <c r="T27" s="432"/>
      <c r="U27" s="432"/>
      <c r="V27" s="432"/>
      <c r="W27" s="432"/>
      <c r="X27" s="432"/>
      <c r="Y27" s="432"/>
      <c r="Z27" s="432"/>
      <c r="AA27" s="432"/>
      <c r="AB27" s="432"/>
      <c r="AC27" s="432"/>
      <c r="AD27" s="433"/>
    </row>
    <row r="28" spans="1:41" ht="15" customHeight="1" x14ac:dyDescent="0.3">
      <c r="A28" s="440" t="s">
        <v>48</v>
      </c>
      <c r="B28" s="442" t="s">
        <v>49</v>
      </c>
      <c r="C28" s="443"/>
      <c r="D28" s="435" t="s">
        <v>50</v>
      </c>
      <c r="E28" s="444"/>
      <c r="F28" s="444"/>
      <c r="G28" s="444"/>
      <c r="H28" s="444"/>
      <c r="I28" s="444"/>
      <c r="J28" s="444"/>
      <c r="K28" s="444"/>
      <c r="L28" s="444"/>
      <c r="M28" s="444"/>
      <c r="N28" s="444"/>
      <c r="O28" s="423"/>
      <c r="P28" s="424" t="s">
        <v>41</v>
      </c>
      <c r="Q28" s="424" t="s">
        <v>51</v>
      </c>
      <c r="R28" s="424"/>
      <c r="S28" s="424"/>
      <c r="T28" s="424"/>
      <c r="U28" s="424"/>
      <c r="V28" s="424"/>
      <c r="W28" s="424"/>
      <c r="X28" s="424"/>
      <c r="Y28" s="424"/>
      <c r="Z28" s="424"/>
      <c r="AA28" s="424"/>
      <c r="AB28" s="424"/>
      <c r="AC28" s="424"/>
      <c r="AD28" s="425"/>
    </row>
    <row r="29" spans="1:41" ht="27" customHeight="1" x14ac:dyDescent="0.3">
      <c r="A29" s="441"/>
      <c r="B29" s="426"/>
      <c r="C29" s="428"/>
      <c r="D29" s="305" t="s">
        <v>30</v>
      </c>
      <c r="E29" s="305" t="s">
        <v>31</v>
      </c>
      <c r="F29" s="305" t="s">
        <v>32</v>
      </c>
      <c r="G29" s="305" t="s">
        <v>33</v>
      </c>
      <c r="H29" s="305" t="s">
        <v>34</v>
      </c>
      <c r="I29" s="305" t="s">
        <v>35</v>
      </c>
      <c r="J29" s="305" t="s">
        <v>36</v>
      </c>
      <c r="K29" s="305" t="s">
        <v>37</v>
      </c>
      <c r="L29" s="305" t="s">
        <v>8</v>
      </c>
      <c r="M29" s="305" t="s">
        <v>38</v>
      </c>
      <c r="N29" s="305" t="s">
        <v>39</v>
      </c>
      <c r="O29" s="305" t="s">
        <v>40</v>
      </c>
      <c r="P29" s="423"/>
      <c r="Q29" s="424"/>
      <c r="R29" s="424"/>
      <c r="S29" s="424"/>
      <c r="T29" s="424"/>
      <c r="U29" s="424"/>
      <c r="V29" s="424"/>
      <c r="W29" s="424"/>
      <c r="X29" s="424"/>
      <c r="Y29" s="424"/>
      <c r="Z29" s="424"/>
      <c r="AA29" s="424"/>
      <c r="AB29" s="424"/>
      <c r="AC29" s="424"/>
      <c r="AD29" s="425"/>
    </row>
    <row r="30" spans="1:41" ht="79.5" customHeight="1" thickBot="1" x14ac:dyDescent="0.35">
      <c r="A30" s="332" t="str">
        <f>C17</f>
        <v xml:space="preserve">Acompañar técnicamente 4 instancias de participación y representación de las mujeres  para fortalecer sus capacidades de liderazgo	</v>
      </c>
      <c r="B30" s="773"/>
      <c r="C30" s="774"/>
      <c r="D30" s="308"/>
      <c r="E30" s="308"/>
      <c r="F30" s="308"/>
      <c r="G30" s="308"/>
      <c r="H30" s="308"/>
      <c r="I30" s="308"/>
      <c r="J30" s="308"/>
      <c r="K30" s="308"/>
      <c r="L30" s="308"/>
      <c r="M30" s="308"/>
      <c r="N30" s="308"/>
      <c r="O30" s="308"/>
      <c r="P30" s="309">
        <f>SUM(D30:O30)</f>
        <v>0</v>
      </c>
      <c r="Q30" s="456"/>
      <c r="R30" s="456"/>
      <c r="S30" s="456"/>
      <c r="T30" s="456"/>
      <c r="U30" s="456"/>
      <c r="V30" s="456"/>
      <c r="W30" s="456"/>
      <c r="X30" s="456"/>
      <c r="Y30" s="456"/>
      <c r="Z30" s="456"/>
      <c r="AA30" s="456"/>
      <c r="AB30" s="456"/>
      <c r="AC30" s="456"/>
      <c r="AD30" s="457"/>
    </row>
    <row r="31" spans="1:41" ht="45" customHeight="1" thickBot="1" x14ac:dyDescent="0.35">
      <c r="A31" s="458" t="s">
        <v>53</v>
      </c>
      <c r="B31" s="459"/>
      <c r="C31" s="459"/>
      <c r="D31" s="459"/>
      <c r="E31" s="459"/>
      <c r="F31" s="459"/>
      <c r="G31" s="459"/>
      <c r="H31" s="459"/>
      <c r="I31" s="459"/>
      <c r="J31" s="459"/>
      <c r="K31" s="459"/>
      <c r="L31" s="459"/>
      <c r="M31" s="459"/>
      <c r="N31" s="459"/>
      <c r="O31" s="459"/>
      <c r="P31" s="459"/>
      <c r="Q31" s="459"/>
      <c r="R31" s="459"/>
      <c r="S31" s="459"/>
      <c r="T31" s="459"/>
      <c r="U31" s="459"/>
      <c r="V31" s="459"/>
      <c r="W31" s="459"/>
      <c r="X31" s="459"/>
      <c r="Y31" s="459"/>
      <c r="Z31" s="459"/>
      <c r="AA31" s="459"/>
      <c r="AB31" s="459"/>
      <c r="AC31" s="459"/>
      <c r="AD31" s="831"/>
    </row>
    <row r="32" spans="1:41" ht="23.1" customHeight="1" x14ac:dyDescent="0.3">
      <c r="A32" s="392" t="s">
        <v>54</v>
      </c>
      <c r="B32" s="396" t="s">
        <v>55</v>
      </c>
      <c r="C32" s="949" t="s">
        <v>49</v>
      </c>
      <c r="D32" s="398" t="s">
        <v>56</v>
      </c>
      <c r="E32" s="399"/>
      <c r="F32" s="399"/>
      <c r="G32" s="399"/>
      <c r="H32" s="399"/>
      <c r="I32" s="399"/>
      <c r="J32" s="399"/>
      <c r="K32" s="399"/>
      <c r="L32" s="399"/>
      <c r="M32" s="399"/>
      <c r="N32" s="399"/>
      <c r="O32" s="399"/>
      <c r="P32" s="400"/>
      <c r="Q32" s="895" t="s">
        <v>57</v>
      </c>
      <c r="R32" s="396"/>
      <c r="S32" s="396"/>
      <c r="T32" s="396"/>
      <c r="U32" s="396"/>
      <c r="V32" s="396"/>
      <c r="W32" s="396"/>
      <c r="X32" s="396"/>
      <c r="Y32" s="396"/>
      <c r="Z32" s="396"/>
      <c r="AA32" s="396"/>
      <c r="AB32" s="396"/>
      <c r="AC32" s="396"/>
      <c r="AD32" s="397"/>
      <c r="AG32" s="87"/>
      <c r="AH32" s="87"/>
      <c r="AI32" s="87"/>
      <c r="AJ32" s="87"/>
      <c r="AK32" s="87"/>
      <c r="AL32" s="87"/>
      <c r="AM32" s="87"/>
      <c r="AN32" s="87"/>
      <c r="AO32" s="87"/>
    </row>
    <row r="33" spans="1:41" ht="27" customHeight="1" x14ac:dyDescent="0.3">
      <c r="A33" s="434"/>
      <c r="B33" s="424"/>
      <c r="C33" s="950"/>
      <c r="D33" s="285" t="s">
        <v>30</v>
      </c>
      <c r="E33" s="305" t="s">
        <v>31</v>
      </c>
      <c r="F33" s="305" t="s">
        <v>32</v>
      </c>
      <c r="G33" s="305" t="s">
        <v>33</v>
      </c>
      <c r="H33" s="305" t="s">
        <v>34</v>
      </c>
      <c r="I33" s="305" t="s">
        <v>35</v>
      </c>
      <c r="J33" s="305" t="s">
        <v>36</v>
      </c>
      <c r="K33" s="305" t="s">
        <v>37</v>
      </c>
      <c r="L33" s="305" t="s">
        <v>8</v>
      </c>
      <c r="M33" s="305" t="s">
        <v>38</v>
      </c>
      <c r="N33" s="305" t="s">
        <v>39</v>
      </c>
      <c r="O33" s="305" t="s">
        <v>40</v>
      </c>
      <c r="P33" s="306" t="s">
        <v>41</v>
      </c>
      <c r="Q33" s="423" t="s">
        <v>58</v>
      </c>
      <c r="R33" s="424"/>
      <c r="S33" s="424"/>
      <c r="T33" s="424" t="s">
        <v>59</v>
      </c>
      <c r="U33" s="424"/>
      <c r="V33" s="424"/>
      <c r="W33" s="426" t="s">
        <v>60</v>
      </c>
      <c r="X33" s="427"/>
      <c r="Y33" s="427"/>
      <c r="Z33" s="428"/>
      <c r="AA33" s="426" t="s">
        <v>61</v>
      </c>
      <c r="AB33" s="427"/>
      <c r="AC33" s="427"/>
      <c r="AD33" s="429"/>
      <c r="AG33" s="87"/>
      <c r="AH33" s="87"/>
      <c r="AI33" s="87"/>
      <c r="AJ33" s="87"/>
      <c r="AK33" s="87"/>
      <c r="AL33" s="87"/>
      <c r="AM33" s="87"/>
      <c r="AN33" s="87"/>
      <c r="AO33" s="87"/>
    </row>
    <row r="34" spans="1:41" ht="111.75" customHeight="1" x14ac:dyDescent="0.3">
      <c r="A34" s="894" t="s">
        <v>142</v>
      </c>
      <c r="B34" s="411">
        <v>0.05</v>
      </c>
      <c r="C34" s="357" t="s">
        <v>62</v>
      </c>
      <c r="D34" s="358">
        <f>D75</f>
        <v>4.0000000000000008E-2</v>
      </c>
      <c r="E34" s="312">
        <f t="shared" ref="E34:O34" si="0">E75</f>
        <v>0.27600000000000002</v>
      </c>
      <c r="F34" s="312">
        <f t="shared" si="0"/>
        <v>0.37600000000000006</v>
      </c>
      <c r="G34" s="312">
        <f t="shared" si="0"/>
        <v>0.34800000000000009</v>
      </c>
      <c r="H34" s="312">
        <f t="shared" si="0"/>
        <v>0.37600000000000006</v>
      </c>
      <c r="I34" s="312">
        <f t="shared" si="0"/>
        <v>0.33600000000000008</v>
      </c>
      <c r="J34" s="312">
        <f t="shared" si="0"/>
        <v>0.38800000000000007</v>
      </c>
      <c r="K34" s="312">
        <f t="shared" si="0"/>
        <v>0.38800000000000007</v>
      </c>
      <c r="L34" s="312">
        <f t="shared" si="0"/>
        <v>0.37200000000000011</v>
      </c>
      <c r="M34" s="312">
        <f t="shared" si="0"/>
        <v>0.38800000000000007</v>
      </c>
      <c r="N34" s="312">
        <f t="shared" si="0"/>
        <v>0.40800000000000008</v>
      </c>
      <c r="O34" s="312">
        <f t="shared" si="0"/>
        <v>0.30399999999999999</v>
      </c>
      <c r="P34" s="313">
        <f>SUM(D34:O34)</f>
        <v>4</v>
      </c>
      <c r="Q34" s="921" t="s">
        <v>599</v>
      </c>
      <c r="R34" s="921"/>
      <c r="S34" s="922"/>
      <c r="T34" s="921" t="s">
        <v>143</v>
      </c>
      <c r="U34" s="921"/>
      <c r="V34" s="922"/>
      <c r="W34" s="943" t="s">
        <v>536</v>
      </c>
      <c r="X34" s="944"/>
      <c r="Y34" s="944"/>
      <c r="Z34" s="945"/>
      <c r="AA34" s="943" t="s">
        <v>144</v>
      </c>
      <c r="AB34" s="944"/>
      <c r="AC34" s="944"/>
      <c r="AD34" s="945"/>
      <c r="AG34" s="87"/>
      <c r="AH34" s="87"/>
      <c r="AI34" s="87"/>
      <c r="AJ34" s="87"/>
      <c r="AK34" s="87"/>
      <c r="AL34" s="87"/>
      <c r="AM34" s="87"/>
      <c r="AN34" s="87"/>
      <c r="AO34" s="87"/>
    </row>
    <row r="35" spans="1:41" ht="111.75" customHeight="1" thickBot="1" x14ac:dyDescent="0.35">
      <c r="A35" s="844"/>
      <c r="B35" s="412"/>
      <c r="C35" s="359" t="s">
        <v>63</v>
      </c>
      <c r="D35" s="360">
        <f>D72</f>
        <v>4.0000000000000008E-2</v>
      </c>
      <c r="E35" s="315">
        <f t="shared" ref="E35:O35" si="1">E72</f>
        <v>0.27600000000000002</v>
      </c>
      <c r="F35" s="315">
        <f t="shared" si="1"/>
        <v>0.37600000000000006</v>
      </c>
      <c r="G35" s="315">
        <f t="shared" si="1"/>
        <v>0.34800000000000009</v>
      </c>
      <c r="H35" s="315">
        <f t="shared" si="1"/>
        <v>0.37600000000000006</v>
      </c>
      <c r="I35" s="315">
        <f t="shared" si="1"/>
        <v>0.33600000000000008</v>
      </c>
      <c r="J35" s="315">
        <f t="shared" si="1"/>
        <v>0.38800000000000007</v>
      </c>
      <c r="K35" s="315">
        <f t="shared" si="1"/>
        <v>0.38800000000000007</v>
      </c>
      <c r="L35" s="315">
        <f t="shared" si="1"/>
        <v>0.37200000000000011</v>
      </c>
      <c r="M35" s="315">
        <f t="shared" si="1"/>
        <v>0.38800000000000007</v>
      </c>
      <c r="N35" s="315">
        <f t="shared" si="1"/>
        <v>0</v>
      </c>
      <c r="O35" s="315">
        <f t="shared" si="1"/>
        <v>0</v>
      </c>
      <c r="P35" s="316">
        <f>SUM(D35:O35)</f>
        <v>3.2880000000000003</v>
      </c>
      <c r="Q35" s="923"/>
      <c r="R35" s="923"/>
      <c r="S35" s="924"/>
      <c r="T35" s="923"/>
      <c r="U35" s="923"/>
      <c r="V35" s="924"/>
      <c r="W35" s="946"/>
      <c r="X35" s="947"/>
      <c r="Y35" s="947"/>
      <c r="Z35" s="948"/>
      <c r="AA35" s="946"/>
      <c r="AB35" s="947"/>
      <c r="AC35" s="947"/>
      <c r="AD35" s="948"/>
      <c r="AE35" s="49"/>
      <c r="AG35" s="87"/>
      <c r="AH35" s="87"/>
      <c r="AI35" s="87"/>
      <c r="AJ35" s="87"/>
      <c r="AK35" s="87"/>
      <c r="AL35" s="87"/>
      <c r="AM35" s="87"/>
      <c r="AN35" s="87"/>
      <c r="AO35" s="87"/>
    </row>
    <row r="36" spans="1:41" ht="26.1" customHeight="1" x14ac:dyDescent="0.3">
      <c r="A36" s="397" t="s">
        <v>64</v>
      </c>
      <c r="B36" s="397" t="s">
        <v>65</v>
      </c>
      <c r="C36" s="392" t="s">
        <v>66</v>
      </c>
      <c r="D36" s="396"/>
      <c r="E36" s="396"/>
      <c r="F36" s="396"/>
      <c r="G36" s="396"/>
      <c r="H36" s="396"/>
      <c r="I36" s="396"/>
      <c r="J36" s="396"/>
      <c r="K36" s="396"/>
      <c r="L36" s="396"/>
      <c r="M36" s="396"/>
      <c r="N36" s="396"/>
      <c r="O36" s="396"/>
      <c r="P36" s="397"/>
      <c r="Q36" s="398" t="s">
        <v>67</v>
      </c>
      <c r="R36" s="399"/>
      <c r="S36" s="399"/>
      <c r="T36" s="399"/>
      <c r="U36" s="399"/>
      <c r="V36" s="399"/>
      <c r="W36" s="399"/>
      <c r="X36" s="399"/>
      <c r="Y36" s="399"/>
      <c r="Z36" s="399"/>
      <c r="AA36" s="399"/>
      <c r="AB36" s="399"/>
      <c r="AC36" s="399"/>
      <c r="AD36" s="400"/>
      <c r="AG36" s="87"/>
      <c r="AH36" s="87"/>
      <c r="AI36" s="87"/>
      <c r="AJ36" s="87"/>
      <c r="AK36" s="87"/>
      <c r="AL36" s="87"/>
      <c r="AM36" s="87"/>
      <c r="AN36" s="87"/>
      <c r="AO36" s="87"/>
    </row>
    <row r="37" spans="1:41" ht="26.1" customHeight="1" x14ac:dyDescent="0.3">
      <c r="A37" s="425"/>
      <c r="B37" s="425"/>
      <c r="C37" s="285" t="s">
        <v>68</v>
      </c>
      <c r="D37" s="305" t="s">
        <v>69</v>
      </c>
      <c r="E37" s="305" t="s">
        <v>70</v>
      </c>
      <c r="F37" s="305" t="s">
        <v>71</v>
      </c>
      <c r="G37" s="305" t="s">
        <v>72</v>
      </c>
      <c r="H37" s="305" t="s">
        <v>73</v>
      </c>
      <c r="I37" s="305" t="s">
        <v>74</v>
      </c>
      <c r="J37" s="305" t="s">
        <v>75</v>
      </c>
      <c r="K37" s="305" t="s">
        <v>76</v>
      </c>
      <c r="L37" s="305" t="s">
        <v>77</v>
      </c>
      <c r="M37" s="305" t="s">
        <v>78</v>
      </c>
      <c r="N37" s="305" t="s">
        <v>79</v>
      </c>
      <c r="O37" s="305" t="s">
        <v>80</v>
      </c>
      <c r="P37" s="306" t="s">
        <v>81</v>
      </c>
      <c r="Q37" s="931" t="s">
        <v>82</v>
      </c>
      <c r="R37" s="444"/>
      <c r="S37" s="444"/>
      <c r="T37" s="444"/>
      <c r="U37" s="444"/>
      <c r="V37" s="444"/>
      <c r="W37" s="444"/>
      <c r="X37" s="444"/>
      <c r="Y37" s="444"/>
      <c r="Z37" s="444"/>
      <c r="AA37" s="444"/>
      <c r="AB37" s="444"/>
      <c r="AC37" s="444"/>
      <c r="AD37" s="932"/>
      <c r="AG37" s="94"/>
      <c r="AH37" s="94"/>
      <c r="AI37" s="94"/>
      <c r="AJ37" s="94"/>
      <c r="AK37" s="94"/>
      <c r="AL37" s="94"/>
      <c r="AM37" s="94"/>
      <c r="AN37" s="94"/>
      <c r="AO37" s="94"/>
    </row>
    <row r="38" spans="1:41" ht="185.4" customHeight="1" x14ac:dyDescent="0.3">
      <c r="A38" s="383" t="s">
        <v>145</v>
      </c>
      <c r="B38" s="939">
        <v>0.01</v>
      </c>
      <c r="C38" s="337" t="s">
        <v>62</v>
      </c>
      <c r="D38" s="325">
        <v>0.05</v>
      </c>
      <c r="E38" s="325">
        <v>0.09</v>
      </c>
      <c r="F38" s="325">
        <v>0.09</v>
      </c>
      <c r="G38" s="325">
        <v>0.09</v>
      </c>
      <c r="H38" s="325">
        <v>0.09</v>
      </c>
      <c r="I38" s="325">
        <v>0.09</v>
      </c>
      <c r="J38" s="325">
        <v>0.09</v>
      </c>
      <c r="K38" s="325">
        <v>0.09</v>
      </c>
      <c r="L38" s="325">
        <v>0.09</v>
      </c>
      <c r="M38" s="325">
        <v>0.09</v>
      </c>
      <c r="N38" s="325">
        <v>0.09</v>
      </c>
      <c r="O38" s="325">
        <v>0.05</v>
      </c>
      <c r="P38" s="320">
        <f t="shared" ref="P38:P51" si="2">SUM(D38:O38)</f>
        <v>0.99999999999999989</v>
      </c>
      <c r="Q38" s="933" t="s">
        <v>584</v>
      </c>
      <c r="R38" s="934"/>
      <c r="S38" s="934"/>
      <c r="T38" s="934"/>
      <c r="U38" s="934"/>
      <c r="V38" s="934"/>
      <c r="W38" s="934"/>
      <c r="X38" s="934"/>
      <c r="Y38" s="934"/>
      <c r="Z38" s="934"/>
      <c r="AA38" s="934"/>
      <c r="AB38" s="934"/>
      <c r="AC38" s="934"/>
      <c r="AD38" s="935"/>
      <c r="AE38" s="97"/>
      <c r="AG38" s="98"/>
      <c r="AH38" s="98"/>
      <c r="AI38" s="98"/>
      <c r="AJ38" s="98"/>
      <c r="AK38" s="98"/>
      <c r="AL38" s="98"/>
      <c r="AM38" s="98"/>
      <c r="AN38" s="98"/>
      <c r="AO38" s="98"/>
    </row>
    <row r="39" spans="1:41" ht="318.75" customHeight="1" x14ac:dyDescent="0.3">
      <c r="A39" s="383"/>
      <c r="B39" s="939"/>
      <c r="C39" s="335" t="s">
        <v>63</v>
      </c>
      <c r="D39" s="322">
        <v>0.05</v>
      </c>
      <c r="E39" s="322">
        <v>0.09</v>
      </c>
      <c r="F39" s="322">
        <v>0.09</v>
      </c>
      <c r="G39" s="322">
        <v>0.09</v>
      </c>
      <c r="H39" s="322">
        <v>0.09</v>
      </c>
      <c r="I39" s="322">
        <v>0.09</v>
      </c>
      <c r="J39" s="322">
        <v>0.09</v>
      </c>
      <c r="K39" s="322">
        <v>0.09</v>
      </c>
      <c r="L39" s="322">
        <v>0.09</v>
      </c>
      <c r="M39" s="322">
        <v>0.09</v>
      </c>
      <c r="N39" s="322"/>
      <c r="O39" s="322"/>
      <c r="P39" s="323">
        <f t="shared" si="2"/>
        <v>0.85999999999999988</v>
      </c>
      <c r="Q39" s="936"/>
      <c r="R39" s="937"/>
      <c r="S39" s="937"/>
      <c r="T39" s="937"/>
      <c r="U39" s="937"/>
      <c r="V39" s="937"/>
      <c r="W39" s="937"/>
      <c r="X39" s="937"/>
      <c r="Y39" s="937"/>
      <c r="Z39" s="937"/>
      <c r="AA39" s="937"/>
      <c r="AB39" s="937"/>
      <c r="AC39" s="937"/>
      <c r="AD39" s="938"/>
      <c r="AE39" s="97"/>
    </row>
    <row r="40" spans="1:41" ht="167.1" customHeight="1" x14ac:dyDescent="0.3">
      <c r="A40" s="383" t="s">
        <v>146</v>
      </c>
      <c r="B40" s="939">
        <v>5.0000000000000001E-3</v>
      </c>
      <c r="C40" s="337" t="s">
        <v>62</v>
      </c>
      <c r="D40" s="325">
        <v>0</v>
      </c>
      <c r="E40" s="325">
        <v>0.09</v>
      </c>
      <c r="F40" s="325">
        <v>0.09</v>
      </c>
      <c r="G40" s="325">
        <v>0.09</v>
      </c>
      <c r="H40" s="325">
        <v>0.09</v>
      </c>
      <c r="I40" s="325">
        <v>0.09</v>
      </c>
      <c r="J40" s="325">
        <v>0.09</v>
      </c>
      <c r="K40" s="325">
        <v>0.09</v>
      </c>
      <c r="L40" s="325">
        <v>0.09</v>
      </c>
      <c r="M40" s="325">
        <v>0.09</v>
      </c>
      <c r="N40" s="325">
        <v>0.09</v>
      </c>
      <c r="O40" s="325">
        <v>0.1</v>
      </c>
      <c r="P40" s="323">
        <f t="shared" si="2"/>
        <v>0.99999999999999978</v>
      </c>
      <c r="Q40" s="933" t="s">
        <v>585</v>
      </c>
      <c r="R40" s="934"/>
      <c r="S40" s="934"/>
      <c r="T40" s="934"/>
      <c r="U40" s="934"/>
      <c r="V40" s="934"/>
      <c r="W40" s="934"/>
      <c r="X40" s="934"/>
      <c r="Y40" s="934"/>
      <c r="Z40" s="934"/>
      <c r="AA40" s="934"/>
      <c r="AB40" s="934"/>
      <c r="AC40" s="934"/>
      <c r="AD40" s="935"/>
      <c r="AE40" s="97"/>
    </row>
    <row r="41" spans="1:41" ht="273" customHeight="1" x14ac:dyDescent="0.3">
      <c r="A41" s="383"/>
      <c r="B41" s="939"/>
      <c r="C41" s="335" t="s">
        <v>63</v>
      </c>
      <c r="D41" s="322">
        <v>0</v>
      </c>
      <c r="E41" s="322">
        <v>0.09</v>
      </c>
      <c r="F41" s="322">
        <v>0.09</v>
      </c>
      <c r="G41" s="322">
        <v>0.09</v>
      </c>
      <c r="H41" s="322">
        <v>0.09</v>
      </c>
      <c r="I41" s="322">
        <v>0.09</v>
      </c>
      <c r="J41" s="322">
        <v>0.09</v>
      </c>
      <c r="K41" s="322">
        <v>0.09</v>
      </c>
      <c r="L41" s="322">
        <v>0.09</v>
      </c>
      <c r="M41" s="322">
        <v>0.09</v>
      </c>
      <c r="N41" s="322"/>
      <c r="O41" s="322"/>
      <c r="P41" s="323">
        <f t="shared" si="2"/>
        <v>0.80999999999999983</v>
      </c>
      <c r="Q41" s="936"/>
      <c r="R41" s="937"/>
      <c r="S41" s="937"/>
      <c r="T41" s="937"/>
      <c r="U41" s="937"/>
      <c r="V41" s="937"/>
      <c r="W41" s="937"/>
      <c r="X41" s="937"/>
      <c r="Y41" s="937"/>
      <c r="Z41" s="937"/>
      <c r="AA41" s="937"/>
      <c r="AB41" s="937"/>
      <c r="AC41" s="937"/>
      <c r="AD41" s="938"/>
      <c r="AE41" s="97"/>
    </row>
    <row r="42" spans="1:41" ht="99.9" customHeight="1" x14ac:dyDescent="0.3">
      <c r="A42" s="383" t="s">
        <v>147</v>
      </c>
      <c r="B42" s="939">
        <v>0.01</v>
      </c>
      <c r="C42" s="337" t="s">
        <v>62</v>
      </c>
      <c r="D42" s="325">
        <v>0</v>
      </c>
      <c r="E42" s="325">
        <v>0.05</v>
      </c>
      <c r="F42" s="325">
        <v>0.1</v>
      </c>
      <c r="G42" s="325">
        <v>0.1</v>
      </c>
      <c r="H42" s="325">
        <v>0.1</v>
      </c>
      <c r="I42" s="325">
        <v>0.1</v>
      </c>
      <c r="J42" s="325">
        <v>0.1</v>
      </c>
      <c r="K42" s="325">
        <v>0.1</v>
      </c>
      <c r="L42" s="325">
        <v>0.1</v>
      </c>
      <c r="M42" s="325">
        <v>0.1</v>
      </c>
      <c r="N42" s="325">
        <v>0.1</v>
      </c>
      <c r="O42" s="325">
        <v>0.05</v>
      </c>
      <c r="P42" s="323">
        <f t="shared" si="2"/>
        <v>0.99999999999999989</v>
      </c>
      <c r="Q42" s="933" t="s">
        <v>586</v>
      </c>
      <c r="R42" s="934"/>
      <c r="S42" s="934"/>
      <c r="T42" s="934"/>
      <c r="U42" s="934"/>
      <c r="V42" s="934"/>
      <c r="W42" s="934"/>
      <c r="X42" s="934"/>
      <c r="Y42" s="934"/>
      <c r="Z42" s="934"/>
      <c r="AA42" s="934"/>
      <c r="AB42" s="934"/>
      <c r="AC42" s="934"/>
      <c r="AD42" s="935"/>
      <c r="AE42" s="97"/>
    </row>
    <row r="43" spans="1:41" ht="172.5" customHeight="1" x14ac:dyDescent="0.3">
      <c r="A43" s="383"/>
      <c r="B43" s="939"/>
      <c r="C43" s="335" t="s">
        <v>63</v>
      </c>
      <c r="D43" s="322">
        <v>0</v>
      </c>
      <c r="E43" s="322">
        <v>0.05</v>
      </c>
      <c r="F43" s="322">
        <v>0.1</v>
      </c>
      <c r="G43" s="322">
        <v>0.1</v>
      </c>
      <c r="H43" s="322">
        <v>0.1</v>
      </c>
      <c r="I43" s="322">
        <v>0.1</v>
      </c>
      <c r="J43" s="322">
        <v>0.1</v>
      </c>
      <c r="K43" s="322">
        <v>0.1</v>
      </c>
      <c r="L43" s="322">
        <v>0.1</v>
      </c>
      <c r="M43" s="322">
        <v>0.1</v>
      </c>
      <c r="N43" s="322"/>
      <c r="O43" s="322"/>
      <c r="P43" s="323">
        <f t="shared" si="2"/>
        <v>0.84999999999999987</v>
      </c>
      <c r="Q43" s="936"/>
      <c r="R43" s="937"/>
      <c r="S43" s="937"/>
      <c r="T43" s="937"/>
      <c r="U43" s="937"/>
      <c r="V43" s="937"/>
      <c r="W43" s="937"/>
      <c r="X43" s="937"/>
      <c r="Y43" s="937"/>
      <c r="Z43" s="937"/>
      <c r="AA43" s="937"/>
      <c r="AB43" s="937"/>
      <c r="AC43" s="937"/>
      <c r="AD43" s="938"/>
      <c r="AE43" s="97"/>
    </row>
    <row r="44" spans="1:41" ht="183" customHeight="1" x14ac:dyDescent="0.3">
      <c r="A44" s="383" t="s">
        <v>148</v>
      </c>
      <c r="B44" s="939">
        <v>0.01</v>
      </c>
      <c r="C44" s="337" t="s">
        <v>62</v>
      </c>
      <c r="D44" s="325">
        <v>0</v>
      </c>
      <c r="E44" s="325">
        <v>0.08</v>
      </c>
      <c r="F44" s="325">
        <v>0.08</v>
      </c>
      <c r="G44" s="325">
        <v>0.08</v>
      </c>
      <c r="H44" s="325">
        <v>0.08</v>
      </c>
      <c r="I44" s="325">
        <v>0.08</v>
      </c>
      <c r="J44" s="325">
        <v>0.1</v>
      </c>
      <c r="K44" s="325">
        <v>0.1</v>
      </c>
      <c r="L44" s="325">
        <v>0.1</v>
      </c>
      <c r="M44" s="325">
        <v>0.1</v>
      </c>
      <c r="N44" s="325">
        <v>0.1</v>
      </c>
      <c r="O44" s="325">
        <v>0.1</v>
      </c>
      <c r="P44" s="323">
        <f t="shared" si="2"/>
        <v>0.99999999999999989</v>
      </c>
      <c r="Q44" s="940" t="s">
        <v>590</v>
      </c>
      <c r="R44" s="941"/>
      <c r="S44" s="941"/>
      <c r="T44" s="941"/>
      <c r="U44" s="941"/>
      <c r="V44" s="941"/>
      <c r="W44" s="941"/>
      <c r="X44" s="941"/>
      <c r="Y44" s="941"/>
      <c r="Z44" s="941"/>
      <c r="AA44" s="941"/>
      <c r="AB44" s="941"/>
      <c r="AC44" s="941"/>
      <c r="AD44" s="942"/>
      <c r="AE44" s="97"/>
    </row>
    <row r="45" spans="1:41" ht="285" customHeight="1" thickBot="1" x14ac:dyDescent="0.35">
      <c r="A45" s="383"/>
      <c r="B45" s="939"/>
      <c r="C45" s="335" t="s">
        <v>63</v>
      </c>
      <c r="D45" s="322">
        <v>0</v>
      </c>
      <c r="E45" s="322">
        <v>0.08</v>
      </c>
      <c r="F45" s="322">
        <v>0.08</v>
      </c>
      <c r="G45" s="322">
        <v>0.08</v>
      </c>
      <c r="H45" s="322">
        <v>0.08</v>
      </c>
      <c r="I45" s="322">
        <v>0.08</v>
      </c>
      <c r="J45" s="322">
        <v>0.1</v>
      </c>
      <c r="K45" s="322">
        <v>0.1</v>
      </c>
      <c r="L45" s="322">
        <v>0.1</v>
      </c>
      <c r="M45" s="322">
        <v>0.1</v>
      </c>
      <c r="N45" s="322"/>
      <c r="O45" s="322"/>
      <c r="P45" s="323">
        <f t="shared" si="2"/>
        <v>0.79999999999999993</v>
      </c>
      <c r="Q45" s="912"/>
      <c r="R45" s="913"/>
      <c r="S45" s="913"/>
      <c r="T45" s="913"/>
      <c r="U45" s="913"/>
      <c r="V45" s="913"/>
      <c r="W45" s="913"/>
      <c r="X45" s="913"/>
      <c r="Y45" s="913"/>
      <c r="Z45" s="913"/>
      <c r="AA45" s="913"/>
      <c r="AB45" s="913"/>
      <c r="AC45" s="913"/>
      <c r="AD45" s="914"/>
      <c r="AE45" s="97"/>
    </row>
    <row r="46" spans="1:41" ht="204.6" customHeight="1" x14ac:dyDescent="0.3">
      <c r="A46" s="383" t="s">
        <v>149</v>
      </c>
      <c r="B46" s="939">
        <v>5.0000000000000001E-3</v>
      </c>
      <c r="C46" s="337" t="s">
        <v>62</v>
      </c>
      <c r="D46" s="325">
        <v>0</v>
      </c>
      <c r="E46" s="325">
        <v>0.08</v>
      </c>
      <c r="F46" s="325">
        <v>0.08</v>
      </c>
      <c r="G46" s="325">
        <v>0.08</v>
      </c>
      <c r="H46" s="325">
        <v>0.08</v>
      </c>
      <c r="I46" s="325">
        <v>0.08</v>
      </c>
      <c r="J46" s="325">
        <v>0.1</v>
      </c>
      <c r="K46" s="325">
        <v>0.1</v>
      </c>
      <c r="L46" s="325">
        <v>0.1</v>
      </c>
      <c r="M46" s="325">
        <v>0.1</v>
      </c>
      <c r="N46" s="325">
        <v>0.1</v>
      </c>
      <c r="O46" s="325">
        <v>0.1</v>
      </c>
      <c r="P46" s="323">
        <f t="shared" si="2"/>
        <v>0.99999999999999989</v>
      </c>
      <c r="Q46" s="940" t="s">
        <v>591</v>
      </c>
      <c r="R46" s="941"/>
      <c r="S46" s="941"/>
      <c r="T46" s="941"/>
      <c r="U46" s="941"/>
      <c r="V46" s="941"/>
      <c r="W46" s="941"/>
      <c r="X46" s="941"/>
      <c r="Y46" s="941"/>
      <c r="Z46" s="941"/>
      <c r="AA46" s="941"/>
      <c r="AB46" s="941"/>
      <c r="AC46" s="941"/>
      <c r="AD46" s="942"/>
      <c r="AE46" s="97"/>
    </row>
    <row r="47" spans="1:41" ht="204.6" customHeight="1" thickBot="1" x14ac:dyDescent="0.35">
      <c r="A47" s="383"/>
      <c r="B47" s="939"/>
      <c r="C47" s="335" t="s">
        <v>63</v>
      </c>
      <c r="D47" s="322">
        <v>0</v>
      </c>
      <c r="E47" s="322">
        <v>0.08</v>
      </c>
      <c r="F47" s="322">
        <v>0.08</v>
      </c>
      <c r="G47" s="322">
        <v>0.08</v>
      </c>
      <c r="H47" s="322">
        <v>0.08</v>
      </c>
      <c r="I47" s="322">
        <v>0.08</v>
      </c>
      <c r="J47" s="322">
        <v>0.1</v>
      </c>
      <c r="K47" s="322">
        <v>0.1</v>
      </c>
      <c r="L47" s="322">
        <v>0.1</v>
      </c>
      <c r="M47" s="322">
        <v>0.1</v>
      </c>
      <c r="N47" s="322"/>
      <c r="O47" s="322"/>
      <c r="P47" s="323">
        <f t="shared" si="2"/>
        <v>0.79999999999999993</v>
      </c>
      <c r="Q47" s="912"/>
      <c r="R47" s="913"/>
      <c r="S47" s="913"/>
      <c r="T47" s="913"/>
      <c r="U47" s="913"/>
      <c r="V47" s="913"/>
      <c r="W47" s="913"/>
      <c r="X47" s="913"/>
      <c r="Y47" s="913"/>
      <c r="Z47" s="913"/>
      <c r="AA47" s="913"/>
      <c r="AB47" s="913"/>
      <c r="AC47" s="913"/>
      <c r="AD47" s="914"/>
      <c r="AE47" s="97"/>
    </row>
    <row r="48" spans="1:41" ht="116.1" customHeight="1" x14ac:dyDescent="0.3">
      <c r="A48" s="383" t="s">
        <v>150</v>
      </c>
      <c r="B48" s="939">
        <v>5.0000000000000001E-3</v>
      </c>
      <c r="C48" s="337" t="s">
        <v>62</v>
      </c>
      <c r="D48" s="325">
        <v>0</v>
      </c>
      <c r="E48" s="325">
        <v>0</v>
      </c>
      <c r="F48" s="325">
        <v>0.15</v>
      </c>
      <c r="G48" s="325">
        <v>0.08</v>
      </c>
      <c r="H48" s="325">
        <v>0.15</v>
      </c>
      <c r="I48" s="325">
        <v>0.05</v>
      </c>
      <c r="J48" s="325">
        <v>0.1</v>
      </c>
      <c r="K48" s="325">
        <v>0.1</v>
      </c>
      <c r="L48" s="325">
        <v>0.06</v>
      </c>
      <c r="M48" s="325">
        <v>0.1</v>
      </c>
      <c r="N48" s="325">
        <v>0.15</v>
      </c>
      <c r="O48" s="325">
        <v>0.06</v>
      </c>
      <c r="P48" s="323">
        <f t="shared" si="2"/>
        <v>1</v>
      </c>
      <c r="Q48" s="940" t="s">
        <v>592</v>
      </c>
      <c r="R48" s="941"/>
      <c r="S48" s="941"/>
      <c r="T48" s="941"/>
      <c r="U48" s="941"/>
      <c r="V48" s="941"/>
      <c r="W48" s="941"/>
      <c r="X48" s="941"/>
      <c r="Y48" s="941"/>
      <c r="Z48" s="941"/>
      <c r="AA48" s="941"/>
      <c r="AB48" s="941"/>
      <c r="AC48" s="941"/>
      <c r="AD48" s="942"/>
      <c r="AE48" s="97"/>
    </row>
    <row r="49" spans="1:31" ht="160.5" customHeight="1" thickBot="1" x14ac:dyDescent="0.35">
      <c r="A49" s="383"/>
      <c r="B49" s="939"/>
      <c r="C49" s="335" t="s">
        <v>63</v>
      </c>
      <c r="D49" s="322">
        <v>0</v>
      </c>
      <c r="E49" s="322">
        <v>0</v>
      </c>
      <c r="F49" s="322">
        <v>0.15</v>
      </c>
      <c r="G49" s="322">
        <v>0.08</v>
      </c>
      <c r="H49" s="322">
        <v>0.15</v>
      </c>
      <c r="I49" s="322">
        <v>0.05</v>
      </c>
      <c r="J49" s="322">
        <v>0.1</v>
      </c>
      <c r="K49" s="322">
        <v>0.1</v>
      </c>
      <c r="L49" s="322">
        <v>0.06</v>
      </c>
      <c r="M49" s="322">
        <v>0.1</v>
      </c>
      <c r="N49" s="322"/>
      <c r="O49" s="322"/>
      <c r="P49" s="323">
        <f t="shared" si="2"/>
        <v>0.78999999999999992</v>
      </c>
      <c r="Q49" s="912"/>
      <c r="R49" s="913"/>
      <c r="S49" s="913"/>
      <c r="T49" s="913"/>
      <c r="U49" s="913"/>
      <c r="V49" s="913"/>
      <c r="W49" s="913"/>
      <c r="X49" s="913"/>
      <c r="Y49" s="913"/>
      <c r="Z49" s="913"/>
      <c r="AA49" s="913"/>
      <c r="AB49" s="913"/>
      <c r="AC49" s="913"/>
      <c r="AD49" s="914"/>
      <c r="AE49" s="97"/>
    </row>
    <row r="50" spans="1:31" ht="267.75" customHeight="1" x14ac:dyDescent="0.3">
      <c r="A50" s="383" t="s">
        <v>151</v>
      </c>
      <c r="B50" s="939">
        <v>5.0000000000000001E-3</v>
      </c>
      <c r="C50" s="337" t="s">
        <v>62</v>
      </c>
      <c r="D50" s="325">
        <v>0</v>
      </c>
      <c r="E50" s="325">
        <v>0.08</v>
      </c>
      <c r="F50" s="325">
        <v>0.08</v>
      </c>
      <c r="G50" s="325">
        <v>0.08</v>
      </c>
      <c r="H50" s="325">
        <v>0.08</v>
      </c>
      <c r="I50" s="325">
        <v>0.08</v>
      </c>
      <c r="J50" s="325">
        <v>0.1</v>
      </c>
      <c r="K50" s="325">
        <v>0.1</v>
      </c>
      <c r="L50" s="325">
        <v>0.1</v>
      </c>
      <c r="M50" s="325">
        <v>0.1</v>
      </c>
      <c r="N50" s="325">
        <v>0.1</v>
      </c>
      <c r="O50" s="325">
        <v>0.1</v>
      </c>
      <c r="P50" s="323">
        <f t="shared" si="2"/>
        <v>0.99999999999999989</v>
      </c>
      <c r="Q50" s="940" t="s">
        <v>588</v>
      </c>
      <c r="R50" s="941"/>
      <c r="S50" s="941"/>
      <c r="T50" s="941"/>
      <c r="U50" s="941"/>
      <c r="V50" s="941"/>
      <c r="W50" s="941"/>
      <c r="X50" s="941"/>
      <c r="Y50" s="941"/>
      <c r="Z50" s="941"/>
      <c r="AA50" s="941"/>
      <c r="AB50" s="941"/>
      <c r="AC50" s="941"/>
      <c r="AD50" s="942"/>
      <c r="AE50" s="97"/>
    </row>
    <row r="51" spans="1:31" ht="196.5" customHeight="1" thickBot="1" x14ac:dyDescent="0.35">
      <c r="A51" s="749"/>
      <c r="B51" s="953"/>
      <c r="C51" s="340" t="s">
        <v>63</v>
      </c>
      <c r="D51" s="327">
        <v>0</v>
      </c>
      <c r="E51" s="327">
        <v>0.08</v>
      </c>
      <c r="F51" s="327">
        <v>0.08</v>
      </c>
      <c r="G51" s="327">
        <v>0.08</v>
      </c>
      <c r="H51" s="327">
        <v>0.08</v>
      </c>
      <c r="I51" s="327">
        <v>0.08</v>
      </c>
      <c r="J51" s="327">
        <v>0.1</v>
      </c>
      <c r="K51" s="327">
        <v>0.1</v>
      </c>
      <c r="L51" s="327">
        <v>0.1</v>
      </c>
      <c r="M51" s="327">
        <v>0.1</v>
      </c>
      <c r="N51" s="327"/>
      <c r="O51" s="327"/>
      <c r="P51" s="329">
        <f t="shared" si="2"/>
        <v>0.79999999999999993</v>
      </c>
      <c r="Q51" s="912"/>
      <c r="R51" s="913"/>
      <c r="S51" s="913"/>
      <c r="T51" s="913"/>
      <c r="U51" s="913"/>
      <c r="V51" s="913"/>
      <c r="W51" s="913"/>
      <c r="X51" s="913"/>
      <c r="Y51" s="913"/>
      <c r="Z51" s="913"/>
      <c r="AA51" s="913"/>
      <c r="AB51" s="913"/>
      <c r="AC51" s="913"/>
      <c r="AD51" s="914"/>
      <c r="AE51" s="97"/>
    </row>
    <row r="52" spans="1:31" x14ac:dyDescent="0.3">
      <c r="A52" s="194" t="s">
        <v>89</v>
      </c>
      <c r="Q52" s="194"/>
      <c r="R52" s="194"/>
      <c r="S52" s="194"/>
      <c r="T52" s="194"/>
      <c r="U52" s="194"/>
      <c r="V52" s="194"/>
      <c r="W52" s="194"/>
      <c r="X52" s="194"/>
      <c r="Y52" s="194"/>
      <c r="Z52" s="194"/>
      <c r="AA52" s="194"/>
      <c r="AB52" s="194"/>
      <c r="AC52" s="194"/>
      <c r="AD52" s="194"/>
    </row>
    <row r="53" spans="1:31" x14ac:dyDescent="0.3">
      <c r="A53" s="194"/>
      <c r="Q53" s="194"/>
      <c r="R53" s="194"/>
      <c r="S53" s="194"/>
      <c r="T53" s="194"/>
      <c r="U53" s="194"/>
      <c r="V53" s="194"/>
      <c r="W53" s="194"/>
      <c r="X53" s="194"/>
      <c r="Y53" s="194"/>
      <c r="Z53" s="194"/>
      <c r="AA53" s="194"/>
      <c r="AB53" s="194"/>
      <c r="AC53" s="194"/>
      <c r="AD53" s="194"/>
    </row>
    <row r="54" spans="1:31" x14ac:dyDescent="0.3">
      <c r="A54" s="194"/>
      <c r="Q54" s="194"/>
      <c r="R54" s="194"/>
      <c r="S54" s="194"/>
      <c r="T54" s="194"/>
      <c r="U54" s="194"/>
      <c r="V54" s="194"/>
      <c r="W54" s="194"/>
      <c r="X54" s="194"/>
      <c r="Y54" s="194"/>
      <c r="Z54" s="194"/>
      <c r="AA54" s="194"/>
      <c r="AB54" s="194"/>
      <c r="AC54" s="194"/>
      <c r="AD54" s="194"/>
    </row>
    <row r="55" spans="1:31" hidden="1" x14ac:dyDescent="0.3">
      <c r="A55" s="558" t="s">
        <v>90</v>
      </c>
      <c r="B55" s="560" t="s">
        <v>65</v>
      </c>
      <c r="C55" s="562" t="s">
        <v>66</v>
      </c>
      <c r="D55" s="794"/>
      <c r="E55" s="794"/>
      <c r="F55" s="794"/>
      <c r="G55" s="794"/>
      <c r="H55" s="794"/>
      <c r="I55" s="794"/>
      <c r="J55" s="794"/>
      <c r="K55" s="794"/>
      <c r="L55" s="794"/>
      <c r="M55" s="794"/>
      <c r="N55" s="794"/>
      <c r="O55" s="794"/>
      <c r="P55" s="795"/>
      <c r="Q55" s="195"/>
      <c r="R55" s="195"/>
      <c r="S55" s="194"/>
      <c r="T55" s="194"/>
      <c r="U55" s="194"/>
      <c r="V55" s="194"/>
      <c r="W55" s="194"/>
      <c r="X55" s="194"/>
      <c r="Y55" s="194"/>
      <c r="Z55" s="194"/>
      <c r="AA55" s="194"/>
      <c r="AB55" s="194"/>
      <c r="AC55" s="194"/>
      <c r="AD55" s="194"/>
    </row>
    <row r="56" spans="1:31" hidden="1" x14ac:dyDescent="0.3">
      <c r="A56" s="792"/>
      <c r="B56" s="793"/>
      <c r="C56" s="177" t="s">
        <v>68</v>
      </c>
      <c r="D56" s="177" t="s">
        <v>69</v>
      </c>
      <c r="E56" s="177" t="s">
        <v>70</v>
      </c>
      <c r="F56" s="177" t="s">
        <v>71</v>
      </c>
      <c r="G56" s="177" t="s">
        <v>72</v>
      </c>
      <c r="H56" s="177" t="s">
        <v>73</v>
      </c>
      <c r="I56" s="177" t="s">
        <v>74</v>
      </c>
      <c r="J56" s="177" t="s">
        <v>75</v>
      </c>
      <c r="K56" s="177" t="s">
        <v>76</v>
      </c>
      <c r="L56" s="177" t="s">
        <v>77</v>
      </c>
      <c r="M56" s="177" t="s">
        <v>78</v>
      </c>
      <c r="N56" s="177" t="s">
        <v>79</v>
      </c>
      <c r="O56" s="177" t="s">
        <v>80</v>
      </c>
      <c r="P56" s="177" t="s">
        <v>81</v>
      </c>
      <c r="Q56" s="195"/>
      <c r="R56" s="195"/>
      <c r="S56" s="194"/>
      <c r="T56" s="194"/>
      <c r="U56" s="194"/>
      <c r="V56" s="194"/>
      <c r="W56" s="194"/>
      <c r="X56" s="194"/>
      <c r="Y56" s="194"/>
      <c r="Z56" s="194"/>
      <c r="AA56" s="194"/>
      <c r="AB56" s="194"/>
      <c r="AC56" s="194"/>
      <c r="AD56" s="194"/>
    </row>
    <row r="57" spans="1:31" hidden="1" x14ac:dyDescent="0.3">
      <c r="A57" s="546" t="str">
        <f>A38</f>
        <v>25. Acompañar técnica y operativamente el desarrollo de la Mesa coordinadora y el Espacio Ampliado y cuando se solicite por parte del CCM la plenaria del espacio autónomo.</v>
      </c>
      <c r="B57" s="565">
        <f>B38</f>
        <v>0.01</v>
      </c>
      <c r="C57" s="176" t="s">
        <v>62</v>
      </c>
      <c r="D57" s="175">
        <f t="shared" ref="D57:O58" si="3">D38*$B$38/$P$38</f>
        <v>5.0000000000000012E-4</v>
      </c>
      <c r="E57" s="175">
        <f t="shared" si="3"/>
        <v>9.0000000000000008E-4</v>
      </c>
      <c r="F57" s="175">
        <f t="shared" si="3"/>
        <v>9.0000000000000008E-4</v>
      </c>
      <c r="G57" s="175">
        <f t="shared" si="3"/>
        <v>9.0000000000000008E-4</v>
      </c>
      <c r="H57" s="175">
        <f t="shared" si="3"/>
        <v>9.0000000000000008E-4</v>
      </c>
      <c r="I57" s="175">
        <f t="shared" si="3"/>
        <v>9.0000000000000008E-4</v>
      </c>
      <c r="J57" s="175">
        <f t="shared" si="3"/>
        <v>9.0000000000000008E-4</v>
      </c>
      <c r="K57" s="175">
        <f t="shared" si="3"/>
        <v>9.0000000000000008E-4</v>
      </c>
      <c r="L57" s="175">
        <f t="shared" si="3"/>
        <v>9.0000000000000008E-4</v>
      </c>
      <c r="M57" s="175">
        <f t="shared" si="3"/>
        <v>9.0000000000000008E-4</v>
      </c>
      <c r="N57" s="175">
        <f t="shared" si="3"/>
        <v>9.0000000000000008E-4</v>
      </c>
      <c r="O57" s="175">
        <f t="shared" si="3"/>
        <v>5.0000000000000012E-4</v>
      </c>
      <c r="P57" s="174">
        <f t="shared" ref="P57:P70" si="4">SUM(D57:O57)</f>
        <v>0.01</v>
      </c>
      <c r="Q57" s="197">
        <v>0.05</v>
      </c>
      <c r="R57" s="198">
        <f t="shared" ref="R57:R71" si="5">+P57-Q57</f>
        <v>-0.04</v>
      </c>
      <c r="S57" s="194"/>
      <c r="T57" s="194"/>
      <c r="U57" s="194"/>
      <c r="V57" s="194"/>
      <c r="W57" s="194"/>
      <c r="X57" s="194"/>
      <c r="Y57" s="194"/>
      <c r="Z57" s="194"/>
      <c r="AA57" s="194"/>
      <c r="AB57" s="194"/>
      <c r="AC57" s="194"/>
      <c r="AD57" s="194"/>
    </row>
    <row r="58" spans="1:31" hidden="1" x14ac:dyDescent="0.3">
      <c r="A58" s="547"/>
      <c r="B58" s="824"/>
      <c r="C58" s="173" t="s">
        <v>63</v>
      </c>
      <c r="D58" s="172">
        <f t="shared" si="3"/>
        <v>5.0000000000000012E-4</v>
      </c>
      <c r="E58" s="172">
        <f t="shared" si="3"/>
        <v>9.0000000000000008E-4</v>
      </c>
      <c r="F58" s="172">
        <f t="shared" si="3"/>
        <v>9.0000000000000008E-4</v>
      </c>
      <c r="G58" s="172">
        <f t="shared" si="3"/>
        <v>9.0000000000000008E-4</v>
      </c>
      <c r="H58" s="172">
        <f t="shared" si="3"/>
        <v>9.0000000000000008E-4</v>
      </c>
      <c r="I58" s="172">
        <f t="shared" si="3"/>
        <v>9.0000000000000008E-4</v>
      </c>
      <c r="J58" s="172">
        <f t="shared" si="3"/>
        <v>9.0000000000000008E-4</v>
      </c>
      <c r="K58" s="172">
        <f t="shared" si="3"/>
        <v>9.0000000000000008E-4</v>
      </c>
      <c r="L58" s="172">
        <f t="shared" si="3"/>
        <v>9.0000000000000008E-4</v>
      </c>
      <c r="M58" s="172">
        <f t="shared" si="3"/>
        <v>9.0000000000000008E-4</v>
      </c>
      <c r="N58" s="172">
        <f t="shared" si="3"/>
        <v>0</v>
      </c>
      <c r="O58" s="172">
        <f t="shared" si="3"/>
        <v>0</v>
      </c>
      <c r="P58" s="171">
        <f t="shared" si="4"/>
        <v>8.6E-3</v>
      </c>
      <c r="Q58" s="199">
        <f>+P58</f>
        <v>8.6E-3</v>
      </c>
      <c r="R58" s="198">
        <f t="shared" si="5"/>
        <v>0</v>
      </c>
      <c r="S58" s="194"/>
      <c r="T58" s="194"/>
      <c r="U58" s="194"/>
      <c r="V58" s="194"/>
      <c r="W58" s="194"/>
      <c r="X58" s="194"/>
      <c r="Y58" s="194"/>
      <c r="Z58" s="194"/>
      <c r="AA58" s="194"/>
      <c r="AB58" s="194"/>
      <c r="AC58" s="194"/>
      <c r="AD58" s="194"/>
    </row>
    <row r="59" spans="1:31" hidden="1" x14ac:dyDescent="0.3">
      <c r="A59" s="546" t="str">
        <f>A40</f>
        <v>26. Acompañar técnicamente el desarrollo de las mesas de trabajo con los sectores de la administración distrital y alcaldias locales, y hacer seguimiento a los compromisos adquiridos por la administración distrital y los alcaldes locales en el marco del Consejo Consultivo de Mujeres.</v>
      </c>
      <c r="B59" s="548">
        <f>B40</f>
        <v>5.0000000000000001E-3</v>
      </c>
      <c r="C59" s="176" t="s">
        <v>62</v>
      </c>
      <c r="D59" s="175">
        <f t="shared" ref="D59:O60" si="6">D40*$B$40/$P$40</f>
        <v>0</v>
      </c>
      <c r="E59" s="175">
        <f t="shared" si="6"/>
        <v>4.500000000000001E-4</v>
      </c>
      <c r="F59" s="175">
        <f t="shared" si="6"/>
        <v>4.500000000000001E-4</v>
      </c>
      <c r="G59" s="175">
        <f t="shared" si="6"/>
        <v>4.500000000000001E-4</v>
      </c>
      <c r="H59" s="175">
        <f t="shared" si="6"/>
        <v>4.500000000000001E-4</v>
      </c>
      <c r="I59" s="175">
        <f t="shared" si="6"/>
        <v>4.500000000000001E-4</v>
      </c>
      <c r="J59" s="175">
        <f t="shared" si="6"/>
        <v>4.500000000000001E-4</v>
      </c>
      <c r="K59" s="175">
        <f t="shared" si="6"/>
        <v>4.500000000000001E-4</v>
      </c>
      <c r="L59" s="175">
        <f t="shared" si="6"/>
        <v>4.500000000000001E-4</v>
      </c>
      <c r="M59" s="175">
        <f t="shared" si="6"/>
        <v>4.500000000000001E-4</v>
      </c>
      <c r="N59" s="175">
        <f t="shared" si="6"/>
        <v>4.500000000000001E-4</v>
      </c>
      <c r="O59" s="175">
        <f t="shared" si="6"/>
        <v>5.0000000000000012E-4</v>
      </c>
      <c r="P59" s="174">
        <f t="shared" si="4"/>
        <v>5.0000000000000001E-3</v>
      </c>
      <c r="Q59" s="197">
        <v>2.5000000000000001E-2</v>
      </c>
      <c r="R59" s="198">
        <f t="shared" si="5"/>
        <v>-0.02</v>
      </c>
      <c r="S59" s="194"/>
      <c r="T59" s="194"/>
      <c r="U59" s="194"/>
      <c r="V59" s="194"/>
      <c r="W59" s="194"/>
      <c r="X59" s="194"/>
      <c r="Y59" s="194"/>
      <c r="Z59" s="194"/>
      <c r="AA59" s="194"/>
      <c r="AB59" s="194"/>
      <c r="AC59" s="194"/>
      <c r="AD59" s="194"/>
    </row>
    <row r="60" spans="1:31" hidden="1" x14ac:dyDescent="0.3">
      <c r="A60" s="867"/>
      <c r="B60" s="828"/>
      <c r="C60" s="173" t="s">
        <v>63</v>
      </c>
      <c r="D60" s="172">
        <f t="shared" si="6"/>
        <v>0</v>
      </c>
      <c r="E60" s="172">
        <f t="shared" si="6"/>
        <v>4.500000000000001E-4</v>
      </c>
      <c r="F60" s="172">
        <f t="shared" si="6"/>
        <v>4.500000000000001E-4</v>
      </c>
      <c r="G60" s="172">
        <f t="shared" si="6"/>
        <v>4.500000000000001E-4</v>
      </c>
      <c r="H60" s="172">
        <f t="shared" si="6"/>
        <v>4.500000000000001E-4</v>
      </c>
      <c r="I60" s="172">
        <f t="shared" si="6"/>
        <v>4.500000000000001E-4</v>
      </c>
      <c r="J60" s="172">
        <f t="shared" si="6"/>
        <v>4.500000000000001E-4</v>
      </c>
      <c r="K60" s="172">
        <f t="shared" si="6"/>
        <v>4.500000000000001E-4</v>
      </c>
      <c r="L60" s="172">
        <f t="shared" si="6"/>
        <v>4.500000000000001E-4</v>
      </c>
      <c r="M60" s="172">
        <f t="shared" si="6"/>
        <v>4.500000000000001E-4</v>
      </c>
      <c r="N60" s="172">
        <f t="shared" si="6"/>
        <v>0</v>
      </c>
      <c r="O60" s="172">
        <f t="shared" si="6"/>
        <v>0</v>
      </c>
      <c r="P60" s="171">
        <f t="shared" si="4"/>
        <v>4.0499999999999998E-3</v>
      </c>
      <c r="Q60" s="199">
        <f>+P60</f>
        <v>4.0499999999999998E-3</v>
      </c>
      <c r="R60" s="198">
        <f t="shared" si="5"/>
        <v>0</v>
      </c>
      <c r="S60" s="194"/>
      <c r="T60" s="194"/>
      <c r="U60" s="194"/>
      <c r="V60" s="194"/>
      <c r="W60" s="194"/>
      <c r="X60" s="194"/>
      <c r="Y60" s="194"/>
      <c r="Z60" s="194"/>
      <c r="AA60" s="194"/>
      <c r="AB60" s="194"/>
      <c r="AC60" s="194"/>
      <c r="AD60" s="194"/>
    </row>
    <row r="61" spans="1:31" hidden="1" x14ac:dyDescent="0.3">
      <c r="A61" s="546" t="str">
        <f>A42</f>
        <v>27. Acompañar técnicamente el desarrollo de comisiones de trabajo del Espacio Autónomo del Consejo Consultivo de Mujeres.</v>
      </c>
      <c r="B61" s="548">
        <f>B42</f>
        <v>0.01</v>
      </c>
      <c r="C61" s="176" t="s">
        <v>62</v>
      </c>
      <c r="D61" s="175">
        <f t="shared" ref="D61:O62" si="7">D42*$B$42/$P$42</f>
        <v>0</v>
      </c>
      <c r="E61" s="175">
        <f t="shared" si="7"/>
        <v>5.0000000000000012E-4</v>
      </c>
      <c r="F61" s="175">
        <f t="shared" si="7"/>
        <v>1.0000000000000002E-3</v>
      </c>
      <c r="G61" s="175">
        <f t="shared" si="7"/>
        <v>1.0000000000000002E-3</v>
      </c>
      <c r="H61" s="175">
        <f t="shared" si="7"/>
        <v>1.0000000000000002E-3</v>
      </c>
      <c r="I61" s="175">
        <f t="shared" si="7"/>
        <v>1.0000000000000002E-3</v>
      </c>
      <c r="J61" s="175">
        <f t="shared" si="7"/>
        <v>1.0000000000000002E-3</v>
      </c>
      <c r="K61" s="175">
        <f t="shared" si="7"/>
        <v>1.0000000000000002E-3</v>
      </c>
      <c r="L61" s="175">
        <f t="shared" si="7"/>
        <v>1.0000000000000002E-3</v>
      </c>
      <c r="M61" s="175">
        <f t="shared" si="7"/>
        <v>1.0000000000000002E-3</v>
      </c>
      <c r="N61" s="175">
        <f t="shared" si="7"/>
        <v>1.0000000000000002E-3</v>
      </c>
      <c r="O61" s="175">
        <f t="shared" si="7"/>
        <v>5.0000000000000012E-4</v>
      </c>
      <c r="P61" s="174">
        <f t="shared" si="4"/>
        <v>1.0000000000000002E-2</v>
      </c>
      <c r="Q61" s="197">
        <v>2.5000000000000001E-2</v>
      </c>
      <c r="R61" s="198">
        <f t="shared" si="5"/>
        <v>-1.4999999999999999E-2</v>
      </c>
      <c r="S61" s="194"/>
      <c r="T61" s="194"/>
      <c r="U61" s="194"/>
      <c r="V61" s="194"/>
      <c r="W61" s="194"/>
      <c r="X61" s="194"/>
      <c r="Y61" s="194"/>
      <c r="Z61" s="194"/>
      <c r="AA61" s="194"/>
      <c r="AB61" s="194"/>
      <c r="AC61" s="194"/>
      <c r="AD61" s="194"/>
    </row>
    <row r="62" spans="1:31" hidden="1" x14ac:dyDescent="0.3">
      <c r="A62" s="867"/>
      <c r="B62" s="828"/>
      <c r="C62" s="173" t="s">
        <v>63</v>
      </c>
      <c r="D62" s="172">
        <f t="shared" si="7"/>
        <v>0</v>
      </c>
      <c r="E62" s="172">
        <f t="shared" si="7"/>
        <v>5.0000000000000012E-4</v>
      </c>
      <c r="F62" s="172">
        <f t="shared" si="7"/>
        <v>1.0000000000000002E-3</v>
      </c>
      <c r="G62" s="172">
        <f t="shared" si="7"/>
        <v>1.0000000000000002E-3</v>
      </c>
      <c r="H62" s="172">
        <f t="shared" si="7"/>
        <v>1.0000000000000002E-3</v>
      </c>
      <c r="I62" s="172">
        <f t="shared" si="7"/>
        <v>1.0000000000000002E-3</v>
      </c>
      <c r="J62" s="172">
        <f t="shared" si="7"/>
        <v>1.0000000000000002E-3</v>
      </c>
      <c r="K62" s="172">
        <f t="shared" si="7"/>
        <v>1.0000000000000002E-3</v>
      </c>
      <c r="L62" s="172">
        <f t="shared" si="7"/>
        <v>1.0000000000000002E-3</v>
      </c>
      <c r="M62" s="172">
        <f t="shared" si="7"/>
        <v>1.0000000000000002E-3</v>
      </c>
      <c r="N62" s="172">
        <f t="shared" si="7"/>
        <v>0</v>
      </c>
      <c r="O62" s="172">
        <f t="shared" si="7"/>
        <v>0</v>
      </c>
      <c r="P62" s="171">
        <f t="shared" si="4"/>
        <v>8.5000000000000006E-3</v>
      </c>
      <c r="Q62" s="199">
        <f>+P62</f>
        <v>8.5000000000000006E-3</v>
      </c>
      <c r="R62" s="198">
        <f t="shared" si="5"/>
        <v>0</v>
      </c>
      <c r="S62" s="194"/>
      <c r="T62" s="194"/>
      <c r="U62" s="194"/>
      <c r="V62" s="194"/>
      <c r="W62" s="194"/>
      <c r="X62" s="194"/>
      <c r="Y62" s="194"/>
      <c r="Z62" s="194"/>
      <c r="AA62" s="194"/>
      <c r="AB62" s="194"/>
      <c r="AC62" s="194"/>
      <c r="AD62" s="194"/>
    </row>
    <row r="63" spans="1:31" hidden="1" x14ac:dyDescent="0.3">
      <c r="A63" s="546" t="str">
        <f>A44</f>
        <v>28. Acompañar técnicamente la transversalización del enfoque de género en el Concejo de Bogotá, con énfasis en las bancadas de mujeres de este órgano</v>
      </c>
      <c r="B63" s="548">
        <f>B44</f>
        <v>0.01</v>
      </c>
      <c r="C63" s="176" t="s">
        <v>62</v>
      </c>
      <c r="D63" s="175">
        <f t="shared" ref="D63:O64" si="8">D44*$B$44/$P$44</f>
        <v>0</v>
      </c>
      <c r="E63" s="175">
        <f t="shared" si="8"/>
        <v>8.0000000000000015E-4</v>
      </c>
      <c r="F63" s="175">
        <f t="shared" si="8"/>
        <v>8.0000000000000015E-4</v>
      </c>
      <c r="G63" s="175">
        <f t="shared" si="8"/>
        <v>8.0000000000000015E-4</v>
      </c>
      <c r="H63" s="175">
        <f t="shared" si="8"/>
        <v>8.0000000000000015E-4</v>
      </c>
      <c r="I63" s="175">
        <f t="shared" si="8"/>
        <v>8.0000000000000015E-4</v>
      </c>
      <c r="J63" s="175">
        <f t="shared" si="8"/>
        <v>1.0000000000000002E-3</v>
      </c>
      <c r="K63" s="175">
        <f t="shared" si="8"/>
        <v>1.0000000000000002E-3</v>
      </c>
      <c r="L63" s="175">
        <f t="shared" si="8"/>
        <v>1.0000000000000002E-3</v>
      </c>
      <c r="M63" s="175">
        <f t="shared" si="8"/>
        <v>1.0000000000000002E-3</v>
      </c>
      <c r="N63" s="175">
        <f t="shared" si="8"/>
        <v>1.0000000000000002E-3</v>
      </c>
      <c r="O63" s="175">
        <f t="shared" si="8"/>
        <v>1.0000000000000002E-3</v>
      </c>
      <c r="P63" s="174">
        <f t="shared" si="4"/>
        <v>1.0000000000000004E-2</v>
      </c>
      <c r="Q63" s="197">
        <v>0.02</v>
      </c>
      <c r="R63" s="198">
        <f t="shared" si="5"/>
        <v>-9.9999999999999967E-3</v>
      </c>
      <c r="S63" s="194"/>
      <c r="T63" s="194"/>
      <c r="U63" s="194"/>
      <c r="V63" s="194"/>
      <c r="W63" s="194"/>
      <c r="X63" s="194"/>
      <c r="Y63" s="194"/>
      <c r="Z63" s="194"/>
      <c r="AA63" s="194"/>
      <c r="AB63" s="194"/>
      <c r="AC63" s="194"/>
      <c r="AD63" s="194"/>
    </row>
    <row r="64" spans="1:31" hidden="1" x14ac:dyDescent="0.3">
      <c r="A64" s="867"/>
      <c r="B64" s="828"/>
      <c r="C64" s="173" t="s">
        <v>63</v>
      </c>
      <c r="D64" s="172">
        <f t="shared" si="8"/>
        <v>0</v>
      </c>
      <c r="E64" s="172">
        <f t="shared" si="8"/>
        <v>8.0000000000000015E-4</v>
      </c>
      <c r="F64" s="172">
        <f t="shared" si="8"/>
        <v>8.0000000000000015E-4</v>
      </c>
      <c r="G64" s="172">
        <f t="shared" si="8"/>
        <v>8.0000000000000015E-4</v>
      </c>
      <c r="H64" s="172">
        <f t="shared" si="8"/>
        <v>8.0000000000000015E-4</v>
      </c>
      <c r="I64" s="172">
        <f t="shared" si="8"/>
        <v>8.0000000000000015E-4</v>
      </c>
      <c r="J64" s="172">
        <f t="shared" si="8"/>
        <v>1.0000000000000002E-3</v>
      </c>
      <c r="K64" s="172">
        <f t="shared" si="8"/>
        <v>1.0000000000000002E-3</v>
      </c>
      <c r="L64" s="172">
        <f t="shared" si="8"/>
        <v>1.0000000000000002E-3</v>
      </c>
      <c r="M64" s="172">
        <f t="shared" si="8"/>
        <v>1.0000000000000002E-3</v>
      </c>
      <c r="N64" s="172">
        <f t="shared" si="8"/>
        <v>0</v>
      </c>
      <c r="O64" s="172">
        <f t="shared" si="8"/>
        <v>0</v>
      </c>
      <c r="P64" s="171">
        <f t="shared" si="4"/>
        <v>8.0000000000000019E-3</v>
      </c>
      <c r="Q64" s="199">
        <f>+P64</f>
        <v>8.0000000000000019E-3</v>
      </c>
      <c r="R64" s="198">
        <f t="shared" si="5"/>
        <v>0</v>
      </c>
      <c r="S64" s="194"/>
      <c r="T64" s="194"/>
      <c r="U64" s="194"/>
      <c r="V64" s="194"/>
      <c r="W64" s="194"/>
      <c r="X64" s="194"/>
      <c r="Y64" s="194"/>
      <c r="Z64" s="194"/>
      <c r="AA64" s="194"/>
      <c r="AB64" s="194"/>
      <c r="AC64" s="194"/>
      <c r="AD64" s="194"/>
    </row>
    <row r="65" spans="1:30" hidden="1" x14ac:dyDescent="0.3">
      <c r="A65" s="546" t="str">
        <f>A46</f>
        <v>29. Acompañar técnicamente, gestionar y coordinar las reuniones con la Submesa para la garantía y seguimiento de los derechos de las mujeres, diversidades, disidencias sexuales y de Género.</v>
      </c>
      <c r="B65" s="548">
        <f>B46</f>
        <v>5.0000000000000001E-3</v>
      </c>
      <c r="C65" s="176" t="s">
        <v>62</v>
      </c>
      <c r="D65" s="175">
        <f t="shared" ref="D65:O66" si="9">D46*$B$46/$P$46</f>
        <v>0</v>
      </c>
      <c r="E65" s="175">
        <f t="shared" si="9"/>
        <v>4.0000000000000007E-4</v>
      </c>
      <c r="F65" s="175">
        <f t="shared" si="9"/>
        <v>4.0000000000000007E-4</v>
      </c>
      <c r="G65" s="175">
        <f t="shared" si="9"/>
        <v>4.0000000000000007E-4</v>
      </c>
      <c r="H65" s="175">
        <f t="shared" si="9"/>
        <v>4.0000000000000007E-4</v>
      </c>
      <c r="I65" s="175">
        <f t="shared" si="9"/>
        <v>4.0000000000000007E-4</v>
      </c>
      <c r="J65" s="175">
        <f t="shared" si="9"/>
        <v>5.0000000000000012E-4</v>
      </c>
      <c r="K65" s="175">
        <f t="shared" si="9"/>
        <v>5.0000000000000012E-4</v>
      </c>
      <c r="L65" s="175">
        <f t="shared" si="9"/>
        <v>5.0000000000000012E-4</v>
      </c>
      <c r="M65" s="175">
        <f t="shared" si="9"/>
        <v>5.0000000000000012E-4</v>
      </c>
      <c r="N65" s="175">
        <f t="shared" si="9"/>
        <v>5.0000000000000012E-4</v>
      </c>
      <c r="O65" s="175">
        <f t="shared" si="9"/>
        <v>5.0000000000000012E-4</v>
      </c>
      <c r="P65" s="174">
        <f t="shared" si="4"/>
        <v>5.0000000000000018E-3</v>
      </c>
      <c r="Q65" s="197">
        <v>0.02</v>
      </c>
      <c r="R65" s="198">
        <f t="shared" si="5"/>
        <v>-1.4999999999999999E-2</v>
      </c>
      <c r="S65" s="194"/>
      <c r="T65" s="194"/>
      <c r="U65" s="194"/>
      <c r="V65" s="194"/>
      <c r="W65" s="194"/>
      <c r="X65" s="194"/>
      <c r="Y65" s="194"/>
      <c r="Z65" s="194"/>
      <c r="AA65" s="194"/>
      <c r="AB65" s="194"/>
      <c r="AC65" s="194"/>
      <c r="AD65" s="194"/>
    </row>
    <row r="66" spans="1:30" hidden="1" x14ac:dyDescent="0.3">
      <c r="A66" s="867"/>
      <c r="B66" s="828"/>
      <c r="C66" s="173" t="s">
        <v>63</v>
      </c>
      <c r="D66" s="172">
        <f t="shared" si="9"/>
        <v>0</v>
      </c>
      <c r="E66" s="172">
        <f t="shared" si="9"/>
        <v>4.0000000000000007E-4</v>
      </c>
      <c r="F66" s="172">
        <f t="shared" si="9"/>
        <v>4.0000000000000007E-4</v>
      </c>
      <c r="G66" s="172">
        <f t="shared" si="9"/>
        <v>4.0000000000000007E-4</v>
      </c>
      <c r="H66" s="172">
        <f t="shared" si="9"/>
        <v>4.0000000000000007E-4</v>
      </c>
      <c r="I66" s="172">
        <f t="shared" si="9"/>
        <v>4.0000000000000007E-4</v>
      </c>
      <c r="J66" s="172">
        <f t="shared" si="9"/>
        <v>5.0000000000000012E-4</v>
      </c>
      <c r="K66" s="172">
        <f t="shared" si="9"/>
        <v>5.0000000000000012E-4</v>
      </c>
      <c r="L66" s="172">
        <f t="shared" si="9"/>
        <v>5.0000000000000012E-4</v>
      </c>
      <c r="M66" s="172">
        <f t="shared" si="9"/>
        <v>5.0000000000000012E-4</v>
      </c>
      <c r="N66" s="172">
        <f t="shared" si="9"/>
        <v>0</v>
      </c>
      <c r="O66" s="172">
        <f t="shared" si="9"/>
        <v>0</v>
      </c>
      <c r="P66" s="171">
        <f t="shared" si="4"/>
        <v>4.000000000000001E-3</v>
      </c>
      <c r="Q66" s="199">
        <f>+P66</f>
        <v>4.000000000000001E-3</v>
      </c>
      <c r="R66" s="198">
        <f t="shared" si="5"/>
        <v>0</v>
      </c>
      <c r="S66" s="194"/>
      <c r="T66" s="194"/>
      <c r="U66" s="194"/>
      <c r="V66" s="194"/>
      <c r="W66" s="194"/>
      <c r="X66" s="194"/>
      <c r="Y66" s="194"/>
      <c r="Z66" s="194"/>
      <c r="AA66" s="194"/>
      <c r="AB66" s="194"/>
      <c r="AC66" s="194"/>
      <c r="AD66" s="194"/>
    </row>
    <row r="67" spans="1:30" hidden="1" x14ac:dyDescent="0.3">
      <c r="A67" s="546" t="str">
        <f>A48</f>
        <v>30. Realizar Acompañamiento técnico al Puesto de mando Unificado (PMU) durante las movilizaciones y protesta social que se realicen y a las cuales se convoque a la SDMujer.</v>
      </c>
      <c r="B67" s="548">
        <f>B48</f>
        <v>5.0000000000000001E-3</v>
      </c>
      <c r="C67" s="176" t="s">
        <v>62</v>
      </c>
      <c r="D67" s="175">
        <f t="shared" ref="D67:O68" si="10">D48*$B$48/$P$48</f>
        <v>0</v>
      </c>
      <c r="E67" s="175">
        <f t="shared" si="10"/>
        <v>0</v>
      </c>
      <c r="F67" s="175">
        <f t="shared" si="10"/>
        <v>7.5000000000000002E-4</v>
      </c>
      <c r="G67" s="175">
        <f t="shared" si="10"/>
        <v>4.0000000000000002E-4</v>
      </c>
      <c r="H67" s="175">
        <f t="shared" si="10"/>
        <v>7.5000000000000002E-4</v>
      </c>
      <c r="I67" s="175">
        <f t="shared" si="10"/>
        <v>2.5000000000000001E-4</v>
      </c>
      <c r="J67" s="175">
        <f t="shared" si="10"/>
        <v>5.0000000000000001E-4</v>
      </c>
      <c r="K67" s="175">
        <f t="shared" si="10"/>
        <v>5.0000000000000001E-4</v>
      </c>
      <c r="L67" s="175">
        <f t="shared" si="10"/>
        <v>2.9999999999999997E-4</v>
      </c>
      <c r="M67" s="175">
        <f t="shared" si="10"/>
        <v>5.0000000000000001E-4</v>
      </c>
      <c r="N67" s="175">
        <f t="shared" si="10"/>
        <v>7.5000000000000002E-4</v>
      </c>
      <c r="O67" s="175">
        <f t="shared" si="10"/>
        <v>2.9999999999999997E-4</v>
      </c>
      <c r="P67" s="174">
        <f t="shared" si="4"/>
        <v>5.0000000000000001E-3</v>
      </c>
      <c r="Q67" s="197">
        <v>0.02</v>
      </c>
      <c r="R67" s="198">
        <f t="shared" si="5"/>
        <v>-1.4999999999999999E-2</v>
      </c>
      <c r="S67" s="194"/>
      <c r="T67" s="194"/>
      <c r="U67" s="194"/>
      <c r="V67" s="194"/>
      <c r="W67" s="194"/>
      <c r="X67" s="194"/>
      <c r="Y67" s="194"/>
      <c r="Z67" s="194"/>
      <c r="AA67" s="194"/>
      <c r="AB67" s="194"/>
      <c r="AC67" s="194"/>
      <c r="AD67" s="194"/>
    </row>
    <row r="68" spans="1:30" hidden="1" x14ac:dyDescent="0.3">
      <c r="A68" s="867"/>
      <c r="B68" s="828"/>
      <c r="C68" s="173" t="s">
        <v>63</v>
      </c>
      <c r="D68" s="172">
        <f t="shared" si="10"/>
        <v>0</v>
      </c>
      <c r="E68" s="172">
        <f t="shared" si="10"/>
        <v>0</v>
      </c>
      <c r="F68" s="172">
        <f t="shared" si="10"/>
        <v>7.5000000000000002E-4</v>
      </c>
      <c r="G68" s="172">
        <f t="shared" si="10"/>
        <v>4.0000000000000002E-4</v>
      </c>
      <c r="H68" s="172">
        <f t="shared" si="10"/>
        <v>7.5000000000000002E-4</v>
      </c>
      <c r="I68" s="172">
        <f t="shared" si="10"/>
        <v>2.5000000000000001E-4</v>
      </c>
      <c r="J68" s="172">
        <f t="shared" si="10"/>
        <v>5.0000000000000001E-4</v>
      </c>
      <c r="K68" s="172">
        <f t="shared" si="10"/>
        <v>5.0000000000000001E-4</v>
      </c>
      <c r="L68" s="172">
        <f t="shared" si="10"/>
        <v>2.9999999999999997E-4</v>
      </c>
      <c r="M68" s="172">
        <f t="shared" si="10"/>
        <v>5.0000000000000001E-4</v>
      </c>
      <c r="N68" s="172">
        <f t="shared" si="10"/>
        <v>0</v>
      </c>
      <c r="O68" s="172">
        <f t="shared" si="10"/>
        <v>0</v>
      </c>
      <c r="P68" s="171">
        <f t="shared" si="4"/>
        <v>3.9500000000000004E-3</v>
      </c>
      <c r="Q68" s="199">
        <f>+P68</f>
        <v>3.9500000000000004E-3</v>
      </c>
      <c r="R68" s="198">
        <f t="shared" si="5"/>
        <v>0</v>
      </c>
      <c r="S68" s="194"/>
      <c r="T68" s="194"/>
      <c r="U68" s="194"/>
      <c r="V68" s="194"/>
      <c r="W68" s="194"/>
      <c r="X68" s="194"/>
      <c r="Y68" s="194"/>
      <c r="Z68" s="194"/>
      <c r="AA68" s="194"/>
      <c r="AB68" s="194"/>
      <c r="AC68" s="194"/>
      <c r="AD68" s="194"/>
    </row>
    <row r="69" spans="1:30" hidden="1" x14ac:dyDescent="0.3">
      <c r="A69" s="546" t="str">
        <f>A50</f>
        <v>31. Acompañar técnicamente a las consejeras del sector mujeres del Consejo Distrital de jóvenes</v>
      </c>
      <c r="B69" s="548">
        <f>B50</f>
        <v>5.0000000000000001E-3</v>
      </c>
      <c r="C69" s="176" t="s">
        <v>62</v>
      </c>
      <c r="D69" s="175">
        <f t="shared" ref="D69:O70" si="11">D50*$B$50/$P$50</f>
        <v>0</v>
      </c>
      <c r="E69" s="175">
        <f t="shared" si="11"/>
        <v>4.0000000000000007E-4</v>
      </c>
      <c r="F69" s="175">
        <f t="shared" si="11"/>
        <v>4.0000000000000007E-4</v>
      </c>
      <c r="G69" s="175">
        <f t="shared" si="11"/>
        <v>4.0000000000000007E-4</v>
      </c>
      <c r="H69" s="175">
        <f t="shared" si="11"/>
        <v>4.0000000000000007E-4</v>
      </c>
      <c r="I69" s="175">
        <f t="shared" si="11"/>
        <v>4.0000000000000007E-4</v>
      </c>
      <c r="J69" s="175">
        <f t="shared" si="11"/>
        <v>5.0000000000000012E-4</v>
      </c>
      <c r="K69" s="175">
        <f t="shared" si="11"/>
        <v>5.0000000000000012E-4</v>
      </c>
      <c r="L69" s="175">
        <f t="shared" si="11"/>
        <v>5.0000000000000012E-4</v>
      </c>
      <c r="M69" s="175">
        <f t="shared" si="11"/>
        <v>5.0000000000000012E-4</v>
      </c>
      <c r="N69" s="175">
        <f t="shared" si="11"/>
        <v>5.0000000000000012E-4</v>
      </c>
      <c r="O69" s="175">
        <f t="shared" si="11"/>
        <v>5.0000000000000012E-4</v>
      </c>
      <c r="P69" s="174">
        <f t="shared" si="4"/>
        <v>5.0000000000000018E-3</v>
      </c>
      <c r="Q69" s="197">
        <v>0.02</v>
      </c>
      <c r="R69" s="198">
        <f t="shared" si="5"/>
        <v>-1.4999999999999999E-2</v>
      </c>
      <c r="S69" s="194"/>
      <c r="T69" s="194"/>
      <c r="U69" s="194"/>
      <c r="V69" s="194"/>
      <c r="W69" s="194"/>
      <c r="X69" s="194"/>
      <c r="Y69" s="194"/>
      <c r="Z69" s="194"/>
      <c r="AA69" s="194"/>
      <c r="AB69" s="194"/>
      <c r="AC69" s="194"/>
      <c r="AD69" s="194"/>
    </row>
    <row r="70" spans="1:30" hidden="1" x14ac:dyDescent="0.3">
      <c r="A70" s="867"/>
      <c r="B70" s="828"/>
      <c r="C70" s="173" t="s">
        <v>63</v>
      </c>
      <c r="D70" s="172">
        <f t="shared" si="11"/>
        <v>0</v>
      </c>
      <c r="E70" s="172">
        <f t="shared" si="11"/>
        <v>4.0000000000000007E-4</v>
      </c>
      <c r="F70" s="172">
        <f t="shared" si="11"/>
        <v>4.0000000000000007E-4</v>
      </c>
      <c r="G70" s="172">
        <f t="shared" si="11"/>
        <v>4.0000000000000007E-4</v>
      </c>
      <c r="H70" s="172">
        <f t="shared" si="11"/>
        <v>4.0000000000000007E-4</v>
      </c>
      <c r="I70" s="172">
        <f t="shared" si="11"/>
        <v>4.0000000000000007E-4</v>
      </c>
      <c r="J70" s="172">
        <f t="shared" si="11"/>
        <v>5.0000000000000012E-4</v>
      </c>
      <c r="K70" s="172">
        <f t="shared" si="11"/>
        <v>5.0000000000000012E-4</v>
      </c>
      <c r="L70" s="172">
        <f t="shared" si="11"/>
        <v>5.0000000000000012E-4</v>
      </c>
      <c r="M70" s="172">
        <f t="shared" si="11"/>
        <v>5.0000000000000012E-4</v>
      </c>
      <c r="N70" s="172">
        <f t="shared" si="11"/>
        <v>0</v>
      </c>
      <c r="O70" s="172">
        <f t="shared" si="11"/>
        <v>0</v>
      </c>
      <c r="P70" s="171">
        <f t="shared" si="4"/>
        <v>4.000000000000001E-3</v>
      </c>
      <c r="Q70" s="199">
        <f>+P70</f>
        <v>4.000000000000001E-3</v>
      </c>
      <c r="R70" s="198">
        <f t="shared" si="5"/>
        <v>0</v>
      </c>
      <c r="S70" s="194"/>
      <c r="T70" s="194"/>
      <c r="U70" s="194"/>
      <c r="V70" s="194"/>
      <c r="W70" s="194"/>
      <c r="X70" s="194"/>
      <c r="Y70" s="194"/>
      <c r="Z70" s="194"/>
      <c r="AA70" s="194"/>
      <c r="AB70" s="194"/>
      <c r="AC70" s="194"/>
      <c r="AD70" s="194"/>
    </row>
    <row r="71" spans="1:30" hidden="1" x14ac:dyDescent="0.3">
      <c r="A71" s="195"/>
      <c r="B71" s="169"/>
      <c r="C71" s="170"/>
      <c r="D71" s="165">
        <f t="shared" ref="D71:P71" si="12">D58+D60+D62+D64+D66+D68+D70</f>
        <v>5.0000000000000012E-4</v>
      </c>
      <c r="E71" s="165">
        <f t="shared" si="12"/>
        <v>3.4500000000000008E-3</v>
      </c>
      <c r="F71" s="165">
        <f t="shared" si="12"/>
        <v>4.7000000000000011E-3</v>
      </c>
      <c r="G71" s="165">
        <f t="shared" si="12"/>
        <v>4.3500000000000014E-3</v>
      </c>
      <c r="H71" s="165">
        <f t="shared" si="12"/>
        <v>4.7000000000000011E-3</v>
      </c>
      <c r="I71" s="165">
        <f t="shared" si="12"/>
        <v>4.2000000000000015E-3</v>
      </c>
      <c r="J71" s="165">
        <f t="shared" si="12"/>
        <v>4.850000000000001E-3</v>
      </c>
      <c r="K71" s="165">
        <f t="shared" si="12"/>
        <v>4.850000000000001E-3</v>
      </c>
      <c r="L71" s="165">
        <f t="shared" si="12"/>
        <v>4.6500000000000014E-3</v>
      </c>
      <c r="M71" s="165">
        <f t="shared" si="12"/>
        <v>4.850000000000001E-3</v>
      </c>
      <c r="N71" s="165">
        <f t="shared" si="12"/>
        <v>0</v>
      </c>
      <c r="O71" s="165">
        <f t="shared" si="12"/>
        <v>0</v>
      </c>
      <c r="P71" s="165">
        <f t="shared" si="12"/>
        <v>4.1100000000000012E-2</v>
      </c>
      <c r="Q71" s="195"/>
      <c r="R71" s="198">
        <f t="shared" si="5"/>
        <v>4.1100000000000012E-2</v>
      </c>
      <c r="S71" s="194"/>
      <c r="T71" s="194"/>
      <c r="U71" s="194"/>
      <c r="V71" s="194"/>
      <c r="W71" s="194"/>
      <c r="X71" s="194"/>
      <c r="Y71" s="194"/>
      <c r="Z71" s="194"/>
      <c r="AA71" s="194"/>
      <c r="AB71" s="194"/>
      <c r="AC71" s="194"/>
      <c r="AD71" s="194"/>
    </row>
    <row r="72" spans="1:30" hidden="1" x14ac:dyDescent="0.3">
      <c r="A72" s="195"/>
      <c r="B72" s="167"/>
      <c r="C72" s="164" t="s">
        <v>63</v>
      </c>
      <c r="D72" s="163">
        <f t="shared" ref="D72:O72" si="13">D71*$W$17/$B$34</f>
        <v>4.0000000000000008E-2</v>
      </c>
      <c r="E72" s="163">
        <f t="shared" si="13"/>
        <v>0.27600000000000002</v>
      </c>
      <c r="F72" s="163">
        <f t="shared" si="13"/>
        <v>0.37600000000000006</v>
      </c>
      <c r="G72" s="163">
        <f t="shared" si="13"/>
        <v>0.34800000000000009</v>
      </c>
      <c r="H72" s="163">
        <f t="shared" si="13"/>
        <v>0.37600000000000006</v>
      </c>
      <c r="I72" s="163">
        <f t="shared" si="13"/>
        <v>0.33600000000000008</v>
      </c>
      <c r="J72" s="163">
        <f t="shared" si="13"/>
        <v>0.38800000000000007</v>
      </c>
      <c r="K72" s="163">
        <f t="shared" si="13"/>
        <v>0.38800000000000007</v>
      </c>
      <c r="L72" s="163">
        <f t="shared" si="13"/>
        <v>0.37200000000000011</v>
      </c>
      <c r="M72" s="163">
        <f t="shared" si="13"/>
        <v>0.38800000000000007</v>
      </c>
      <c r="N72" s="163">
        <f t="shared" si="13"/>
        <v>0</v>
      </c>
      <c r="O72" s="163">
        <f t="shared" si="13"/>
        <v>0</v>
      </c>
      <c r="P72" s="162">
        <f>SUM(D72:O72)</f>
        <v>3.2880000000000003</v>
      </c>
      <c r="Q72" s="196"/>
      <c r="R72" s="195"/>
      <c r="S72" s="194"/>
      <c r="T72" s="194"/>
      <c r="U72" s="194"/>
      <c r="V72" s="194"/>
      <c r="W72" s="194"/>
      <c r="X72" s="194"/>
      <c r="Y72" s="194"/>
      <c r="Z72" s="194"/>
      <c r="AA72" s="194"/>
      <c r="AB72" s="194"/>
      <c r="AC72" s="194"/>
      <c r="AD72" s="194"/>
    </row>
    <row r="73" spans="1:30" hidden="1" x14ac:dyDescent="0.3">
      <c r="A73" s="196"/>
      <c r="B73" s="166"/>
      <c r="C73" s="166"/>
      <c r="D73" s="166"/>
      <c r="E73" s="166"/>
      <c r="F73" s="166"/>
      <c r="G73" s="166"/>
      <c r="H73" s="166"/>
      <c r="I73" s="166"/>
      <c r="J73" s="166"/>
      <c r="K73" s="166"/>
      <c r="L73" s="166"/>
      <c r="M73" s="166"/>
      <c r="N73" s="166"/>
      <c r="O73" s="166"/>
      <c r="P73" s="166"/>
      <c r="Q73" s="196"/>
      <c r="R73" s="196"/>
      <c r="S73" s="194"/>
      <c r="T73" s="194"/>
      <c r="U73" s="194"/>
      <c r="V73" s="194"/>
      <c r="W73" s="194"/>
      <c r="X73" s="194"/>
      <c r="Y73" s="194"/>
      <c r="Z73" s="194"/>
      <c r="AA73" s="194"/>
      <c r="AB73" s="194"/>
      <c r="AC73" s="194"/>
      <c r="AD73" s="194"/>
    </row>
    <row r="74" spans="1:30" hidden="1" x14ac:dyDescent="0.3">
      <c r="A74" s="197"/>
      <c r="B74" s="108"/>
      <c r="C74" s="108"/>
      <c r="D74" s="165">
        <f t="shared" ref="D74:O74" si="14">+D57+D59+D61+D63+D65+D67+D69</f>
        <v>5.0000000000000012E-4</v>
      </c>
      <c r="E74" s="165">
        <f t="shared" si="14"/>
        <v>3.4500000000000008E-3</v>
      </c>
      <c r="F74" s="165">
        <f t="shared" si="14"/>
        <v>4.7000000000000011E-3</v>
      </c>
      <c r="G74" s="165">
        <f t="shared" si="14"/>
        <v>4.3500000000000014E-3</v>
      </c>
      <c r="H74" s="165">
        <f t="shared" si="14"/>
        <v>4.7000000000000011E-3</v>
      </c>
      <c r="I74" s="165">
        <f t="shared" si="14"/>
        <v>4.2000000000000015E-3</v>
      </c>
      <c r="J74" s="165">
        <f t="shared" si="14"/>
        <v>4.850000000000001E-3</v>
      </c>
      <c r="K74" s="165">
        <f t="shared" si="14"/>
        <v>4.850000000000001E-3</v>
      </c>
      <c r="L74" s="165">
        <f t="shared" si="14"/>
        <v>4.6500000000000014E-3</v>
      </c>
      <c r="M74" s="165">
        <f t="shared" si="14"/>
        <v>4.850000000000001E-3</v>
      </c>
      <c r="N74" s="165">
        <f t="shared" si="14"/>
        <v>5.1000000000000012E-3</v>
      </c>
      <c r="O74" s="165">
        <f t="shared" si="14"/>
        <v>3.8000000000000004E-3</v>
      </c>
      <c r="P74" s="165">
        <f>SUM(D74:O74)</f>
        <v>5.000000000000001E-2</v>
      </c>
      <c r="Q74" s="197"/>
      <c r="R74" s="197"/>
      <c r="S74" s="194"/>
      <c r="T74" s="194"/>
      <c r="U74" s="194"/>
      <c r="V74" s="194"/>
      <c r="W74" s="194"/>
      <c r="X74" s="194"/>
      <c r="Y74" s="194"/>
      <c r="Z74" s="194"/>
      <c r="AA74" s="194"/>
      <c r="AB74" s="194"/>
      <c r="AC74" s="194"/>
      <c r="AD74" s="194"/>
    </row>
    <row r="75" spans="1:30" hidden="1" x14ac:dyDescent="0.3">
      <c r="A75" s="197"/>
      <c r="B75" s="108"/>
      <c r="C75" s="164" t="s">
        <v>62</v>
      </c>
      <c r="D75" s="163">
        <f t="shared" ref="D75:O75" si="15">D74*$W$17/$B$34</f>
        <v>4.0000000000000008E-2</v>
      </c>
      <c r="E75" s="163">
        <f t="shared" si="15"/>
        <v>0.27600000000000002</v>
      </c>
      <c r="F75" s="163">
        <f t="shared" si="15"/>
        <v>0.37600000000000006</v>
      </c>
      <c r="G75" s="163">
        <f t="shared" si="15"/>
        <v>0.34800000000000009</v>
      </c>
      <c r="H75" s="163">
        <f t="shared" si="15"/>
        <v>0.37600000000000006</v>
      </c>
      <c r="I75" s="163">
        <f t="shared" si="15"/>
        <v>0.33600000000000008</v>
      </c>
      <c r="J75" s="163">
        <f t="shared" si="15"/>
        <v>0.38800000000000007</v>
      </c>
      <c r="K75" s="163">
        <f t="shared" si="15"/>
        <v>0.38800000000000007</v>
      </c>
      <c r="L75" s="163">
        <f t="shared" si="15"/>
        <v>0.37200000000000011</v>
      </c>
      <c r="M75" s="163">
        <f t="shared" si="15"/>
        <v>0.38800000000000007</v>
      </c>
      <c r="N75" s="163">
        <f t="shared" si="15"/>
        <v>0.40800000000000008</v>
      </c>
      <c r="O75" s="163">
        <f t="shared" si="15"/>
        <v>0.30399999999999999</v>
      </c>
      <c r="P75" s="162">
        <f>SUM(D75:O75)</f>
        <v>4</v>
      </c>
      <c r="Q75" s="197"/>
      <c r="R75" s="197"/>
      <c r="S75" s="194"/>
      <c r="T75" s="194"/>
      <c r="U75" s="194"/>
      <c r="V75" s="194"/>
      <c r="W75" s="194"/>
      <c r="X75" s="194"/>
      <c r="Y75" s="194"/>
      <c r="Z75" s="194"/>
      <c r="AA75" s="194"/>
      <c r="AB75" s="194"/>
      <c r="AC75" s="194"/>
      <c r="AD75" s="194"/>
    </row>
    <row r="76" spans="1:30" hidden="1" x14ac:dyDescent="0.3">
      <c r="A76" s="194"/>
      <c r="Q76" s="194"/>
      <c r="R76" s="194"/>
      <c r="S76" s="194"/>
      <c r="T76" s="194"/>
      <c r="U76" s="194"/>
      <c r="V76" s="194"/>
      <c r="W76" s="194"/>
      <c r="X76" s="194"/>
      <c r="Y76" s="194"/>
      <c r="Z76" s="194"/>
      <c r="AA76" s="194"/>
      <c r="AB76" s="194"/>
      <c r="AC76" s="194"/>
      <c r="AD76" s="194"/>
    </row>
    <row r="77" spans="1:30" hidden="1" x14ac:dyDescent="0.3">
      <c r="A77" s="194"/>
      <c r="Q77" s="194"/>
      <c r="R77" s="194"/>
      <c r="S77" s="194"/>
      <c r="T77" s="194"/>
      <c r="U77" s="194"/>
      <c r="V77" s="194"/>
      <c r="W77" s="194"/>
      <c r="X77" s="194"/>
      <c r="Y77" s="194"/>
      <c r="Z77" s="194"/>
      <c r="AA77" s="194"/>
      <c r="AB77" s="194"/>
      <c r="AC77" s="194"/>
      <c r="AD77" s="194"/>
    </row>
    <row r="78" spans="1:30" hidden="1" x14ac:dyDescent="0.3">
      <c r="A78" s="194"/>
      <c r="Q78" s="194"/>
      <c r="R78" s="194"/>
      <c r="S78" s="194"/>
      <c r="T78" s="194"/>
      <c r="U78" s="194"/>
      <c r="V78" s="194"/>
      <c r="W78" s="194"/>
      <c r="X78" s="194"/>
      <c r="Y78" s="194"/>
      <c r="Z78" s="194"/>
      <c r="AA78" s="194"/>
      <c r="AB78" s="194"/>
      <c r="AC78" s="194"/>
      <c r="AD78" s="194"/>
    </row>
    <row r="79" spans="1:30" hidden="1" x14ac:dyDescent="0.3">
      <c r="A79" s="194"/>
      <c r="Q79" s="194"/>
      <c r="R79" s="194"/>
      <c r="S79" s="194"/>
      <c r="T79" s="194"/>
      <c r="U79" s="194"/>
      <c r="V79" s="194"/>
      <c r="W79" s="194"/>
      <c r="X79" s="194"/>
      <c r="Y79" s="194"/>
      <c r="Z79" s="194"/>
      <c r="AA79" s="194"/>
      <c r="AB79" s="194"/>
      <c r="AC79" s="194"/>
      <c r="AD79" s="194"/>
    </row>
    <row r="80" spans="1:30" hidden="1" x14ac:dyDescent="0.3">
      <c r="A80" s="194"/>
      <c r="Q80" s="194"/>
      <c r="R80" s="194"/>
      <c r="S80" s="194"/>
      <c r="T80" s="194"/>
      <c r="U80" s="194"/>
      <c r="V80" s="194"/>
      <c r="W80" s="194"/>
      <c r="X80" s="194"/>
      <c r="Y80" s="194"/>
      <c r="Z80" s="194"/>
      <c r="AA80" s="194"/>
      <c r="AB80" s="194"/>
      <c r="AC80" s="194"/>
      <c r="AD80" s="194"/>
    </row>
    <row r="81" spans="1:30" hidden="1" x14ac:dyDescent="0.3">
      <c r="A81" s="194"/>
      <c r="Q81" s="194"/>
      <c r="R81" s="194"/>
      <c r="S81" s="194"/>
      <c r="T81" s="194"/>
      <c r="U81" s="194"/>
      <c r="V81" s="194"/>
      <c r="W81" s="194"/>
      <c r="X81" s="194"/>
      <c r="Y81" s="194"/>
      <c r="Z81" s="194"/>
      <c r="AA81" s="194"/>
      <c r="AB81" s="194"/>
      <c r="AC81" s="194"/>
      <c r="AD81" s="194"/>
    </row>
    <row r="82" spans="1:30" hidden="1" x14ac:dyDescent="0.3">
      <c r="A82" s="194"/>
      <c r="Q82" s="194"/>
      <c r="R82" s="194"/>
      <c r="S82" s="194"/>
      <c r="T82" s="194"/>
      <c r="U82" s="194"/>
      <c r="V82" s="194"/>
      <c r="W82" s="194"/>
      <c r="X82" s="194"/>
      <c r="Y82" s="194"/>
      <c r="Z82" s="194"/>
      <c r="AA82" s="194"/>
      <c r="AB82" s="194"/>
      <c r="AC82" s="194"/>
      <c r="AD82" s="194"/>
    </row>
    <row r="83" spans="1:30" hidden="1" x14ac:dyDescent="0.3">
      <c r="A83" s="194"/>
      <c r="Q83" s="194"/>
      <c r="R83" s="194"/>
      <c r="S83" s="194"/>
      <c r="T83" s="194"/>
      <c r="U83" s="194"/>
      <c r="V83" s="194"/>
      <c r="W83" s="194"/>
      <c r="X83" s="194"/>
      <c r="Y83" s="194"/>
      <c r="Z83" s="194"/>
      <c r="AA83" s="194"/>
      <c r="AB83" s="194"/>
      <c r="AC83" s="194"/>
      <c r="AD83" s="194"/>
    </row>
    <row r="84" spans="1:30" hidden="1" x14ac:dyDescent="0.3">
      <c r="A84" s="194"/>
      <c r="Q84" s="194"/>
      <c r="R84" s="194"/>
      <c r="S84" s="194"/>
      <c r="T84" s="194"/>
      <c r="U84" s="194"/>
      <c r="V84" s="194"/>
      <c r="W84" s="194"/>
      <c r="X84" s="194"/>
      <c r="Y84" s="194"/>
      <c r="Z84" s="194"/>
      <c r="AA84" s="194"/>
      <c r="AB84" s="194"/>
      <c r="AC84" s="194"/>
      <c r="AD84" s="194"/>
    </row>
    <row r="85" spans="1:30" hidden="1" x14ac:dyDescent="0.3">
      <c r="A85" s="194"/>
      <c r="Q85" s="194"/>
      <c r="R85" s="194"/>
      <c r="S85" s="194"/>
      <c r="T85" s="194"/>
      <c r="U85" s="194"/>
      <c r="V85" s="194"/>
      <c r="W85" s="194"/>
      <c r="X85" s="194"/>
      <c r="Y85" s="194"/>
      <c r="Z85" s="194"/>
      <c r="AA85" s="194"/>
      <c r="AB85" s="194"/>
      <c r="AC85" s="194"/>
      <c r="AD85" s="194"/>
    </row>
    <row r="86" spans="1:30" hidden="1" x14ac:dyDescent="0.3">
      <c r="A86" s="194"/>
      <c r="Q86" s="194"/>
      <c r="R86" s="194"/>
      <c r="S86" s="194"/>
      <c r="T86" s="194"/>
      <c r="U86" s="194"/>
      <c r="V86" s="194"/>
      <c r="W86" s="194"/>
      <c r="X86" s="194"/>
      <c r="Y86" s="194"/>
      <c r="Z86" s="194"/>
      <c r="AA86" s="194"/>
      <c r="AB86" s="194"/>
      <c r="AC86" s="194"/>
      <c r="AD86" s="194"/>
    </row>
    <row r="87" spans="1:30" hidden="1" x14ac:dyDescent="0.3">
      <c r="A87" s="194"/>
      <c r="Q87" s="194"/>
      <c r="R87" s="194"/>
      <c r="S87" s="194"/>
      <c r="T87" s="194"/>
      <c r="U87" s="194"/>
      <c r="V87" s="194"/>
      <c r="W87" s="194"/>
      <c r="X87" s="194"/>
      <c r="Y87" s="194"/>
      <c r="Z87" s="194"/>
      <c r="AA87" s="194"/>
      <c r="AB87" s="194"/>
      <c r="AC87" s="194"/>
      <c r="AD87" s="194"/>
    </row>
    <row r="88" spans="1:30" hidden="1" x14ac:dyDescent="0.3">
      <c r="A88" s="194"/>
      <c r="Q88" s="194"/>
      <c r="R88" s="194"/>
      <c r="S88" s="194"/>
      <c r="T88" s="194"/>
      <c r="U88" s="194"/>
      <c r="V88" s="194"/>
      <c r="W88" s="194"/>
      <c r="X88" s="194"/>
      <c r="Y88" s="194"/>
      <c r="Z88" s="194"/>
      <c r="AA88" s="194"/>
      <c r="AB88" s="194"/>
      <c r="AC88" s="194"/>
      <c r="AD88" s="194"/>
    </row>
    <row r="89" spans="1:30" hidden="1" x14ac:dyDescent="0.3">
      <c r="A89" s="194"/>
      <c r="Q89" s="194"/>
      <c r="R89" s="194"/>
      <c r="S89" s="194"/>
      <c r="T89" s="194"/>
      <c r="U89" s="194"/>
      <c r="V89" s="194"/>
      <c r="W89" s="194"/>
      <c r="X89" s="194"/>
      <c r="Y89" s="194"/>
      <c r="Z89" s="194"/>
      <c r="AA89" s="194"/>
      <c r="AB89" s="194"/>
      <c r="AC89" s="194"/>
      <c r="AD89" s="194"/>
    </row>
    <row r="90" spans="1:30" x14ac:dyDescent="0.3">
      <c r="A90" s="194"/>
      <c r="Q90" s="194"/>
      <c r="R90" s="194"/>
      <c r="S90" s="194"/>
      <c r="T90" s="194"/>
      <c r="U90" s="194"/>
      <c r="V90" s="194"/>
      <c r="W90" s="194"/>
      <c r="X90" s="194"/>
      <c r="Y90" s="194"/>
      <c r="Z90" s="194"/>
      <c r="AA90" s="194"/>
      <c r="AB90" s="194"/>
      <c r="AC90" s="194"/>
      <c r="AD90" s="194"/>
    </row>
    <row r="91" spans="1:30" x14ac:dyDescent="0.3">
      <c r="A91" s="194"/>
      <c r="Q91" s="194"/>
      <c r="R91" s="194"/>
      <c r="S91" s="194"/>
      <c r="T91" s="194"/>
      <c r="U91" s="194"/>
      <c r="V91" s="194"/>
      <c r="W91" s="194"/>
      <c r="X91" s="194"/>
      <c r="Y91" s="194"/>
      <c r="Z91" s="194"/>
      <c r="AA91" s="194"/>
      <c r="AB91" s="194"/>
      <c r="AC91" s="194"/>
      <c r="AD91" s="194"/>
    </row>
    <row r="92" spans="1:30" x14ac:dyDescent="0.3">
      <c r="A92" s="194"/>
      <c r="Q92" s="194"/>
      <c r="R92" s="194"/>
      <c r="S92" s="194"/>
      <c r="T92" s="194"/>
      <c r="U92" s="194"/>
      <c r="V92" s="194"/>
      <c r="W92" s="194"/>
      <c r="X92" s="194"/>
      <c r="Y92" s="194"/>
      <c r="Z92" s="194"/>
      <c r="AA92" s="194"/>
      <c r="AB92" s="194"/>
      <c r="AC92" s="194"/>
      <c r="AD92" s="194"/>
    </row>
    <row r="93" spans="1:30" x14ac:dyDescent="0.3">
      <c r="A93" s="194"/>
      <c r="Q93" s="194"/>
      <c r="R93" s="194"/>
      <c r="S93" s="194"/>
      <c r="T93" s="194"/>
      <c r="U93" s="194"/>
      <c r="V93" s="194"/>
      <c r="W93" s="194"/>
      <c r="X93" s="194"/>
      <c r="Y93" s="194"/>
      <c r="Z93" s="194"/>
      <c r="AA93" s="194"/>
      <c r="AB93" s="194"/>
      <c r="AC93" s="194"/>
      <c r="AD93" s="194"/>
    </row>
    <row r="94" spans="1:30" x14ac:dyDescent="0.3">
      <c r="A94" s="194"/>
      <c r="Q94" s="194"/>
      <c r="R94" s="194"/>
      <c r="S94" s="194"/>
      <c r="T94" s="194"/>
      <c r="U94" s="194"/>
      <c r="V94" s="194"/>
      <c r="W94" s="194"/>
      <c r="X94" s="194"/>
      <c r="Y94" s="194"/>
      <c r="Z94" s="194"/>
      <c r="AA94" s="194"/>
      <c r="AB94" s="194"/>
      <c r="AC94" s="194"/>
      <c r="AD94" s="194"/>
    </row>
    <row r="95" spans="1:30" x14ac:dyDescent="0.3">
      <c r="A95" s="194"/>
      <c r="Q95" s="194"/>
      <c r="R95" s="194"/>
      <c r="S95" s="194"/>
      <c r="T95" s="194"/>
      <c r="U95" s="194"/>
      <c r="V95" s="194"/>
      <c r="W95" s="194"/>
      <c r="X95" s="194"/>
      <c r="Y95" s="194"/>
      <c r="Z95" s="194"/>
      <c r="AA95" s="194"/>
      <c r="AB95" s="194"/>
      <c r="AC95" s="194"/>
      <c r="AD95" s="194"/>
    </row>
    <row r="96" spans="1:30" x14ac:dyDescent="0.3">
      <c r="A96" s="194"/>
      <c r="Q96" s="194"/>
      <c r="R96" s="194"/>
      <c r="S96" s="194"/>
      <c r="T96" s="194"/>
      <c r="U96" s="194"/>
      <c r="V96" s="194"/>
      <c r="W96" s="194"/>
      <c r="X96" s="194"/>
      <c r="Y96" s="194"/>
      <c r="Z96" s="194"/>
      <c r="AA96" s="194"/>
      <c r="AB96" s="194"/>
      <c r="AC96" s="194"/>
      <c r="AD96" s="194"/>
    </row>
    <row r="97" spans="1:30" x14ac:dyDescent="0.3">
      <c r="A97" s="194"/>
      <c r="Q97" s="194"/>
      <c r="R97" s="194"/>
      <c r="S97" s="194"/>
      <c r="T97" s="194"/>
      <c r="U97" s="194"/>
      <c r="V97" s="194"/>
      <c r="W97" s="194"/>
      <c r="X97" s="194"/>
      <c r="Y97" s="194"/>
      <c r="Z97" s="194"/>
      <c r="AA97" s="194"/>
      <c r="AB97" s="194"/>
      <c r="AC97" s="194"/>
      <c r="AD97" s="194"/>
    </row>
    <row r="98" spans="1:30" x14ac:dyDescent="0.3">
      <c r="A98" s="194"/>
      <c r="Q98" s="194"/>
      <c r="R98" s="194"/>
      <c r="S98" s="194"/>
      <c r="T98" s="194"/>
      <c r="U98" s="194"/>
      <c r="V98" s="194"/>
      <c r="W98" s="194"/>
      <c r="X98" s="194"/>
      <c r="Y98" s="194"/>
      <c r="Z98" s="194"/>
      <c r="AA98" s="194"/>
      <c r="AB98" s="194"/>
      <c r="AC98" s="194"/>
      <c r="AD98" s="194"/>
    </row>
    <row r="99" spans="1:30" x14ac:dyDescent="0.3">
      <c r="A99" s="194"/>
      <c r="Q99" s="194"/>
      <c r="R99" s="194"/>
      <c r="S99" s="194"/>
      <c r="T99" s="194"/>
      <c r="U99" s="194"/>
      <c r="V99" s="194"/>
      <c r="W99" s="194"/>
      <c r="X99" s="194"/>
      <c r="Y99" s="194"/>
      <c r="Z99" s="194"/>
      <c r="AA99" s="194"/>
      <c r="AB99" s="194"/>
      <c r="AC99" s="194"/>
      <c r="AD99" s="194"/>
    </row>
    <row r="100" spans="1:30" x14ac:dyDescent="0.3">
      <c r="A100" s="194"/>
      <c r="Q100" s="194"/>
      <c r="R100" s="194"/>
      <c r="S100" s="194"/>
      <c r="T100" s="194"/>
      <c r="U100" s="194"/>
      <c r="V100" s="194"/>
      <c r="W100" s="194"/>
      <c r="X100" s="194"/>
      <c r="Y100" s="194"/>
      <c r="Z100" s="194"/>
      <c r="AA100" s="194"/>
      <c r="AB100" s="194"/>
      <c r="AC100" s="194"/>
      <c r="AD100" s="194"/>
    </row>
    <row r="101" spans="1:30" x14ac:dyDescent="0.3">
      <c r="A101" s="194"/>
      <c r="Q101" s="194"/>
      <c r="R101" s="194"/>
      <c r="S101" s="194"/>
      <c r="T101" s="194"/>
      <c r="U101" s="194"/>
      <c r="V101" s="194"/>
      <c r="W101" s="194"/>
      <c r="X101" s="194"/>
      <c r="Y101" s="194"/>
      <c r="Z101" s="194"/>
      <c r="AA101" s="194"/>
      <c r="AB101" s="194"/>
      <c r="AC101" s="194"/>
      <c r="AD101" s="194"/>
    </row>
    <row r="102" spans="1:30" x14ac:dyDescent="0.3">
      <c r="Q102" s="194"/>
      <c r="R102" s="194"/>
      <c r="S102" s="194"/>
      <c r="T102" s="194"/>
      <c r="U102" s="194"/>
      <c r="V102" s="194"/>
      <c r="W102" s="194"/>
      <c r="X102" s="194"/>
      <c r="Y102" s="194"/>
      <c r="Z102" s="194"/>
      <c r="AA102" s="194"/>
      <c r="AB102" s="194"/>
      <c r="AC102" s="194"/>
      <c r="AD102" s="194"/>
    </row>
    <row r="103" spans="1:30" x14ac:dyDescent="0.3">
      <c r="Q103" s="194"/>
      <c r="R103" s="194"/>
      <c r="S103" s="194"/>
      <c r="T103" s="194"/>
      <c r="U103" s="194"/>
      <c r="V103" s="194"/>
      <c r="W103" s="194"/>
      <c r="X103" s="194"/>
      <c r="Y103" s="194"/>
      <c r="Z103" s="194"/>
      <c r="AA103" s="194"/>
      <c r="AB103" s="194"/>
      <c r="AC103" s="194"/>
      <c r="AD103" s="194"/>
    </row>
    <row r="104" spans="1:30" x14ac:dyDescent="0.3">
      <c r="Q104" s="194"/>
      <c r="R104" s="194"/>
      <c r="S104" s="194"/>
      <c r="T104" s="194"/>
      <c r="U104" s="194"/>
      <c r="V104" s="194"/>
      <c r="W104" s="194"/>
      <c r="X104" s="194"/>
      <c r="Y104" s="194"/>
      <c r="Z104" s="194"/>
      <c r="AA104" s="194"/>
      <c r="AB104" s="194"/>
      <c r="AC104" s="194"/>
      <c r="AD104" s="194"/>
    </row>
    <row r="105" spans="1:30" x14ac:dyDescent="0.3">
      <c r="Q105" s="194"/>
      <c r="R105" s="194"/>
      <c r="S105" s="194"/>
      <c r="T105" s="194"/>
      <c r="U105" s="194"/>
      <c r="V105" s="194"/>
      <c r="W105" s="194"/>
      <c r="X105" s="194"/>
      <c r="Y105" s="194"/>
      <c r="Z105" s="194"/>
      <c r="AA105" s="194"/>
      <c r="AB105" s="194"/>
      <c r="AC105" s="194"/>
      <c r="AD105" s="194"/>
    </row>
    <row r="106" spans="1:30" x14ac:dyDescent="0.3">
      <c r="Q106" s="194"/>
      <c r="R106" s="194"/>
      <c r="S106" s="194"/>
      <c r="T106" s="194"/>
      <c r="U106" s="194"/>
      <c r="V106" s="194"/>
      <c r="W106" s="194"/>
      <c r="X106" s="194"/>
      <c r="Y106" s="194"/>
      <c r="Z106" s="194"/>
      <c r="AA106" s="194"/>
      <c r="AB106" s="194"/>
      <c r="AC106" s="194"/>
      <c r="AD106" s="194"/>
    </row>
    <row r="107" spans="1:30" x14ac:dyDescent="0.3">
      <c r="Q107" s="194"/>
      <c r="R107" s="194"/>
      <c r="S107" s="194"/>
      <c r="T107" s="194"/>
      <c r="U107" s="194"/>
      <c r="V107" s="194"/>
      <c r="W107" s="194"/>
      <c r="X107" s="194"/>
      <c r="Y107" s="194"/>
      <c r="Z107" s="194"/>
      <c r="AA107" s="194"/>
      <c r="AB107" s="194"/>
      <c r="AC107" s="194"/>
      <c r="AD107" s="194"/>
    </row>
    <row r="108" spans="1:30" x14ac:dyDescent="0.3">
      <c r="Q108" s="194"/>
      <c r="R108" s="194"/>
      <c r="S108" s="194"/>
      <c r="T108" s="194"/>
      <c r="U108" s="194"/>
      <c r="V108" s="194"/>
      <c r="W108" s="194"/>
      <c r="X108" s="194"/>
      <c r="Y108" s="194"/>
      <c r="Z108" s="194"/>
      <c r="AA108" s="194"/>
      <c r="AB108" s="194"/>
      <c r="AC108" s="194"/>
      <c r="AD108" s="194"/>
    </row>
    <row r="109" spans="1:30" x14ac:dyDescent="0.3">
      <c r="Q109" s="194"/>
      <c r="R109" s="194"/>
      <c r="S109" s="194"/>
      <c r="T109" s="194"/>
      <c r="U109" s="194"/>
      <c r="V109" s="194"/>
      <c r="W109" s="194"/>
      <c r="X109" s="194"/>
      <c r="Y109" s="194"/>
      <c r="Z109" s="194"/>
      <c r="AA109" s="194"/>
      <c r="AB109" s="194"/>
      <c r="AC109" s="194"/>
      <c r="AD109" s="194"/>
    </row>
    <row r="110" spans="1:30" x14ac:dyDescent="0.3">
      <c r="Q110" s="194"/>
      <c r="R110" s="194"/>
      <c r="S110" s="194"/>
      <c r="T110" s="194"/>
      <c r="U110" s="194"/>
      <c r="V110" s="194"/>
      <c r="W110" s="194"/>
      <c r="X110" s="194"/>
      <c r="Y110" s="194"/>
      <c r="Z110" s="194"/>
      <c r="AA110" s="194"/>
      <c r="AB110" s="194"/>
      <c r="AC110" s="194"/>
      <c r="AD110" s="194"/>
    </row>
    <row r="111" spans="1:30" x14ac:dyDescent="0.3">
      <c r="Q111" s="194"/>
      <c r="R111" s="194"/>
      <c r="S111" s="194"/>
      <c r="T111" s="194"/>
      <c r="U111" s="194"/>
      <c r="V111" s="194"/>
      <c r="W111" s="194"/>
      <c r="X111" s="194"/>
      <c r="Y111" s="194"/>
      <c r="Z111" s="194"/>
      <c r="AA111" s="194"/>
      <c r="AB111" s="194"/>
      <c r="AC111" s="194"/>
      <c r="AD111" s="194"/>
    </row>
    <row r="112" spans="1:30" x14ac:dyDescent="0.3">
      <c r="Q112" s="194"/>
      <c r="R112" s="194"/>
      <c r="S112" s="194"/>
      <c r="T112" s="194"/>
      <c r="U112" s="194"/>
      <c r="V112" s="194"/>
      <c r="W112" s="194"/>
      <c r="X112" s="194"/>
      <c r="Y112" s="194"/>
      <c r="Z112" s="194"/>
      <c r="AA112" s="194"/>
      <c r="AB112" s="194"/>
      <c r="AC112" s="194"/>
      <c r="AD112" s="194"/>
    </row>
    <row r="113" spans="17:30" x14ac:dyDescent="0.3">
      <c r="Q113" s="194"/>
      <c r="R113" s="194"/>
      <c r="S113" s="194"/>
      <c r="T113" s="194"/>
      <c r="U113" s="194"/>
      <c r="V113" s="194"/>
      <c r="W113" s="194"/>
      <c r="X113" s="194"/>
      <c r="Y113" s="194"/>
      <c r="Z113" s="194"/>
      <c r="AA113" s="194"/>
      <c r="AB113" s="194"/>
      <c r="AC113" s="194"/>
      <c r="AD113" s="194"/>
    </row>
    <row r="114" spans="17:30" x14ac:dyDescent="0.3">
      <c r="Q114" s="194"/>
      <c r="R114" s="194"/>
      <c r="S114" s="194"/>
      <c r="T114" s="194"/>
      <c r="U114" s="194"/>
      <c r="V114" s="194"/>
      <c r="W114" s="194"/>
      <c r="X114" s="194"/>
      <c r="Y114" s="194"/>
      <c r="Z114" s="194"/>
      <c r="AA114" s="194"/>
      <c r="AB114" s="194"/>
      <c r="AC114" s="194"/>
      <c r="AD114" s="194"/>
    </row>
    <row r="115" spans="17:30" x14ac:dyDescent="0.3">
      <c r="Q115" s="194"/>
      <c r="R115" s="194"/>
      <c r="S115" s="194"/>
      <c r="T115" s="194"/>
      <c r="U115" s="194"/>
      <c r="V115" s="194"/>
      <c r="W115" s="194"/>
      <c r="X115" s="194"/>
      <c r="Y115" s="194"/>
      <c r="Z115" s="194"/>
      <c r="AA115" s="194"/>
      <c r="AB115" s="194"/>
      <c r="AC115" s="194"/>
      <c r="AD115" s="194"/>
    </row>
    <row r="116" spans="17:30" x14ac:dyDescent="0.3">
      <c r="Q116" s="194"/>
      <c r="R116" s="194"/>
      <c r="S116" s="194"/>
      <c r="T116" s="194"/>
      <c r="U116" s="194"/>
      <c r="V116" s="194"/>
      <c r="W116" s="194"/>
      <c r="X116" s="194"/>
      <c r="Y116" s="194"/>
      <c r="Z116" s="194"/>
      <c r="AA116" s="194"/>
      <c r="AB116" s="194"/>
      <c r="AC116" s="194"/>
      <c r="AD116" s="194"/>
    </row>
    <row r="117" spans="17:30" x14ac:dyDescent="0.3">
      <c r="Q117" s="194"/>
      <c r="R117" s="194"/>
      <c r="S117" s="194"/>
      <c r="T117" s="194"/>
      <c r="U117" s="194"/>
      <c r="V117" s="194"/>
      <c r="W117" s="194"/>
      <c r="X117" s="194"/>
      <c r="Y117" s="194"/>
      <c r="Z117" s="194"/>
      <c r="AA117" s="194"/>
      <c r="AB117" s="194"/>
      <c r="AC117" s="194"/>
      <c r="AD117" s="194"/>
    </row>
    <row r="118" spans="17:30" x14ac:dyDescent="0.3">
      <c r="Q118" s="194"/>
      <c r="R118" s="194"/>
      <c r="S118" s="194"/>
      <c r="T118" s="194"/>
      <c r="U118" s="194"/>
      <c r="V118" s="194"/>
      <c r="W118" s="194"/>
      <c r="X118" s="194"/>
      <c r="Y118" s="194"/>
      <c r="Z118" s="194"/>
      <c r="AA118" s="194"/>
      <c r="AB118" s="194"/>
      <c r="AC118" s="194"/>
      <c r="AD118" s="194"/>
    </row>
    <row r="119" spans="17:30" x14ac:dyDescent="0.3">
      <c r="Q119" s="194"/>
      <c r="R119" s="194"/>
      <c r="S119" s="194"/>
      <c r="T119" s="194"/>
      <c r="U119" s="194"/>
      <c r="V119" s="194"/>
      <c r="W119" s="194"/>
      <c r="X119" s="194"/>
      <c r="Y119" s="194"/>
      <c r="Z119" s="194"/>
      <c r="AA119" s="194"/>
      <c r="AB119" s="194"/>
      <c r="AC119" s="194"/>
      <c r="AD119" s="194"/>
    </row>
    <row r="120" spans="17:30" x14ac:dyDescent="0.3">
      <c r="Q120" s="194"/>
      <c r="R120" s="194"/>
      <c r="S120" s="194"/>
      <c r="T120" s="194"/>
      <c r="U120" s="194"/>
      <c r="V120" s="194"/>
      <c r="W120" s="194"/>
      <c r="X120" s="194"/>
      <c r="Y120" s="194"/>
      <c r="Z120" s="194"/>
      <c r="AA120" s="194"/>
      <c r="AB120" s="194"/>
      <c r="AC120" s="194"/>
      <c r="AD120" s="194"/>
    </row>
    <row r="121" spans="17:30" x14ac:dyDescent="0.3">
      <c r="Q121" s="194"/>
      <c r="R121" s="194"/>
      <c r="S121" s="194"/>
      <c r="T121" s="194"/>
      <c r="U121" s="194"/>
      <c r="V121" s="194"/>
      <c r="W121" s="194"/>
      <c r="X121" s="194"/>
      <c r="Y121" s="194"/>
      <c r="Z121" s="194"/>
      <c r="AA121" s="194"/>
      <c r="AB121" s="194"/>
      <c r="AC121" s="194"/>
      <c r="AD121" s="194"/>
    </row>
    <row r="122" spans="17:30" x14ac:dyDescent="0.3">
      <c r="Q122" s="194"/>
      <c r="R122" s="194"/>
      <c r="S122" s="194"/>
      <c r="T122" s="194"/>
      <c r="U122" s="194"/>
      <c r="V122" s="194"/>
      <c r="W122" s="194"/>
      <c r="X122" s="194"/>
      <c r="Y122" s="194"/>
      <c r="Z122" s="194"/>
      <c r="AA122" s="194"/>
      <c r="AB122" s="194"/>
      <c r="AC122" s="194"/>
      <c r="AD122" s="194"/>
    </row>
    <row r="123" spans="17:30" x14ac:dyDescent="0.3">
      <c r="Q123" s="194"/>
      <c r="R123" s="194"/>
      <c r="S123" s="194"/>
      <c r="T123" s="194"/>
      <c r="U123" s="194"/>
      <c r="V123" s="194"/>
      <c r="W123" s="194"/>
      <c r="X123" s="194"/>
      <c r="Y123" s="194"/>
      <c r="Z123" s="194"/>
      <c r="AA123" s="194"/>
      <c r="AB123" s="194"/>
      <c r="AC123" s="194"/>
      <c r="AD123" s="194"/>
    </row>
    <row r="124" spans="17:30" x14ac:dyDescent="0.3">
      <c r="Q124" s="194"/>
      <c r="R124" s="194"/>
      <c r="S124" s="194"/>
      <c r="T124" s="194"/>
      <c r="U124" s="194"/>
      <c r="V124" s="194"/>
      <c r="W124" s="194"/>
      <c r="X124" s="194"/>
      <c r="Y124" s="194"/>
      <c r="Z124" s="194"/>
      <c r="AA124" s="194"/>
      <c r="AB124" s="194"/>
      <c r="AC124" s="194"/>
      <c r="AD124" s="194"/>
    </row>
    <row r="125" spans="17:30" x14ac:dyDescent="0.3">
      <c r="Q125" s="194"/>
      <c r="R125" s="194"/>
      <c r="S125" s="194"/>
      <c r="T125" s="194"/>
      <c r="U125" s="194"/>
      <c r="V125" s="194"/>
      <c r="W125" s="194"/>
      <c r="X125" s="194"/>
      <c r="Y125" s="194"/>
      <c r="Z125" s="194"/>
      <c r="AA125" s="194"/>
      <c r="AB125" s="194"/>
      <c r="AC125" s="194"/>
      <c r="AD125" s="194"/>
    </row>
    <row r="126" spans="17:30" x14ac:dyDescent="0.3">
      <c r="Q126" s="194"/>
      <c r="R126" s="194"/>
      <c r="S126" s="194"/>
      <c r="T126" s="194"/>
      <c r="U126" s="194"/>
      <c r="V126" s="194"/>
      <c r="W126" s="194"/>
      <c r="X126" s="194"/>
      <c r="Y126" s="194"/>
      <c r="Z126" s="194"/>
      <c r="AA126" s="194"/>
      <c r="AB126" s="194"/>
      <c r="AC126" s="194"/>
      <c r="AD126" s="194"/>
    </row>
    <row r="127" spans="17:30" x14ac:dyDescent="0.3">
      <c r="Q127" s="194"/>
      <c r="R127" s="194"/>
      <c r="S127" s="194"/>
      <c r="T127" s="194"/>
      <c r="U127" s="194"/>
      <c r="V127" s="194"/>
      <c r="W127" s="194"/>
      <c r="X127" s="194"/>
      <c r="Y127" s="194"/>
      <c r="Z127" s="194"/>
      <c r="AA127" s="194"/>
      <c r="AB127" s="194"/>
      <c r="AC127" s="194"/>
      <c r="AD127" s="194"/>
    </row>
    <row r="128" spans="17:30" x14ac:dyDescent="0.3">
      <c r="Q128" s="194"/>
      <c r="R128" s="194"/>
      <c r="S128" s="194"/>
      <c r="T128" s="194"/>
      <c r="U128" s="194"/>
      <c r="V128" s="194"/>
      <c r="W128" s="194"/>
      <c r="X128" s="194"/>
      <c r="Y128" s="194"/>
      <c r="Z128" s="194"/>
      <c r="AA128" s="194"/>
      <c r="AB128" s="194"/>
      <c r="AC128" s="194"/>
      <c r="AD128" s="194"/>
    </row>
    <row r="129" spans="17:30" x14ac:dyDescent="0.3">
      <c r="Q129" s="194"/>
      <c r="R129" s="194"/>
      <c r="S129" s="194"/>
      <c r="T129" s="194"/>
      <c r="U129" s="194"/>
      <c r="V129" s="194"/>
      <c r="W129" s="194"/>
      <c r="X129" s="194"/>
      <c r="Y129" s="194"/>
      <c r="Z129" s="194"/>
      <c r="AA129" s="194"/>
      <c r="AB129" s="194"/>
      <c r="AC129" s="194"/>
      <c r="AD129" s="194"/>
    </row>
    <row r="130" spans="17:30" x14ac:dyDescent="0.3">
      <c r="Q130" s="194"/>
      <c r="R130" s="194"/>
      <c r="S130" s="194"/>
      <c r="T130" s="194"/>
      <c r="U130" s="194"/>
      <c r="V130" s="194"/>
      <c r="W130" s="194"/>
      <c r="X130" s="194"/>
      <c r="Y130" s="194"/>
      <c r="Z130" s="194"/>
      <c r="AA130" s="194"/>
      <c r="AB130" s="194"/>
      <c r="AC130" s="194"/>
      <c r="AD130" s="194"/>
    </row>
    <row r="131" spans="17:30" x14ac:dyDescent="0.3">
      <c r="Q131" s="194"/>
      <c r="R131" s="194"/>
      <c r="S131" s="194"/>
      <c r="T131" s="194"/>
      <c r="U131" s="194"/>
      <c r="V131" s="194"/>
      <c r="W131" s="194"/>
      <c r="X131" s="194"/>
      <c r="Y131" s="194"/>
      <c r="Z131" s="194"/>
      <c r="AA131" s="194"/>
      <c r="AB131" s="194"/>
      <c r="AC131" s="194"/>
      <c r="AD131" s="194"/>
    </row>
    <row r="132" spans="17:30" x14ac:dyDescent="0.3">
      <c r="Q132" s="194"/>
      <c r="R132" s="194"/>
      <c r="S132" s="194"/>
      <c r="T132" s="194"/>
      <c r="U132" s="194"/>
      <c r="V132" s="194"/>
      <c r="W132" s="194"/>
      <c r="X132" s="194"/>
      <c r="Y132" s="194"/>
      <c r="Z132" s="194"/>
      <c r="AA132" s="194"/>
      <c r="AB132" s="194"/>
      <c r="AC132" s="194"/>
      <c r="AD132" s="194"/>
    </row>
    <row r="133" spans="17:30" x14ac:dyDescent="0.3">
      <c r="Q133" s="194"/>
      <c r="R133" s="194"/>
      <c r="S133" s="194"/>
      <c r="T133" s="194"/>
      <c r="U133" s="194"/>
      <c r="V133" s="194"/>
      <c r="W133" s="194"/>
      <c r="X133" s="194"/>
      <c r="Y133" s="194"/>
      <c r="Z133" s="194"/>
      <c r="AA133" s="194"/>
      <c r="AB133" s="194"/>
      <c r="AC133" s="194"/>
      <c r="AD133" s="194"/>
    </row>
    <row r="134" spans="17:30" x14ac:dyDescent="0.3">
      <c r="Q134" s="194"/>
      <c r="R134" s="194"/>
      <c r="S134" s="194"/>
      <c r="T134" s="194"/>
      <c r="U134" s="194"/>
      <c r="V134" s="194"/>
      <c r="W134" s="194"/>
      <c r="X134" s="194"/>
      <c r="Y134" s="194"/>
      <c r="Z134" s="194"/>
      <c r="AA134" s="194"/>
      <c r="AB134" s="194"/>
      <c r="AC134" s="194"/>
      <c r="AD134" s="194"/>
    </row>
    <row r="135" spans="17:30" x14ac:dyDescent="0.3">
      <c r="Q135" s="194"/>
      <c r="R135" s="194"/>
      <c r="S135" s="194"/>
      <c r="T135" s="194"/>
      <c r="U135" s="194"/>
      <c r="V135" s="194"/>
      <c r="W135" s="194"/>
      <c r="X135" s="194"/>
      <c r="Y135" s="194"/>
      <c r="Z135" s="194"/>
      <c r="AA135" s="194"/>
      <c r="AB135" s="194"/>
      <c r="AC135" s="194"/>
      <c r="AD135" s="194"/>
    </row>
    <row r="136" spans="17:30" x14ac:dyDescent="0.3">
      <c r="Q136" s="194"/>
      <c r="R136" s="194"/>
      <c r="S136" s="194"/>
      <c r="T136" s="194"/>
      <c r="U136" s="194"/>
      <c r="V136" s="194"/>
      <c r="W136" s="194"/>
      <c r="X136" s="194"/>
      <c r="Y136" s="194"/>
      <c r="Z136" s="194"/>
      <c r="AA136" s="194"/>
      <c r="AB136" s="194"/>
      <c r="AC136" s="194"/>
      <c r="AD136" s="194"/>
    </row>
    <row r="137" spans="17:30" x14ac:dyDescent="0.3">
      <c r="Q137" s="194"/>
      <c r="R137" s="194"/>
      <c r="S137" s="194"/>
      <c r="T137" s="194"/>
      <c r="U137" s="194"/>
      <c r="V137" s="194"/>
      <c r="W137" s="194"/>
      <c r="X137" s="194"/>
      <c r="Y137" s="194"/>
      <c r="Z137" s="194"/>
      <c r="AA137" s="194"/>
      <c r="AB137" s="194"/>
      <c r="AC137" s="194"/>
      <c r="AD137" s="194"/>
    </row>
    <row r="138" spans="17:30" x14ac:dyDescent="0.3">
      <c r="Q138" s="194"/>
      <c r="R138" s="194"/>
      <c r="S138" s="194"/>
      <c r="T138" s="194"/>
      <c r="U138" s="194"/>
      <c r="V138" s="194"/>
      <c r="W138" s="194"/>
      <c r="X138" s="194"/>
      <c r="Y138" s="194"/>
      <c r="Z138" s="194"/>
      <c r="AA138" s="194"/>
      <c r="AB138" s="194"/>
      <c r="AC138" s="194"/>
      <c r="AD138" s="194"/>
    </row>
    <row r="139" spans="17:30" x14ac:dyDescent="0.3">
      <c r="Q139" s="194"/>
      <c r="R139" s="194"/>
      <c r="S139" s="194"/>
      <c r="T139" s="194"/>
      <c r="U139" s="194"/>
      <c r="V139" s="194"/>
      <c r="W139" s="194"/>
      <c r="X139" s="194"/>
      <c r="Y139" s="194"/>
      <c r="Z139" s="194"/>
      <c r="AA139" s="194"/>
      <c r="AB139" s="194"/>
      <c r="AC139" s="194"/>
      <c r="AD139" s="194"/>
    </row>
    <row r="140" spans="17:30" x14ac:dyDescent="0.3">
      <c r="Q140" s="194"/>
      <c r="R140" s="194"/>
      <c r="S140" s="194"/>
      <c r="T140" s="194"/>
      <c r="U140" s="194"/>
      <c r="V140" s="194"/>
      <c r="W140" s="194"/>
      <c r="X140" s="194"/>
      <c r="Y140" s="194"/>
      <c r="Z140" s="194"/>
      <c r="AA140" s="194"/>
      <c r="AB140" s="194"/>
      <c r="AC140" s="194"/>
      <c r="AD140" s="194"/>
    </row>
    <row r="141" spans="17:30" x14ac:dyDescent="0.3">
      <c r="Q141" s="194"/>
      <c r="R141" s="194"/>
      <c r="S141" s="194"/>
      <c r="T141" s="194"/>
      <c r="U141" s="194"/>
      <c r="V141" s="194"/>
      <c r="W141" s="194"/>
      <c r="X141" s="194"/>
      <c r="Y141" s="194"/>
      <c r="Z141" s="194"/>
      <c r="AA141" s="194"/>
      <c r="AB141" s="194"/>
      <c r="AC141" s="194"/>
      <c r="AD141" s="194"/>
    </row>
    <row r="142" spans="17:30" x14ac:dyDescent="0.3">
      <c r="Q142" s="194"/>
      <c r="R142" s="194"/>
      <c r="S142" s="194"/>
      <c r="T142" s="194"/>
      <c r="U142" s="194"/>
      <c r="V142" s="194"/>
      <c r="W142" s="194"/>
      <c r="X142" s="194"/>
      <c r="Y142" s="194"/>
      <c r="Z142" s="194"/>
      <c r="AA142" s="194"/>
      <c r="AB142" s="194"/>
      <c r="AC142" s="194"/>
      <c r="AD142" s="194"/>
    </row>
    <row r="143" spans="17:30" x14ac:dyDescent="0.3">
      <c r="Q143" s="194"/>
      <c r="R143" s="194"/>
      <c r="S143" s="194"/>
      <c r="T143" s="194"/>
      <c r="U143" s="194"/>
      <c r="V143" s="194"/>
      <c r="W143" s="194"/>
      <c r="X143" s="194"/>
      <c r="Y143" s="194"/>
      <c r="Z143" s="194"/>
      <c r="AA143" s="194"/>
      <c r="AB143" s="194"/>
      <c r="AC143" s="194"/>
      <c r="AD143" s="194"/>
    </row>
    <row r="144" spans="17:30" x14ac:dyDescent="0.3">
      <c r="Q144" s="194"/>
      <c r="R144" s="194"/>
      <c r="S144" s="194"/>
      <c r="T144" s="194"/>
      <c r="U144" s="194"/>
      <c r="V144" s="194"/>
      <c r="W144" s="194"/>
      <c r="X144" s="194"/>
      <c r="Y144" s="194"/>
      <c r="Z144" s="194"/>
      <c r="AA144" s="194"/>
      <c r="AB144" s="194"/>
      <c r="AC144" s="194"/>
      <c r="AD144" s="194"/>
    </row>
    <row r="145" spans="17:30" x14ac:dyDescent="0.3">
      <c r="Q145" s="194"/>
      <c r="R145" s="194"/>
      <c r="S145" s="194"/>
      <c r="T145" s="194"/>
      <c r="U145" s="194"/>
      <c r="V145" s="194"/>
      <c r="W145" s="194"/>
      <c r="X145" s="194"/>
      <c r="Y145" s="194"/>
      <c r="Z145" s="194"/>
      <c r="AA145" s="194"/>
      <c r="AB145" s="194"/>
      <c r="AC145" s="194"/>
      <c r="AD145" s="194"/>
    </row>
    <row r="146" spans="17:30" x14ac:dyDescent="0.3">
      <c r="Q146" s="194"/>
      <c r="R146" s="194"/>
      <c r="S146" s="194"/>
      <c r="T146" s="194"/>
      <c r="U146" s="194"/>
      <c r="V146" s="194"/>
      <c r="W146" s="194"/>
      <c r="X146" s="194"/>
      <c r="Y146" s="194"/>
      <c r="Z146" s="194"/>
      <c r="AA146" s="194"/>
      <c r="AB146" s="194"/>
      <c r="AC146" s="194"/>
      <c r="AD146" s="194"/>
    </row>
    <row r="147" spans="17:30" x14ac:dyDescent="0.3">
      <c r="Q147" s="194"/>
      <c r="R147" s="194"/>
      <c r="S147" s="194"/>
      <c r="T147" s="194"/>
      <c r="U147" s="194"/>
      <c r="V147" s="194"/>
      <c r="W147" s="194"/>
      <c r="X147" s="194"/>
      <c r="Y147" s="194"/>
      <c r="Z147" s="194"/>
      <c r="AA147" s="194"/>
      <c r="AB147" s="194"/>
      <c r="AC147" s="194"/>
      <c r="AD147" s="194"/>
    </row>
    <row r="148" spans="17:30" x14ac:dyDescent="0.3">
      <c r="Q148" s="194"/>
      <c r="R148" s="194"/>
      <c r="S148" s="194"/>
      <c r="T148" s="194"/>
      <c r="U148" s="194"/>
      <c r="V148" s="194"/>
      <c r="W148" s="194"/>
      <c r="X148" s="194"/>
      <c r="Y148" s="194"/>
      <c r="Z148" s="194"/>
      <c r="AA148" s="194"/>
      <c r="AB148" s="194"/>
      <c r="AC148" s="194"/>
      <c r="AD148" s="194"/>
    </row>
    <row r="149" spans="17:30" x14ac:dyDescent="0.3">
      <c r="Q149" s="194"/>
      <c r="R149" s="194"/>
      <c r="S149" s="194"/>
      <c r="T149" s="194"/>
      <c r="U149" s="194"/>
      <c r="V149" s="194"/>
      <c r="W149" s="194"/>
      <c r="X149" s="194"/>
      <c r="Y149" s="194"/>
      <c r="Z149" s="194"/>
      <c r="AA149" s="194"/>
      <c r="AB149" s="194"/>
      <c r="AC149" s="194"/>
      <c r="AD149" s="194"/>
    </row>
    <row r="150" spans="17:30" x14ac:dyDescent="0.3">
      <c r="Q150" s="194"/>
      <c r="R150" s="194"/>
      <c r="S150" s="194"/>
      <c r="T150" s="194"/>
      <c r="U150" s="194"/>
      <c r="V150" s="194"/>
      <c r="W150" s="194"/>
      <c r="X150" s="194"/>
      <c r="Y150" s="194"/>
      <c r="Z150" s="194"/>
      <c r="AA150" s="194"/>
      <c r="AB150" s="194"/>
      <c r="AC150" s="194"/>
      <c r="AD150" s="194"/>
    </row>
    <row r="151" spans="17:30" x14ac:dyDescent="0.3">
      <c r="Q151" s="194"/>
      <c r="R151" s="194"/>
      <c r="S151" s="194"/>
      <c r="T151" s="194"/>
      <c r="U151" s="194"/>
      <c r="V151" s="194"/>
      <c r="W151" s="194"/>
      <c r="X151" s="194"/>
      <c r="Y151" s="194"/>
      <c r="Z151" s="194"/>
      <c r="AA151" s="194"/>
      <c r="AB151" s="194"/>
      <c r="AC151" s="194"/>
      <c r="AD151" s="194"/>
    </row>
    <row r="152" spans="17:30" x14ac:dyDescent="0.3">
      <c r="Q152" s="194"/>
      <c r="R152" s="194"/>
      <c r="S152" s="194"/>
      <c r="T152" s="194"/>
      <c r="U152" s="194"/>
      <c r="V152" s="194"/>
      <c r="W152" s="194"/>
      <c r="X152" s="194"/>
      <c r="Y152" s="194"/>
      <c r="Z152" s="194"/>
      <c r="AA152" s="194"/>
      <c r="AB152" s="194"/>
      <c r="AC152" s="194"/>
      <c r="AD152" s="194"/>
    </row>
    <row r="153" spans="17:30" x14ac:dyDescent="0.3">
      <c r="Q153" s="194"/>
      <c r="R153" s="194"/>
      <c r="S153" s="194"/>
      <c r="T153" s="194"/>
      <c r="U153" s="194"/>
      <c r="V153" s="194"/>
      <c r="W153" s="194"/>
      <c r="X153" s="194"/>
      <c r="Y153" s="194"/>
      <c r="Z153" s="194"/>
      <c r="AA153" s="194"/>
      <c r="AB153" s="194"/>
      <c r="AC153" s="194"/>
      <c r="AD153" s="194"/>
    </row>
    <row r="154" spans="17:30" x14ac:dyDescent="0.3">
      <c r="Q154" s="194"/>
      <c r="R154" s="194"/>
      <c r="S154" s="194"/>
      <c r="T154" s="194"/>
      <c r="U154" s="194"/>
      <c r="V154" s="194"/>
      <c r="W154" s="194"/>
      <c r="X154" s="194"/>
      <c r="Y154" s="194"/>
      <c r="Z154" s="194"/>
      <c r="AA154" s="194"/>
      <c r="AB154" s="194"/>
      <c r="AC154" s="194"/>
      <c r="AD154" s="194"/>
    </row>
    <row r="155" spans="17:30" x14ac:dyDescent="0.3">
      <c r="Q155" s="194"/>
      <c r="R155" s="194"/>
      <c r="S155" s="194"/>
      <c r="T155" s="194"/>
      <c r="U155" s="194"/>
      <c r="V155" s="194"/>
      <c r="W155" s="194"/>
      <c r="X155" s="194"/>
      <c r="Y155" s="194"/>
      <c r="Z155" s="194"/>
      <c r="AA155" s="194"/>
      <c r="AB155" s="194"/>
      <c r="AC155" s="194"/>
      <c r="AD155" s="194"/>
    </row>
    <row r="156" spans="17:30" x14ac:dyDescent="0.3">
      <c r="Q156" s="194"/>
      <c r="R156" s="194"/>
      <c r="S156" s="194"/>
      <c r="T156" s="194"/>
      <c r="U156" s="194"/>
      <c r="V156" s="194"/>
      <c r="W156" s="194"/>
      <c r="X156" s="194"/>
      <c r="Y156" s="194"/>
      <c r="Z156" s="194"/>
      <c r="AA156" s="194"/>
      <c r="AB156" s="194"/>
      <c r="AC156" s="194"/>
      <c r="AD156" s="194"/>
    </row>
    <row r="157" spans="17:30" x14ac:dyDescent="0.3">
      <c r="Q157" s="194"/>
      <c r="R157" s="194"/>
      <c r="S157" s="194"/>
      <c r="T157" s="194"/>
      <c r="U157" s="194"/>
      <c r="V157" s="194"/>
      <c r="W157" s="194"/>
      <c r="X157" s="194"/>
      <c r="Y157" s="194"/>
      <c r="Z157" s="194"/>
      <c r="AA157" s="194"/>
      <c r="AB157" s="194"/>
      <c r="AC157" s="194"/>
      <c r="AD157" s="194"/>
    </row>
    <row r="158" spans="17:30" x14ac:dyDescent="0.3">
      <c r="Q158" s="194"/>
      <c r="R158" s="194"/>
      <c r="S158" s="194"/>
      <c r="T158" s="194"/>
      <c r="U158" s="194"/>
      <c r="V158" s="194"/>
      <c r="W158" s="194"/>
      <c r="X158" s="194"/>
      <c r="Y158" s="194"/>
      <c r="Z158" s="194"/>
      <c r="AA158" s="194"/>
      <c r="AB158" s="194"/>
      <c r="AC158" s="194"/>
      <c r="AD158" s="194"/>
    </row>
    <row r="159" spans="17:30" x14ac:dyDescent="0.3">
      <c r="Q159" s="194"/>
      <c r="R159" s="194"/>
      <c r="S159" s="194"/>
      <c r="T159" s="194"/>
      <c r="U159" s="194"/>
      <c r="V159" s="194"/>
      <c r="W159" s="194"/>
      <c r="X159" s="194"/>
      <c r="Y159" s="194"/>
      <c r="Z159" s="194"/>
      <c r="AA159" s="194"/>
      <c r="AB159" s="194"/>
      <c r="AC159" s="194"/>
      <c r="AD159" s="194"/>
    </row>
    <row r="160" spans="17:30" x14ac:dyDescent="0.3">
      <c r="Q160" s="194"/>
      <c r="R160" s="194"/>
      <c r="S160" s="194"/>
      <c r="T160" s="194"/>
      <c r="U160" s="194"/>
      <c r="V160" s="194"/>
      <c r="W160" s="194"/>
      <c r="X160" s="194"/>
      <c r="Y160" s="194"/>
      <c r="Z160" s="194"/>
      <c r="AA160" s="194"/>
      <c r="AB160" s="194"/>
      <c r="AC160" s="194"/>
      <c r="AD160" s="194"/>
    </row>
    <row r="161" spans="17:30" x14ac:dyDescent="0.3">
      <c r="Q161" s="194"/>
      <c r="R161" s="194"/>
      <c r="S161" s="194"/>
      <c r="T161" s="194"/>
      <c r="U161" s="194"/>
      <c r="V161" s="194"/>
      <c r="W161" s="194"/>
      <c r="X161" s="194"/>
      <c r="Y161" s="194"/>
      <c r="Z161" s="194"/>
      <c r="AA161" s="194"/>
      <c r="AB161" s="194"/>
      <c r="AC161" s="194"/>
      <c r="AD161" s="194"/>
    </row>
    <row r="162" spans="17:30" x14ac:dyDescent="0.3">
      <c r="Q162" s="194"/>
      <c r="R162" s="194"/>
      <c r="S162" s="194"/>
      <c r="T162" s="194"/>
      <c r="U162" s="194"/>
      <c r="V162" s="194"/>
      <c r="W162" s="194"/>
      <c r="X162" s="194"/>
      <c r="Y162" s="194"/>
      <c r="Z162" s="194"/>
      <c r="AA162" s="194"/>
      <c r="AB162" s="194"/>
      <c r="AC162" s="194"/>
      <c r="AD162" s="194"/>
    </row>
    <row r="163" spans="17:30" x14ac:dyDescent="0.3">
      <c r="Q163" s="194"/>
      <c r="R163" s="194"/>
      <c r="S163" s="194"/>
      <c r="T163" s="194"/>
      <c r="U163" s="194"/>
      <c r="V163" s="194"/>
      <c r="W163" s="194"/>
      <c r="X163" s="194"/>
      <c r="Y163" s="194"/>
      <c r="Z163" s="194"/>
      <c r="AA163" s="194"/>
      <c r="AB163" s="194"/>
      <c r="AC163" s="194"/>
      <c r="AD163" s="194"/>
    </row>
    <row r="164" spans="17:30" x14ac:dyDescent="0.3">
      <c r="Q164" s="194"/>
      <c r="R164" s="194"/>
      <c r="S164" s="194"/>
      <c r="T164" s="194"/>
      <c r="U164" s="194"/>
      <c r="V164" s="194"/>
      <c r="W164" s="194"/>
      <c r="X164" s="194"/>
      <c r="Y164" s="194"/>
      <c r="Z164" s="194"/>
      <c r="AA164" s="194"/>
      <c r="AB164" s="194"/>
      <c r="AC164" s="194"/>
      <c r="AD164" s="194"/>
    </row>
    <row r="165" spans="17:30" x14ac:dyDescent="0.3">
      <c r="Q165" s="194"/>
      <c r="R165" s="194"/>
      <c r="S165" s="194"/>
      <c r="T165" s="194"/>
      <c r="U165" s="194"/>
      <c r="V165" s="194"/>
      <c r="W165" s="194"/>
      <c r="X165" s="194"/>
      <c r="Y165" s="194"/>
      <c r="Z165" s="194"/>
      <c r="AA165" s="194"/>
      <c r="AB165" s="194"/>
      <c r="AC165" s="194"/>
      <c r="AD165" s="194"/>
    </row>
    <row r="166" spans="17:30" x14ac:dyDescent="0.3">
      <c r="Q166" s="194"/>
      <c r="R166" s="194"/>
      <c r="S166" s="194"/>
      <c r="T166" s="194"/>
      <c r="U166" s="194"/>
      <c r="V166" s="194"/>
      <c r="W166" s="194"/>
      <c r="X166" s="194"/>
      <c r="Y166" s="194"/>
      <c r="Z166" s="194"/>
      <c r="AA166" s="194"/>
      <c r="AB166" s="194"/>
      <c r="AC166" s="194"/>
      <c r="AD166" s="194"/>
    </row>
    <row r="167" spans="17:30" x14ac:dyDescent="0.3">
      <c r="Q167" s="194"/>
      <c r="R167" s="194"/>
      <c r="S167" s="194"/>
      <c r="T167" s="194"/>
      <c r="U167" s="194"/>
      <c r="V167" s="194"/>
      <c r="W167" s="194"/>
      <c r="X167" s="194"/>
      <c r="Y167" s="194"/>
      <c r="Z167" s="194"/>
      <c r="AA167" s="194"/>
      <c r="AB167" s="194"/>
      <c r="AC167" s="194"/>
      <c r="AD167" s="194"/>
    </row>
    <row r="168" spans="17:30" x14ac:dyDescent="0.3">
      <c r="Q168" s="194"/>
      <c r="R168" s="194"/>
      <c r="S168" s="194"/>
      <c r="T168" s="194"/>
      <c r="U168" s="194"/>
      <c r="V168" s="194"/>
      <c r="W168" s="194"/>
      <c r="X168" s="194"/>
      <c r="Y168" s="194"/>
      <c r="Z168" s="194"/>
      <c r="AA168" s="194"/>
      <c r="AB168" s="194"/>
      <c r="AC168" s="194"/>
      <c r="AD168" s="194"/>
    </row>
    <row r="169" spans="17:30" x14ac:dyDescent="0.3">
      <c r="Q169" s="194"/>
      <c r="R169" s="194"/>
      <c r="S169" s="194"/>
      <c r="T169" s="194"/>
      <c r="U169" s="194"/>
      <c r="V169" s="194"/>
      <c r="W169" s="194"/>
      <c r="X169" s="194"/>
      <c r="Y169" s="194"/>
      <c r="Z169" s="194"/>
      <c r="AA169" s="194"/>
      <c r="AB169" s="194"/>
      <c r="AC169" s="194"/>
      <c r="AD169" s="194"/>
    </row>
    <row r="170" spans="17:30" x14ac:dyDescent="0.3">
      <c r="Q170" s="194"/>
      <c r="R170" s="194"/>
      <c r="S170" s="194"/>
      <c r="T170" s="194"/>
      <c r="U170" s="194"/>
      <c r="V170" s="194"/>
      <c r="W170" s="194"/>
      <c r="X170" s="194"/>
      <c r="Y170" s="194"/>
      <c r="Z170" s="194"/>
      <c r="AA170" s="194"/>
      <c r="AB170" s="194"/>
      <c r="AC170" s="194"/>
      <c r="AD170" s="194"/>
    </row>
    <row r="171" spans="17:30" x14ac:dyDescent="0.3">
      <c r="Q171" s="194"/>
      <c r="R171" s="194"/>
      <c r="S171" s="194"/>
      <c r="T171" s="194"/>
      <c r="U171" s="194"/>
      <c r="V171" s="194"/>
      <c r="W171" s="194"/>
      <c r="X171" s="194"/>
      <c r="Y171" s="194"/>
      <c r="Z171" s="194"/>
      <c r="AA171" s="194"/>
      <c r="AB171" s="194"/>
      <c r="AC171" s="194"/>
      <c r="AD171" s="194"/>
    </row>
    <row r="172" spans="17:30" x14ac:dyDescent="0.3">
      <c r="Q172" s="194"/>
      <c r="R172" s="194"/>
      <c r="S172" s="194"/>
      <c r="T172" s="194"/>
      <c r="U172" s="194"/>
      <c r="V172" s="194"/>
      <c r="W172" s="194"/>
      <c r="X172" s="194"/>
      <c r="Y172" s="194"/>
      <c r="Z172" s="194"/>
      <c r="AA172" s="194"/>
      <c r="AB172" s="194"/>
      <c r="AC172" s="194"/>
      <c r="AD172" s="194"/>
    </row>
    <row r="173" spans="17:30" x14ac:dyDescent="0.3">
      <c r="Q173" s="194"/>
      <c r="R173" s="194"/>
      <c r="S173" s="194"/>
      <c r="T173" s="194"/>
      <c r="U173" s="194"/>
      <c r="V173" s="194"/>
      <c r="W173" s="194"/>
      <c r="X173" s="194"/>
      <c r="Y173" s="194"/>
      <c r="Z173" s="194"/>
      <c r="AA173" s="194"/>
      <c r="AB173" s="194"/>
      <c r="AC173" s="194"/>
      <c r="AD173" s="194"/>
    </row>
    <row r="174" spans="17:30" x14ac:dyDescent="0.3">
      <c r="Q174" s="194"/>
      <c r="R174" s="194"/>
      <c r="S174" s="194"/>
      <c r="T174" s="194"/>
      <c r="U174" s="194"/>
      <c r="V174" s="194"/>
      <c r="W174" s="194"/>
      <c r="X174" s="194"/>
      <c r="Y174" s="194"/>
      <c r="Z174" s="194"/>
      <c r="AA174" s="194"/>
      <c r="AB174" s="194"/>
      <c r="AC174" s="194"/>
      <c r="AD174" s="194"/>
    </row>
    <row r="175" spans="17:30" x14ac:dyDescent="0.3">
      <c r="Q175" s="194"/>
      <c r="R175" s="194"/>
      <c r="S175" s="194"/>
      <c r="T175" s="194"/>
      <c r="U175" s="194"/>
      <c r="V175" s="194"/>
      <c r="W175" s="194"/>
      <c r="X175" s="194"/>
      <c r="Y175" s="194"/>
      <c r="Z175" s="194"/>
      <c r="AA175" s="194"/>
      <c r="AB175" s="194"/>
      <c r="AC175" s="194"/>
      <c r="AD175" s="194"/>
    </row>
    <row r="176" spans="17:30" x14ac:dyDescent="0.3">
      <c r="Q176" s="194"/>
      <c r="R176" s="194"/>
      <c r="S176" s="194"/>
      <c r="T176" s="194"/>
      <c r="U176" s="194"/>
      <c r="V176" s="194"/>
      <c r="W176" s="194"/>
      <c r="X176" s="194"/>
      <c r="Y176" s="194"/>
      <c r="Z176" s="194"/>
      <c r="AA176" s="194"/>
      <c r="AB176" s="194"/>
      <c r="AC176" s="194"/>
      <c r="AD176" s="194"/>
    </row>
    <row r="177" spans="17:30" x14ac:dyDescent="0.3">
      <c r="Q177" s="194"/>
      <c r="R177" s="194"/>
      <c r="S177" s="194"/>
      <c r="T177" s="194"/>
      <c r="U177" s="194"/>
      <c r="V177" s="194"/>
      <c r="W177" s="194"/>
      <c r="X177" s="194"/>
      <c r="Y177" s="194"/>
      <c r="Z177" s="194"/>
      <c r="AA177" s="194"/>
      <c r="AB177" s="194"/>
      <c r="AC177" s="194"/>
      <c r="AD177" s="194"/>
    </row>
    <row r="178" spans="17:30" x14ac:dyDescent="0.3">
      <c r="Q178" s="194"/>
      <c r="R178" s="194"/>
      <c r="S178" s="194"/>
      <c r="T178" s="194"/>
      <c r="U178" s="194"/>
      <c r="V178" s="194"/>
      <c r="W178" s="194"/>
      <c r="X178" s="194"/>
      <c r="Y178" s="194"/>
      <c r="Z178" s="194"/>
      <c r="AA178" s="194"/>
      <c r="AB178" s="194"/>
      <c r="AC178" s="194"/>
      <c r="AD178" s="194"/>
    </row>
    <row r="179" spans="17:30" x14ac:dyDescent="0.3">
      <c r="Q179" s="194"/>
      <c r="R179" s="194"/>
      <c r="S179" s="194"/>
      <c r="T179" s="194"/>
      <c r="U179" s="194"/>
      <c r="V179" s="194"/>
      <c r="W179" s="194"/>
      <c r="X179" s="194"/>
      <c r="Y179" s="194"/>
      <c r="Z179" s="194"/>
      <c r="AA179" s="194"/>
      <c r="AB179" s="194"/>
      <c r="AC179" s="194"/>
      <c r="AD179" s="194"/>
    </row>
    <row r="180" spans="17:30" x14ac:dyDescent="0.3">
      <c r="Q180" s="194"/>
      <c r="R180" s="194"/>
      <c r="S180" s="194"/>
      <c r="T180" s="194"/>
      <c r="U180" s="194"/>
      <c r="V180" s="194"/>
      <c r="W180" s="194"/>
      <c r="X180" s="194"/>
      <c r="Y180" s="194"/>
      <c r="Z180" s="194"/>
      <c r="AA180" s="194"/>
      <c r="AB180" s="194"/>
      <c r="AC180" s="194"/>
      <c r="AD180" s="194"/>
    </row>
    <row r="181" spans="17:30" x14ac:dyDescent="0.3">
      <c r="Q181" s="194"/>
      <c r="R181" s="194"/>
      <c r="S181" s="194"/>
      <c r="T181" s="194"/>
      <c r="U181" s="194"/>
      <c r="V181" s="194"/>
      <c r="W181" s="194"/>
      <c r="X181" s="194"/>
      <c r="Y181" s="194"/>
      <c r="Z181" s="194"/>
      <c r="AA181" s="194"/>
      <c r="AB181" s="194"/>
      <c r="AC181" s="194"/>
      <c r="AD181" s="194"/>
    </row>
    <row r="182" spans="17:30" x14ac:dyDescent="0.3">
      <c r="Q182" s="194"/>
      <c r="R182" s="194"/>
      <c r="S182" s="194"/>
      <c r="T182" s="194"/>
      <c r="U182" s="194"/>
      <c r="V182" s="194"/>
      <c r="W182" s="194"/>
      <c r="X182" s="194"/>
      <c r="Y182" s="194"/>
      <c r="Z182" s="194"/>
      <c r="AA182" s="194"/>
      <c r="AB182" s="194"/>
      <c r="AC182" s="194"/>
      <c r="AD182" s="194"/>
    </row>
    <row r="183" spans="17:30" x14ac:dyDescent="0.3">
      <c r="Q183" s="194"/>
      <c r="R183" s="194"/>
      <c r="S183" s="194"/>
      <c r="T183" s="194"/>
      <c r="U183" s="194"/>
      <c r="V183" s="194"/>
      <c r="W183" s="194"/>
      <c r="X183" s="194"/>
      <c r="Y183" s="194"/>
      <c r="Z183" s="194"/>
      <c r="AA183" s="194"/>
      <c r="AB183" s="194"/>
      <c r="AC183" s="194"/>
      <c r="AD183" s="194"/>
    </row>
    <row r="184" spans="17:30" x14ac:dyDescent="0.3">
      <c r="Q184" s="194"/>
      <c r="R184" s="194"/>
      <c r="S184" s="194"/>
      <c r="T184" s="194"/>
      <c r="U184" s="194"/>
      <c r="V184" s="194"/>
      <c r="W184" s="194"/>
      <c r="X184" s="194"/>
      <c r="Y184" s="194"/>
      <c r="Z184" s="194"/>
      <c r="AA184" s="194"/>
      <c r="AB184" s="194"/>
      <c r="AC184" s="194"/>
      <c r="AD184" s="194"/>
    </row>
    <row r="185" spans="17:30" x14ac:dyDescent="0.3">
      <c r="Q185" s="194"/>
      <c r="R185" s="194"/>
      <c r="S185" s="194"/>
      <c r="T185" s="194"/>
      <c r="U185" s="194"/>
      <c r="V185" s="194"/>
      <c r="W185" s="194"/>
      <c r="X185" s="194"/>
      <c r="Y185" s="194"/>
      <c r="Z185" s="194"/>
      <c r="AA185" s="194"/>
      <c r="AB185" s="194"/>
      <c r="AC185" s="194"/>
      <c r="AD185" s="194"/>
    </row>
    <row r="186" spans="17:30" x14ac:dyDescent="0.3">
      <c r="Q186" s="194"/>
      <c r="R186" s="194"/>
      <c r="S186" s="194"/>
      <c r="T186" s="194"/>
      <c r="U186" s="194"/>
      <c r="V186" s="194"/>
      <c r="W186" s="194"/>
      <c r="X186" s="194"/>
      <c r="Y186" s="194"/>
      <c r="Z186" s="194"/>
      <c r="AA186" s="194"/>
      <c r="AB186" s="194"/>
      <c r="AC186" s="194"/>
      <c r="AD186" s="194"/>
    </row>
    <row r="187" spans="17:30" x14ac:dyDescent="0.3">
      <c r="Q187" s="194"/>
      <c r="R187" s="194"/>
      <c r="S187" s="194"/>
      <c r="T187" s="194"/>
      <c r="U187" s="194"/>
      <c r="V187" s="194"/>
      <c r="W187" s="194"/>
      <c r="X187" s="194"/>
      <c r="Y187" s="194"/>
      <c r="Z187" s="194"/>
      <c r="AA187" s="194"/>
      <c r="AB187" s="194"/>
      <c r="AC187" s="194"/>
      <c r="AD187" s="194"/>
    </row>
    <row r="188" spans="17:30" x14ac:dyDescent="0.3">
      <c r="Q188" s="194"/>
      <c r="R188" s="194"/>
      <c r="S188" s="194"/>
      <c r="T188" s="194"/>
      <c r="U188" s="194"/>
      <c r="V188" s="194"/>
      <c r="W188" s="194"/>
      <c r="X188" s="194"/>
      <c r="Y188" s="194"/>
      <c r="Z188" s="194"/>
      <c r="AA188" s="194"/>
      <c r="AB188" s="194"/>
      <c r="AC188" s="194"/>
      <c r="AD188" s="194"/>
    </row>
    <row r="189" spans="17:30" x14ac:dyDescent="0.3">
      <c r="Q189" s="194"/>
      <c r="R189" s="194"/>
      <c r="S189" s="194"/>
      <c r="T189" s="194"/>
      <c r="U189" s="194"/>
      <c r="V189" s="194"/>
      <c r="W189" s="194"/>
      <c r="X189" s="194"/>
      <c r="Y189" s="194"/>
      <c r="Z189" s="194"/>
      <c r="AA189" s="194"/>
      <c r="AB189" s="194"/>
      <c r="AC189" s="194"/>
      <c r="AD189" s="194"/>
    </row>
    <row r="190" spans="17:30" x14ac:dyDescent="0.3">
      <c r="Q190" s="194"/>
      <c r="R190" s="194"/>
      <c r="S190" s="194"/>
      <c r="T190" s="194"/>
      <c r="U190" s="194"/>
      <c r="V190" s="194"/>
      <c r="W190" s="194"/>
      <c r="X190" s="194"/>
      <c r="Y190" s="194"/>
      <c r="Z190" s="194"/>
      <c r="AA190" s="194"/>
      <c r="AB190" s="194"/>
      <c r="AC190" s="194"/>
      <c r="AD190" s="194"/>
    </row>
    <row r="191" spans="17:30" x14ac:dyDescent="0.3">
      <c r="Q191" s="194"/>
      <c r="R191" s="194"/>
      <c r="S191" s="194"/>
      <c r="T191" s="194"/>
      <c r="U191" s="194"/>
      <c r="V191" s="194"/>
      <c r="W191" s="194"/>
      <c r="X191" s="194"/>
      <c r="Y191" s="194"/>
      <c r="Z191" s="194"/>
      <c r="AA191" s="194"/>
      <c r="AB191" s="194"/>
      <c r="AC191" s="194"/>
      <c r="AD191" s="194"/>
    </row>
    <row r="192" spans="17:30" x14ac:dyDescent="0.3">
      <c r="Q192" s="194"/>
      <c r="R192" s="194"/>
      <c r="S192" s="194"/>
      <c r="T192" s="194"/>
      <c r="U192" s="194"/>
      <c r="V192" s="194"/>
      <c r="W192" s="194"/>
      <c r="X192" s="194"/>
      <c r="Y192" s="194"/>
      <c r="Z192" s="194"/>
      <c r="AA192" s="194"/>
      <c r="AB192" s="194"/>
      <c r="AC192" s="194"/>
      <c r="AD192" s="194"/>
    </row>
    <row r="193" spans="17:30" x14ac:dyDescent="0.3">
      <c r="Q193" s="194"/>
      <c r="R193" s="194"/>
      <c r="S193" s="194"/>
      <c r="T193" s="194"/>
      <c r="U193" s="194"/>
      <c r="V193" s="194"/>
      <c r="W193" s="194"/>
      <c r="X193" s="194"/>
      <c r="Y193" s="194"/>
      <c r="Z193" s="194"/>
      <c r="AA193" s="194"/>
      <c r="AB193" s="194"/>
      <c r="AC193" s="194"/>
      <c r="AD193" s="194"/>
    </row>
    <row r="194" spans="17:30" x14ac:dyDescent="0.3">
      <c r="Q194" s="194"/>
      <c r="R194" s="194"/>
      <c r="S194" s="194"/>
      <c r="T194" s="194"/>
      <c r="U194" s="194"/>
      <c r="V194" s="194"/>
      <c r="W194" s="194"/>
      <c r="X194" s="194"/>
      <c r="Y194" s="194"/>
      <c r="Z194" s="194"/>
      <c r="AA194" s="194"/>
      <c r="AB194" s="194"/>
      <c r="AC194" s="194"/>
      <c r="AD194" s="194"/>
    </row>
    <row r="195" spans="17:30" x14ac:dyDescent="0.3">
      <c r="Q195" s="194"/>
      <c r="R195" s="194"/>
      <c r="S195" s="194"/>
      <c r="T195" s="194"/>
      <c r="U195" s="194"/>
      <c r="V195" s="194"/>
      <c r="W195" s="194"/>
      <c r="X195" s="194"/>
      <c r="Y195" s="194"/>
      <c r="Z195" s="194"/>
      <c r="AA195" s="194"/>
      <c r="AB195" s="194"/>
      <c r="AC195" s="194"/>
      <c r="AD195" s="194"/>
    </row>
    <row r="196" spans="17:30" x14ac:dyDescent="0.3">
      <c r="Q196" s="194"/>
      <c r="R196" s="194"/>
      <c r="S196" s="194"/>
      <c r="T196" s="194"/>
      <c r="U196" s="194"/>
      <c r="V196" s="194"/>
      <c r="W196" s="194"/>
      <c r="X196" s="194"/>
      <c r="Y196" s="194"/>
      <c r="Z196" s="194"/>
      <c r="AA196" s="194"/>
      <c r="AB196" s="194"/>
      <c r="AC196" s="194"/>
      <c r="AD196" s="194"/>
    </row>
    <row r="197" spans="17:30" x14ac:dyDescent="0.3">
      <c r="Q197" s="194"/>
      <c r="R197" s="194"/>
      <c r="S197" s="194"/>
      <c r="T197" s="194"/>
      <c r="U197" s="194"/>
      <c r="V197" s="194"/>
      <c r="W197" s="194"/>
      <c r="X197" s="194"/>
      <c r="Y197" s="194"/>
      <c r="Z197" s="194"/>
      <c r="AA197" s="194"/>
      <c r="AB197" s="194"/>
      <c r="AC197" s="194"/>
      <c r="AD197" s="194"/>
    </row>
    <row r="198" spans="17:30" x14ac:dyDescent="0.3">
      <c r="Q198" s="194"/>
      <c r="R198" s="194"/>
      <c r="S198" s="194"/>
      <c r="T198" s="194"/>
      <c r="U198" s="194"/>
      <c r="V198" s="194"/>
      <c r="W198" s="194"/>
      <c r="X198" s="194"/>
      <c r="Y198" s="194"/>
      <c r="Z198" s="194"/>
      <c r="AA198" s="194"/>
      <c r="AB198" s="194"/>
      <c r="AC198" s="194"/>
      <c r="AD198" s="194"/>
    </row>
    <row r="199" spans="17:30" x14ac:dyDescent="0.3">
      <c r="Q199" s="194"/>
      <c r="R199" s="194"/>
      <c r="S199" s="194"/>
      <c r="T199" s="194"/>
      <c r="U199" s="194"/>
      <c r="V199" s="194"/>
      <c r="W199" s="194"/>
      <c r="X199" s="194"/>
      <c r="Y199" s="194"/>
      <c r="Z199" s="194"/>
      <c r="AA199" s="194"/>
      <c r="AB199" s="194"/>
      <c r="AC199" s="194"/>
      <c r="AD199" s="194"/>
    </row>
    <row r="200" spans="17:30" x14ac:dyDescent="0.3">
      <c r="Q200" s="194"/>
      <c r="R200" s="194"/>
      <c r="S200" s="194"/>
      <c r="T200" s="194"/>
      <c r="U200" s="194"/>
      <c r="V200" s="194"/>
      <c r="W200" s="194"/>
      <c r="X200" s="194"/>
      <c r="Y200" s="194"/>
      <c r="Z200" s="194"/>
      <c r="AA200" s="194"/>
      <c r="AB200" s="194"/>
      <c r="AC200" s="194"/>
      <c r="AD200" s="194"/>
    </row>
    <row r="201" spans="17:30" x14ac:dyDescent="0.3">
      <c r="Q201" s="194"/>
      <c r="R201" s="194"/>
      <c r="S201" s="194"/>
      <c r="T201" s="194"/>
      <c r="U201" s="194"/>
      <c r="V201" s="194"/>
      <c r="W201" s="194"/>
      <c r="X201" s="194"/>
      <c r="Y201" s="194"/>
      <c r="Z201" s="194"/>
      <c r="AA201" s="194"/>
      <c r="AB201" s="194"/>
      <c r="AC201" s="194"/>
      <c r="AD201" s="194"/>
    </row>
    <row r="202" spans="17:30" x14ac:dyDescent="0.3">
      <c r="Q202" s="194"/>
      <c r="R202" s="194"/>
      <c r="S202" s="194"/>
      <c r="T202" s="194"/>
      <c r="U202" s="194"/>
      <c r="V202" s="194"/>
      <c r="W202" s="194"/>
      <c r="X202" s="194"/>
      <c r="Y202" s="194"/>
      <c r="Z202" s="194"/>
      <c r="AA202" s="194"/>
      <c r="AB202" s="194"/>
      <c r="AC202" s="194"/>
      <c r="AD202" s="194"/>
    </row>
    <row r="203" spans="17:30" x14ac:dyDescent="0.3">
      <c r="Q203" s="194"/>
      <c r="R203" s="194"/>
      <c r="S203" s="194"/>
      <c r="T203" s="194"/>
      <c r="U203" s="194"/>
      <c r="V203" s="194"/>
      <c r="W203" s="194"/>
      <c r="X203" s="194"/>
      <c r="Y203" s="194"/>
      <c r="Z203" s="194"/>
      <c r="AA203" s="194"/>
      <c r="AB203" s="194"/>
      <c r="AC203" s="194"/>
      <c r="AD203" s="194"/>
    </row>
    <row r="204" spans="17:30" x14ac:dyDescent="0.3">
      <c r="Q204" s="194"/>
      <c r="R204" s="194"/>
      <c r="S204" s="194"/>
      <c r="T204" s="194"/>
      <c r="U204" s="194"/>
      <c r="V204" s="194"/>
      <c r="W204" s="194"/>
      <c r="X204" s="194"/>
      <c r="Y204" s="194"/>
      <c r="Z204" s="194"/>
      <c r="AA204" s="194"/>
      <c r="AB204" s="194"/>
      <c r="AC204" s="194"/>
      <c r="AD204" s="194"/>
    </row>
    <row r="205" spans="17:30" x14ac:dyDescent="0.3">
      <c r="Q205" s="194"/>
      <c r="R205" s="194"/>
      <c r="S205" s="194"/>
      <c r="T205" s="194"/>
      <c r="U205" s="194"/>
      <c r="V205" s="194"/>
      <c r="W205" s="194"/>
      <c r="X205" s="194"/>
      <c r="Y205" s="194"/>
      <c r="Z205" s="194"/>
      <c r="AA205" s="194"/>
      <c r="AB205" s="194"/>
      <c r="AC205" s="194"/>
      <c r="AD205" s="194"/>
    </row>
    <row r="206" spans="17:30" x14ac:dyDescent="0.3">
      <c r="Q206" s="194"/>
      <c r="R206" s="194"/>
      <c r="S206" s="194"/>
      <c r="T206" s="194"/>
      <c r="U206" s="194"/>
      <c r="V206" s="194"/>
      <c r="W206" s="194"/>
      <c r="X206" s="194"/>
      <c r="Y206" s="194"/>
      <c r="Z206" s="194"/>
      <c r="AA206" s="194"/>
      <c r="AB206" s="194"/>
      <c r="AC206" s="194"/>
      <c r="AD206" s="194"/>
    </row>
    <row r="207" spans="17:30" x14ac:dyDescent="0.3">
      <c r="Q207" s="194"/>
      <c r="R207" s="194"/>
      <c r="S207" s="194"/>
      <c r="T207" s="194"/>
      <c r="U207" s="194"/>
      <c r="V207" s="194"/>
      <c r="W207" s="194"/>
      <c r="X207" s="194"/>
      <c r="Y207" s="194"/>
      <c r="Z207" s="194"/>
      <c r="AA207" s="194"/>
      <c r="AB207" s="194"/>
      <c r="AC207" s="194"/>
      <c r="AD207" s="194"/>
    </row>
    <row r="208" spans="17:30" x14ac:dyDescent="0.3">
      <c r="Q208" s="194"/>
      <c r="R208" s="194"/>
      <c r="S208" s="194"/>
      <c r="T208" s="194"/>
      <c r="U208" s="194"/>
      <c r="V208" s="194"/>
      <c r="W208" s="194"/>
      <c r="X208" s="194"/>
      <c r="Y208" s="194"/>
      <c r="Z208" s="194"/>
      <c r="AA208" s="194"/>
      <c r="AB208" s="194"/>
      <c r="AC208" s="194"/>
      <c r="AD208" s="194"/>
    </row>
    <row r="209" spans="17:30" x14ac:dyDescent="0.3">
      <c r="Q209" s="194"/>
      <c r="R209" s="194"/>
      <c r="S209" s="194"/>
      <c r="T209" s="194"/>
      <c r="U209" s="194"/>
      <c r="V209" s="194"/>
      <c r="W209" s="194"/>
      <c r="X209" s="194"/>
      <c r="Y209" s="194"/>
      <c r="Z209" s="194"/>
      <c r="AA209" s="194"/>
      <c r="AB209" s="194"/>
      <c r="AC209" s="194"/>
      <c r="AD209" s="194"/>
    </row>
    <row r="210" spans="17:30" x14ac:dyDescent="0.3">
      <c r="Q210" s="194"/>
      <c r="R210" s="194"/>
      <c r="S210" s="194"/>
      <c r="T210" s="194"/>
      <c r="U210" s="194"/>
      <c r="V210" s="194"/>
      <c r="W210" s="194"/>
      <c r="X210" s="194"/>
      <c r="Y210" s="194"/>
      <c r="Z210" s="194"/>
      <c r="AA210" s="194"/>
      <c r="AB210" s="194"/>
      <c r="AC210" s="194"/>
      <c r="AD210" s="194"/>
    </row>
    <row r="211" spans="17:30" x14ac:dyDescent="0.3">
      <c r="Q211" s="194"/>
      <c r="R211" s="194"/>
      <c r="S211" s="194"/>
      <c r="T211" s="194"/>
      <c r="U211" s="194"/>
      <c r="V211" s="194"/>
      <c r="W211" s="194"/>
      <c r="X211" s="194"/>
      <c r="Y211" s="194"/>
      <c r="Z211" s="194"/>
      <c r="AA211" s="194"/>
      <c r="AB211" s="194"/>
      <c r="AC211" s="194"/>
      <c r="AD211" s="194"/>
    </row>
    <row r="212" spans="17:30" x14ac:dyDescent="0.3">
      <c r="Q212" s="194"/>
      <c r="R212" s="194"/>
      <c r="S212" s="194"/>
      <c r="T212" s="194"/>
      <c r="U212" s="194"/>
      <c r="V212" s="194"/>
      <c r="W212" s="194"/>
      <c r="X212" s="194"/>
      <c r="Y212" s="194"/>
      <c r="Z212" s="194"/>
      <c r="AA212" s="194"/>
      <c r="AB212" s="194"/>
      <c r="AC212" s="194"/>
      <c r="AD212" s="194"/>
    </row>
    <row r="213" spans="17:30" x14ac:dyDescent="0.3">
      <c r="Q213" s="194"/>
      <c r="R213" s="194"/>
      <c r="S213" s="194"/>
      <c r="T213" s="194"/>
      <c r="U213" s="194"/>
      <c r="V213" s="194"/>
      <c r="W213" s="194"/>
      <c r="X213" s="194"/>
      <c r="Y213" s="194"/>
      <c r="Z213" s="194"/>
      <c r="AA213" s="194"/>
      <c r="AB213" s="194"/>
      <c r="AC213" s="194"/>
      <c r="AD213" s="194"/>
    </row>
    <row r="214" spans="17:30" x14ac:dyDescent="0.3">
      <c r="Q214" s="194"/>
      <c r="R214" s="194"/>
      <c r="S214" s="194"/>
      <c r="T214" s="194"/>
      <c r="U214" s="194"/>
      <c r="V214" s="194"/>
      <c r="W214" s="194"/>
      <c r="X214" s="194"/>
      <c r="Y214" s="194"/>
      <c r="Z214" s="194"/>
      <c r="AA214" s="194"/>
      <c r="AB214" s="194"/>
      <c r="AC214" s="194"/>
      <c r="AD214" s="194"/>
    </row>
    <row r="215" spans="17:30" x14ac:dyDescent="0.3">
      <c r="Q215" s="194"/>
      <c r="R215" s="194"/>
      <c r="S215" s="194"/>
      <c r="T215" s="194"/>
      <c r="U215" s="194"/>
      <c r="V215" s="194"/>
      <c r="W215" s="194"/>
      <c r="X215" s="194"/>
      <c r="Y215" s="194"/>
      <c r="Z215" s="194"/>
      <c r="AA215" s="194"/>
      <c r="AB215" s="194"/>
      <c r="AC215" s="194"/>
      <c r="AD215" s="194"/>
    </row>
    <row r="216" spans="17:30" x14ac:dyDescent="0.3">
      <c r="Q216" s="194"/>
      <c r="R216" s="194"/>
      <c r="S216" s="194"/>
      <c r="T216" s="194"/>
      <c r="U216" s="194"/>
      <c r="V216" s="194"/>
      <c r="W216" s="194"/>
      <c r="X216" s="194"/>
      <c r="Y216" s="194"/>
      <c r="Z216" s="194"/>
      <c r="AA216" s="194"/>
      <c r="AB216" s="194"/>
      <c r="AC216" s="194"/>
      <c r="AD216" s="194"/>
    </row>
    <row r="217" spans="17:30" x14ac:dyDescent="0.3">
      <c r="Q217" s="194"/>
      <c r="R217" s="194"/>
      <c r="S217" s="194"/>
      <c r="T217" s="194"/>
      <c r="U217" s="194"/>
      <c r="V217" s="194"/>
      <c r="W217" s="194"/>
      <c r="X217" s="194"/>
      <c r="Y217" s="194"/>
      <c r="Z217" s="194"/>
      <c r="AA217" s="194"/>
      <c r="AB217" s="194"/>
      <c r="AC217" s="194"/>
      <c r="AD217" s="194"/>
    </row>
    <row r="218" spans="17:30" x14ac:dyDescent="0.3">
      <c r="Q218" s="194"/>
      <c r="R218" s="194"/>
      <c r="S218" s="194"/>
      <c r="T218" s="194"/>
      <c r="U218" s="194"/>
      <c r="V218" s="194"/>
      <c r="W218" s="194"/>
      <c r="X218" s="194"/>
      <c r="Y218" s="194"/>
      <c r="Z218" s="194"/>
      <c r="AA218" s="194"/>
      <c r="AB218" s="194"/>
      <c r="AC218" s="194"/>
      <c r="AD218" s="194"/>
    </row>
    <row r="219" spans="17:30" x14ac:dyDescent="0.3">
      <c r="Q219" s="194"/>
      <c r="R219" s="194"/>
      <c r="S219" s="194"/>
      <c r="T219" s="194"/>
      <c r="U219" s="194"/>
      <c r="V219" s="194"/>
      <c r="W219" s="194"/>
      <c r="X219" s="194"/>
      <c r="Y219" s="194"/>
      <c r="Z219" s="194"/>
      <c r="AA219" s="194"/>
      <c r="AB219" s="194"/>
      <c r="AC219" s="194"/>
      <c r="AD219" s="194"/>
    </row>
    <row r="220" spans="17:30" x14ac:dyDescent="0.3">
      <c r="Q220" s="194"/>
      <c r="R220" s="194"/>
      <c r="S220" s="194"/>
      <c r="T220" s="194"/>
      <c r="U220" s="194"/>
      <c r="V220" s="194"/>
      <c r="W220" s="194"/>
      <c r="X220" s="194"/>
      <c r="Y220" s="194"/>
      <c r="Z220" s="194"/>
      <c r="AA220" s="194"/>
      <c r="AB220" s="194"/>
      <c r="AC220" s="194"/>
      <c r="AD220" s="194"/>
    </row>
    <row r="221" spans="17:30" x14ac:dyDescent="0.3">
      <c r="Q221" s="194"/>
      <c r="R221" s="194"/>
      <c r="S221" s="194"/>
      <c r="T221" s="194"/>
      <c r="U221" s="194"/>
      <c r="V221" s="194"/>
      <c r="W221" s="194"/>
      <c r="X221" s="194"/>
      <c r="Y221" s="194"/>
      <c r="Z221" s="194"/>
      <c r="AA221" s="194"/>
      <c r="AB221" s="194"/>
      <c r="AC221" s="194"/>
      <c r="AD221" s="194"/>
    </row>
    <row r="222" spans="17:30" x14ac:dyDescent="0.3">
      <c r="Q222" s="194"/>
      <c r="R222" s="194"/>
      <c r="S222" s="194"/>
      <c r="T222" s="194"/>
      <c r="U222" s="194"/>
      <c r="V222" s="194"/>
      <c r="W222" s="194"/>
      <c r="X222" s="194"/>
      <c r="Y222" s="194"/>
      <c r="Z222" s="194"/>
      <c r="AA222" s="194"/>
      <c r="AB222" s="194"/>
      <c r="AC222" s="194"/>
      <c r="AD222" s="194"/>
    </row>
    <row r="223" spans="17:30" x14ac:dyDescent="0.3">
      <c r="Q223" s="194"/>
      <c r="R223" s="194"/>
      <c r="S223" s="194"/>
      <c r="T223" s="194"/>
      <c r="U223" s="194"/>
      <c r="V223" s="194"/>
      <c r="W223" s="194"/>
      <c r="X223" s="194"/>
      <c r="Y223" s="194"/>
      <c r="Z223" s="194"/>
      <c r="AA223" s="194"/>
      <c r="AB223" s="194"/>
      <c r="AC223" s="194"/>
      <c r="AD223" s="194"/>
    </row>
    <row r="224" spans="17:30" x14ac:dyDescent="0.3">
      <c r="Q224" s="194"/>
      <c r="R224" s="194"/>
      <c r="S224" s="194"/>
      <c r="T224" s="194"/>
      <c r="U224" s="194"/>
      <c r="V224" s="194"/>
      <c r="W224" s="194"/>
      <c r="X224" s="194"/>
      <c r="Y224" s="194"/>
      <c r="Z224" s="194"/>
      <c r="AA224" s="194"/>
      <c r="AB224" s="194"/>
      <c r="AC224" s="194"/>
      <c r="AD224" s="194"/>
    </row>
    <row r="225" spans="17:30" x14ac:dyDescent="0.3">
      <c r="Q225" s="194"/>
      <c r="R225" s="194"/>
      <c r="S225" s="194"/>
      <c r="T225" s="194"/>
      <c r="U225" s="194"/>
      <c r="V225" s="194"/>
      <c r="W225" s="194"/>
      <c r="X225" s="194"/>
      <c r="Y225" s="194"/>
      <c r="Z225" s="194"/>
      <c r="AA225" s="194"/>
      <c r="AB225" s="194"/>
      <c r="AC225" s="194"/>
      <c r="AD225" s="194"/>
    </row>
    <row r="226" spans="17:30" x14ac:dyDescent="0.3">
      <c r="Q226" s="194"/>
      <c r="R226" s="194"/>
      <c r="S226" s="194"/>
      <c r="T226" s="194"/>
      <c r="U226" s="194"/>
      <c r="V226" s="194"/>
      <c r="W226" s="194"/>
      <c r="X226" s="194"/>
      <c r="Y226" s="194"/>
      <c r="Z226" s="194"/>
      <c r="AA226" s="194"/>
      <c r="AB226" s="194"/>
      <c r="AC226" s="194"/>
      <c r="AD226" s="194"/>
    </row>
    <row r="227" spans="17:30" x14ac:dyDescent="0.3">
      <c r="Q227" s="194"/>
      <c r="R227" s="194"/>
      <c r="S227" s="194"/>
      <c r="T227" s="194"/>
      <c r="U227" s="194"/>
      <c r="V227" s="194"/>
      <c r="W227" s="194"/>
      <c r="X227" s="194"/>
      <c r="Y227" s="194"/>
      <c r="Z227" s="194"/>
      <c r="AA227" s="194"/>
      <c r="AB227" s="194"/>
      <c r="AC227" s="194"/>
      <c r="AD227" s="194"/>
    </row>
    <row r="228" spans="17:30" x14ac:dyDescent="0.3">
      <c r="Q228" s="194"/>
      <c r="R228" s="194"/>
      <c r="S228" s="194"/>
      <c r="T228" s="194"/>
      <c r="U228" s="194"/>
      <c r="V228" s="194"/>
      <c r="W228" s="194"/>
      <c r="X228" s="194"/>
      <c r="Y228" s="194"/>
      <c r="Z228" s="194"/>
      <c r="AA228" s="194"/>
      <c r="AB228" s="194"/>
      <c r="AC228" s="194"/>
      <c r="AD228" s="194"/>
    </row>
    <row r="229" spans="17:30" x14ac:dyDescent="0.3">
      <c r="Q229" s="194"/>
      <c r="R229" s="194"/>
      <c r="S229" s="194"/>
      <c r="T229" s="194"/>
      <c r="U229" s="194"/>
      <c r="V229" s="194"/>
      <c r="W229" s="194"/>
      <c r="X229" s="194"/>
      <c r="Y229" s="194"/>
      <c r="Z229" s="194"/>
      <c r="AA229" s="194"/>
      <c r="AB229" s="194"/>
      <c r="AC229" s="194"/>
      <c r="AD229" s="194"/>
    </row>
    <row r="230" spans="17:30" x14ac:dyDescent="0.3">
      <c r="Q230" s="194"/>
      <c r="R230" s="194"/>
      <c r="S230" s="194"/>
      <c r="T230" s="194"/>
      <c r="U230" s="194"/>
      <c r="V230" s="194"/>
      <c r="W230" s="194"/>
      <c r="X230" s="194"/>
      <c r="Y230" s="194"/>
      <c r="Z230" s="194"/>
      <c r="AA230" s="194"/>
      <c r="AB230" s="194"/>
      <c r="AC230" s="194"/>
      <c r="AD230" s="194"/>
    </row>
    <row r="231" spans="17:30" x14ac:dyDescent="0.3">
      <c r="Q231" s="194"/>
      <c r="R231" s="194"/>
      <c r="S231" s="194"/>
      <c r="T231" s="194"/>
      <c r="U231" s="194"/>
      <c r="V231" s="194"/>
      <c r="W231" s="194"/>
      <c r="X231" s="194"/>
      <c r="Y231" s="194"/>
      <c r="Z231" s="194"/>
      <c r="AA231" s="194"/>
      <c r="AB231" s="194"/>
      <c r="AC231" s="194"/>
      <c r="AD231" s="194"/>
    </row>
    <row r="232" spans="17:30" x14ac:dyDescent="0.3">
      <c r="Q232" s="194"/>
      <c r="R232" s="194"/>
      <c r="S232" s="194"/>
      <c r="T232" s="194"/>
      <c r="U232" s="194"/>
      <c r="V232" s="194"/>
      <c r="W232" s="194"/>
      <c r="X232" s="194"/>
      <c r="Y232" s="194"/>
      <c r="Z232" s="194"/>
      <c r="AA232" s="194"/>
      <c r="AB232" s="194"/>
      <c r="AC232" s="194"/>
      <c r="AD232" s="194"/>
    </row>
    <row r="233" spans="17:30" x14ac:dyDescent="0.3">
      <c r="Q233" s="194"/>
      <c r="R233" s="194"/>
      <c r="S233" s="194"/>
      <c r="T233" s="194"/>
      <c r="U233" s="194"/>
      <c r="V233" s="194"/>
      <c r="W233" s="194"/>
      <c r="X233" s="194"/>
      <c r="Y233" s="194"/>
      <c r="Z233" s="194"/>
      <c r="AA233" s="194"/>
      <c r="AB233" s="194"/>
      <c r="AC233" s="194"/>
      <c r="AD233" s="194"/>
    </row>
    <row r="234" spans="17:30" x14ac:dyDescent="0.3">
      <c r="Q234" s="194"/>
      <c r="R234" s="194"/>
      <c r="S234" s="194"/>
      <c r="T234" s="194"/>
      <c r="U234" s="194"/>
      <c r="V234" s="194"/>
      <c r="W234" s="194"/>
      <c r="X234" s="194"/>
      <c r="Y234" s="194"/>
      <c r="Z234" s="194"/>
      <c r="AA234" s="194"/>
      <c r="AB234" s="194"/>
      <c r="AC234" s="194"/>
      <c r="AD234" s="194"/>
    </row>
    <row r="235" spans="17:30" x14ac:dyDescent="0.3">
      <c r="Q235" s="194"/>
      <c r="R235" s="194"/>
      <c r="S235" s="194"/>
      <c r="T235" s="194"/>
      <c r="U235" s="194"/>
      <c r="V235" s="194"/>
      <c r="W235" s="194"/>
      <c r="X235" s="194"/>
      <c r="Y235" s="194"/>
      <c r="Z235" s="194"/>
      <c r="AA235" s="194"/>
      <c r="AB235" s="194"/>
      <c r="AC235" s="194"/>
      <c r="AD235" s="194"/>
    </row>
    <row r="236" spans="17:30" x14ac:dyDescent="0.3">
      <c r="Q236" s="194"/>
      <c r="R236" s="194"/>
      <c r="S236" s="194"/>
      <c r="T236" s="194"/>
      <c r="U236" s="194"/>
      <c r="V236" s="194"/>
      <c r="W236" s="194"/>
      <c r="X236" s="194"/>
      <c r="Y236" s="194"/>
      <c r="Z236" s="194"/>
      <c r="AA236" s="194"/>
      <c r="AB236" s="194"/>
      <c r="AC236" s="194"/>
      <c r="AD236" s="194"/>
    </row>
    <row r="237" spans="17:30" x14ac:dyDescent="0.3">
      <c r="Q237" s="194"/>
      <c r="R237" s="194"/>
      <c r="S237" s="194"/>
      <c r="T237" s="194"/>
      <c r="U237" s="194"/>
      <c r="V237" s="194"/>
      <c r="W237" s="194"/>
      <c r="X237" s="194"/>
      <c r="Y237" s="194"/>
      <c r="Z237" s="194"/>
      <c r="AA237" s="194"/>
      <c r="AB237" s="194"/>
      <c r="AC237" s="194"/>
      <c r="AD237" s="194"/>
    </row>
    <row r="238" spans="17:30" x14ac:dyDescent="0.3">
      <c r="Q238" s="194"/>
      <c r="R238" s="194"/>
      <c r="S238" s="194"/>
      <c r="T238" s="194"/>
      <c r="U238" s="194"/>
      <c r="V238" s="194"/>
      <c r="W238" s="194"/>
      <c r="X238" s="194"/>
      <c r="Y238" s="194"/>
      <c r="Z238" s="194"/>
      <c r="AA238" s="194"/>
      <c r="AB238" s="194"/>
      <c r="AC238" s="194"/>
      <c r="AD238" s="194"/>
    </row>
    <row r="239" spans="17:30" x14ac:dyDescent="0.3">
      <c r="Q239" s="194"/>
      <c r="R239" s="194"/>
      <c r="S239" s="194"/>
      <c r="T239" s="194"/>
      <c r="U239" s="194"/>
      <c r="V239" s="194"/>
      <c r="W239" s="194"/>
      <c r="X239" s="194"/>
      <c r="Y239" s="194"/>
      <c r="Z239" s="194"/>
      <c r="AA239" s="194"/>
      <c r="AB239" s="194"/>
      <c r="AC239" s="194"/>
      <c r="AD239" s="194"/>
    </row>
    <row r="240" spans="17:30" x14ac:dyDescent="0.3">
      <c r="Q240" s="194"/>
      <c r="R240" s="194"/>
      <c r="S240" s="194"/>
      <c r="T240" s="194"/>
      <c r="U240" s="194"/>
      <c r="V240" s="194"/>
      <c r="W240" s="194"/>
      <c r="X240" s="194"/>
      <c r="Y240" s="194"/>
      <c r="Z240" s="194"/>
      <c r="AA240" s="194"/>
      <c r="AB240" s="194"/>
      <c r="AC240" s="194"/>
      <c r="AD240" s="194"/>
    </row>
    <row r="241" spans="17:30" x14ac:dyDescent="0.3">
      <c r="Q241" s="194"/>
      <c r="R241" s="194"/>
      <c r="S241" s="194"/>
      <c r="T241" s="194"/>
      <c r="U241" s="194"/>
      <c r="V241" s="194"/>
      <c r="W241" s="194"/>
      <c r="X241" s="194"/>
      <c r="Y241" s="194"/>
      <c r="Z241" s="194"/>
      <c r="AA241" s="194"/>
      <c r="AB241" s="194"/>
      <c r="AC241" s="194"/>
      <c r="AD241" s="194"/>
    </row>
    <row r="242" spans="17:30" x14ac:dyDescent="0.3">
      <c r="Q242" s="194"/>
      <c r="R242" s="194"/>
      <c r="S242" s="194"/>
      <c r="T242" s="194"/>
      <c r="U242" s="194"/>
      <c r="V242" s="194"/>
      <c r="W242" s="194"/>
      <c r="X242" s="194"/>
      <c r="Y242" s="194"/>
      <c r="Z242" s="194"/>
      <c r="AA242" s="194"/>
      <c r="AB242" s="194"/>
      <c r="AC242" s="194"/>
      <c r="AD242" s="194"/>
    </row>
    <row r="243" spans="17:30" x14ac:dyDescent="0.3">
      <c r="Q243" s="194"/>
      <c r="R243" s="194"/>
      <c r="S243" s="194"/>
      <c r="T243" s="194"/>
      <c r="U243" s="194"/>
      <c r="V243" s="194"/>
      <c r="W243" s="194"/>
      <c r="X243" s="194"/>
      <c r="Y243" s="194"/>
      <c r="Z243" s="194"/>
      <c r="AA243" s="194"/>
      <c r="AB243" s="194"/>
      <c r="AC243" s="194"/>
      <c r="AD243" s="194"/>
    </row>
    <row r="244" spans="17:30" x14ac:dyDescent="0.3">
      <c r="Q244" s="194"/>
      <c r="R244" s="194"/>
      <c r="S244" s="194"/>
      <c r="T244" s="194"/>
      <c r="U244" s="194"/>
      <c r="V244" s="194"/>
      <c r="W244" s="194"/>
      <c r="X244" s="194"/>
      <c r="Y244" s="194"/>
      <c r="Z244" s="194"/>
      <c r="AA244" s="194"/>
      <c r="AB244" s="194"/>
      <c r="AC244" s="194"/>
      <c r="AD244" s="194"/>
    </row>
    <row r="245" spans="17:30" x14ac:dyDescent="0.3">
      <c r="Q245" s="194"/>
      <c r="R245" s="194"/>
      <c r="S245" s="194"/>
      <c r="T245" s="194"/>
      <c r="U245" s="194"/>
      <c r="V245" s="194"/>
      <c r="W245" s="194"/>
      <c r="X245" s="194"/>
      <c r="Y245" s="194"/>
      <c r="Z245" s="194"/>
      <c r="AA245" s="194"/>
      <c r="AB245" s="194"/>
      <c r="AC245" s="194"/>
      <c r="AD245" s="194"/>
    </row>
    <row r="246" spans="17:30" x14ac:dyDescent="0.3">
      <c r="Q246" s="194"/>
      <c r="R246" s="194"/>
      <c r="S246" s="194"/>
      <c r="T246" s="194"/>
      <c r="U246" s="194"/>
      <c r="V246" s="194"/>
      <c r="W246" s="194"/>
      <c r="X246" s="194"/>
      <c r="Y246" s="194"/>
      <c r="Z246" s="194"/>
      <c r="AA246" s="194"/>
      <c r="AB246" s="194"/>
      <c r="AC246" s="194"/>
      <c r="AD246" s="194"/>
    </row>
    <row r="247" spans="17:30" x14ac:dyDescent="0.3">
      <c r="Q247" s="194"/>
      <c r="R247" s="194"/>
      <c r="S247" s="194"/>
      <c r="T247" s="194"/>
      <c r="U247" s="194"/>
      <c r="V247" s="194"/>
      <c r="W247" s="194"/>
      <c r="X247" s="194"/>
      <c r="Y247" s="194"/>
      <c r="Z247" s="194"/>
      <c r="AA247" s="194"/>
      <c r="AB247" s="194"/>
      <c r="AC247" s="194"/>
      <c r="AD247" s="194"/>
    </row>
    <row r="248" spans="17:30" x14ac:dyDescent="0.3">
      <c r="Q248" s="194"/>
      <c r="R248" s="194"/>
      <c r="S248" s="194"/>
      <c r="T248" s="194"/>
      <c r="U248" s="194"/>
      <c r="V248" s="194"/>
      <c r="W248" s="194"/>
      <c r="X248" s="194"/>
      <c r="Y248" s="194"/>
      <c r="Z248" s="194"/>
      <c r="AA248" s="194"/>
      <c r="AB248" s="194"/>
      <c r="AC248" s="194"/>
      <c r="AD248" s="194"/>
    </row>
    <row r="249" spans="17:30" x14ac:dyDescent="0.3">
      <c r="Q249" s="194"/>
      <c r="R249" s="194"/>
      <c r="S249" s="194"/>
      <c r="T249" s="194"/>
      <c r="U249" s="194"/>
      <c r="V249" s="194"/>
      <c r="W249" s="194"/>
      <c r="X249" s="194"/>
      <c r="Y249" s="194"/>
      <c r="Z249" s="194"/>
      <c r="AA249" s="194"/>
      <c r="AB249" s="194"/>
      <c r="AC249" s="194"/>
      <c r="AD249" s="194"/>
    </row>
    <row r="250" spans="17:30" x14ac:dyDescent="0.3">
      <c r="Q250" s="194"/>
      <c r="R250" s="194"/>
      <c r="S250" s="194"/>
      <c r="T250" s="194"/>
      <c r="U250" s="194"/>
      <c r="V250" s="194"/>
      <c r="W250" s="194"/>
      <c r="X250" s="194"/>
      <c r="Y250" s="194"/>
      <c r="Z250" s="194"/>
      <c r="AA250" s="194"/>
      <c r="AB250" s="194"/>
      <c r="AC250" s="194"/>
      <c r="AD250" s="194"/>
    </row>
    <row r="251" spans="17:30" x14ac:dyDescent="0.3">
      <c r="Q251" s="194"/>
      <c r="R251" s="194"/>
      <c r="S251" s="194"/>
      <c r="T251" s="194"/>
      <c r="U251" s="194"/>
      <c r="V251" s="194"/>
      <c r="W251" s="194"/>
      <c r="X251" s="194"/>
      <c r="Y251" s="194"/>
      <c r="Z251" s="194"/>
      <c r="AA251" s="194"/>
      <c r="AB251" s="194"/>
      <c r="AC251" s="194"/>
      <c r="AD251" s="194"/>
    </row>
    <row r="252" spans="17:30" x14ac:dyDescent="0.3">
      <c r="Q252" s="194"/>
      <c r="R252" s="194"/>
      <c r="S252" s="194"/>
      <c r="T252" s="194"/>
      <c r="U252" s="194"/>
      <c r="V252" s="194"/>
      <c r="W252" s="194"/>
      <c r="X252" s="194"/>
      <c r="Y252" s="194"/>
      <c r="Z252" s="194"/>
      <c r="AA252" s="194"/>
      <c r="AB252" s="194"/>
      <c r="AC252" s="194"/>
      <c r="AD252" s="194"/>
    </row>
    <row r="253" spans="17:30" x14ac:dyDescent="0.3">
      <c r="Q253" s="194"/>
      <c r="R253" s="194"/>
      <c r="S253" s="194"/>
      <c r="T253" s="194"/>
      <c r="U253" s="194"/>
      <c r="V253" s="194"/>
      <c r="W253" s="194"/>
      <c r="X253" s="194"/>
      <c r="Y253" s="194"/>
      <c r="Z253" s="194"/>
      <c r="AA253" s="194"/>
      <c r="AB253" s="194"/>
      <c r="AC253" s="194"/>
      <c r="AD253" s="194"/>
    </row>
    <row r="254" spans="17:30" x14ac:dyDescent="0.3">
      <c r="Q254" s="194"/>
      <c r="R254" s="194"/>
      <c r="S254" s="194"/>
      <c r="T254" s="194"/>
      <c r="U254" s="194"/>
      <c r="V254" s="194"/>
      <c r="W254" s="194"/>
      <c r="X254" s="194"/>
      <c r="Y254" s="194"/>
      <c r="Z254" s="194"/>
      <c r="AA254" s="194"/>
      <c r="AB254" s="194"/>
      <c r="AC254" s="194"/>
      <c r="AD254" s="194"/>
    </row>
    <row r="255" spans="17:30" x14ac:dyDescent="0.3">
      <c r="Q255" s="194"/>
      <c r="R255" s="194"/>
      <c r="S255" s="194"/>
      <c r="T255" s="194"/>
      <c r="U255" s="194"/>
      <c r="V255" s="194"/>
      <c r="W255" s="194"/>
      <c r="X255" s="194"/>
      <c r="Y255" s="194"/>
      <c r="Z255" s="194"/>
      <c r="AA255" s="194"/>
      <c r="AB255" s="194"/>
      <c r="AC255" s="194"/>
      <c r="AD255" s="194"/>
    </row>
    <row r="256" spans="17:30" x14ac:dyDescent="0.3">
      <c r="Q256" s="194"/>
      <c r="R256" s="194"/>
      <c r="S256" s="194"/>
      <c r="T256" s="194"/>
      <c r="U256" s="194"/>
      <c r="V256" s="194"/>
      <c r="W256" s="194"/>
      <c r="X256" s="194"/>
      <c r="Y256" s="194"/>
      <c r="Z256" s="194"/>
      <c r="AA256" s="194"/>
      <c r="AB256" s="194"/>
      <c r="AC256" s="194"/>
      <c r="AD256" s="194"/>
    </row>
    <row r="257" spans="17:30" x14ac:dyDescent="0.3">
      <c r="Q257" s="194"/>
      <c r="R257" s="194"/>
      <c r="S257" s="194"/>
      <c r="T257" s="194"/>
      <c r="U257" s="194"/>
      <c r="V257" s="194"/>
      <c r="W257" s="194"/>
      <c r="X257" s="194"/>
      <c r="Y257" s="194"/>
      <c r="Z257" s="194"/>
      <c r="AA257" s="194"/>
      <c r="AB257" s="194"/>
      <c r="AC257" s="194"/>
      <c r="AD257" s="194"/>
    </row>
    <row r="258" spans="17:30" x14ac:dyDescent="0.3">
      <c r="Q258" s="194"/>
      <c r="R258" s="194"/>
      <c r="S258" s="194"/>
      <c r="T258" s="194"/>
      <c r="U258" s="194"/>
      <c r="V258" s="194"/>
      <c r="W258" s="194"/>
      <c r="X258" s="194"/>
      <c r="Y258" s="194"/>
      <c r="Z258" s="194"/>
      <c r="AA258" s="194"/>
      <c r="AB258" s="194"/>
      <c r="AC258" s="194"/>
      <c r="AD258" s="194"/>
    </row>
    <row r="259" spans="17:30" x14ac:dyDescent="0.3">
      <c r="Q259" s="194"/>
      <c r="R259" s="194"/>
      <c r="S259" s="194"/>
      <c r="T259" s="194"/>
      <c r="U259" s="194"/>
      <c r="V259" s="194"/>
      <c r="W259" s="194"/>
      <c r="X259" s="194"/>
      <c r="Y259" s="194"/>
      <c r="Z259" s="194"/>
      <c r="AA259" s="194"/>
      <c r="AB259" s="194"/>
      <c r="AC259" s="194"/>
      <c r="AD259" s="194"/>
    </row>
    <row r="260" spans="17:30" x14ac:dyDescent="0.3">
      <c r="Q260" s="194"/>
      <c r="R260" s="194"/>
      <c r="S260" s="194"/>
      <c r="T260" s="194"/>
      <c r="U260" s="194"/>
      <c r="V260" s="194"/>
      <c r="W260" s="194"/>
      <c r="X260" s="194"/>
      <c r="Y260" s="194"/>
      <c r="Z260" s="194"/>
      <c r="AA260" s="194"/>
      <c r="AB260" s="194"/>
      <c r="AC260" s="194"/>
      <c r="AD260" s="194"/>
    </row>
    <row r="261" spans="17:30" x14ac:dyDescent="0.3">
      <c r="Q261" s="194"/>
      <c r="R261" s="194"/>
      <c r="S261" s="194"/>
      <c r="T261" s="194"/>
      <c r="U261" s="194"/>
      <c r="V261" s="194"/>
      <c r="W261" s="194"/>
      <c r="X261" s="194"/>
      <c r="Y261" s="194"/>
      <c r="Z261" s="194"/>
      <c r="AA261" s="194"/>
      <c r="AB261" s="194"/>
      <c r="AC261" s="194"/>
      <c r="AD261" s="194"/>
    </row>
    <row r="262" spans="17:30" x14ac:dyDescent="0.3">
      <c r="Q262" s="194"/>
      <c r="R262" s="194"/>
      <c r="S262" s="194"/>
      <c r="T262" s="194"/>
      <c r="U262" s="194"/>
      <c r="V262" s="194"/>
      <c r="W262" s="194"/>
      <c r="X262" s="194"/>
      <c r="Y262" s="194"/>
      <c r="Z262" s="194"/>
      <c r="AA262" s="194"/>
      <c r="AB262" s="194"/>
      <c r="AC262" s="194"/>
      <c r="AD262" s="194"/>
    </row>
    <row r="263" spans="17:30" x14ac:dyDescent="0.3">
      <c r="Q263" s="194"/>
      <c r="R263" s="194"/>
      <c r="S263" s="194"/>
      <c r="T263" s="194"/>
      <c r="U263" s="194"/>
      <c r="V263" s="194"/>
      <c r="W263" s="194"/>
      <c r="X263" s="194"/>
      <c r="Y263" s="194"/>
      <c r="Z263" s="194"/>
      <c r="AA263" s="194"/>
      <c r="AB263" s="194"/>
      <c r="AC263" s="194"/>
      <c r="AD263" s="194"/>
    </row>
    <row r="264" spans="17:30" x14ac:dyDescent="0.3">
      <c r="Q264" s="194"/>
      <c r="R264" s="194"/>
      <c r="S264" s="194"/>
      <c r="T264" s="194"/>
      <c r="U264" s="194"/>
      <c r="V264" s="194"/>
      <c r="W264" s="194"/>
      <c r="X264" s="194"/>
      <c r="Y264" s="194"/>
      <c r="Z264" s="194"/>
      <c r="AA264" s="194"/>
      <c r="AB264" s="194"/>
      <c r="AC264" s="194"/>
      <c r="AD264" s="194"/>
    </row>
    <row r="265" spans="17:30" x14ac:dyDescent="0.3">
      <c r="Q265" s="194"/>
      <c r="R265" s="194"/>
      <c r="S265" s="194"/>
      <c r="T265" s="194"/>
      <c r="U265" s="194"/>
      <c r="V265" s="194"/>
      <c r="W265" s="194"/>
      <c r="X265" s="194"/>
      <c r="Y265" s="194"/>
      <c r="Z265" s="194"/>
      <c r="AA265" s="194"/>
      <c r="AB265" s="194"/>
      <c r="AC265" s="194"/>
      <c r="AD265" s="194"/>
    </row>
    <row r="266" spans="17:30" x14ac:dyDescent="0.3">
      <c r="Q266" s="194"/>
      <c r="R266" s="194"/>
      <c r="S266" s="194"/>
      <c r="T266" s="194"/>
      <c r="U266" s="194"/>
      <c r="V266" s="194"/>
      <c r="W266" s="194"/>
      <c r="X266" s="194"/>
      <c r="Y266" s="194"/>
      <c r="Z266" s="194"/>
      <c r="AA266" s="194"/>
      <c r="AB266" s="194"/>
      <c r="AC266" s="194"/>
      <c r="AD266" s="194"/>
    </row>
    <row r="267" spans="17:30" x14ac:dyDescent="0.3">
      <c r="Q267" s="194"/>
      <c r="R267" s="194"/>
      <c r="S267" s="194"/>
      <c r="T267" s="194"/>
      <c r="U267" s="194"/>
      <c r="V267" s="194"/>
      <c r="W267" s="194"/>
      <c r="X267" s="194"/>
      <c r="Y267" s="194"/>
      <c r="Z267" s="194"/>
      <c r="AA267" s="194"/>
      <c r="AB267" s="194"/>
      <c r="AC267" s="194"/>
      <c r="AD267" s="194"/>
    </row>
    <row r="268" spans="17:30" x14ac:dyDescent="0.3">
      <c r="Q268" s="194"/>
      <c r="R268" s="194"/>
      <c r="S268" s="194"/>
      <c r="T268" s="194"/>
      <c r="U268" s="194"/>
      <c r="V268" s="194"/>
      <c r="W268" s="194"/>
      <c r="X268" s="194"/>
      <c r="Y268" s="194"/>
      <c r="Z268" s="194"/>
      <c r="AA268" s="194"/>
      <c r="AB268" s="194"/>
      <c r="AC268" s="194"/>
      <c r="AD268" s="194"/>
    </row>
    <row r="269" spans="17:30" x14ac:dyDescent="0.3">
      <c r="Q269" s="194"/>
      <c r="R269" s="194"/>
      <c r="S269" s="194"/>
      <c r="T269" s="194"/>
      <c r="U269" s="194"/>
      <c r="V269" s="194"/>
      <c r="W269" s="194"/>
      <c r="X269" s="194"/>
      <c r="Y269" s="194"/>
      <c r="Z269" s="194"/>
      <c r="AA269" s="194"/>
      <c r="AB269" s="194"/>
      <c r="AC269" s="194"/>
      <c r="AD269" s="194"/>
    </row>
    <row r="270" spans="17:30" x14ac:dyDescent="0.3">
      <c r="Q270" s="194"/>
      <c r="R270" s="194"/>
      <c r="S270" s="194"/>
      <c r="T270" s="194"/>
      <c r="U270" s="194"/>
      <c r="V270" s="194"/>
      <c r="W270" s="194"/>
      <c r="X270" s="194"/>
      <c r="Y270" s="194"/>
      <c r="Z270" s="194"/>
      <c r="AA270" s="194"/>
      <c r="AB270" s="194"/>
      <c r="AC270" s="194"/>
      <c r="AD270" s="194"/>
    </row>
    <row r="271" spans="17:30" x14ac:dyDescent="0.3">
      <c r="Q271" s="194"/>
      <c r="R271" s="194"/>
      <c r="S271" s="194"/>
      <c r="T271" s="194"/>
      <c r="U271" s="194"/>
      <c r="V271" s="194"/>
      <c r="W271" s="194"/>
      <c r="X271" s="194"/>
      <c r="Y271" s="194"/>
      <c r="Z271" s="194"/>
      <c r="AA271" s="194"/>
      <c r="AB271" s="194"/>
      <c r="AC271" s="194"/>
      <c r="AD271" s="194"/>
    </row>
    <row r="272" spans="17:30" x14ac:dyDescent="0.3">
      <c r="Q272" s="194"/>
      <c r="R272" s="194"/>
      <c r="S272" s="194"/>
      <c r="T272" s="194"/>
      <c r="U272" s="194"/>
      <c r="V272" s="194"/>
      <c r="W272" s="194"/>
      <c r="X272" s="194"/>
      <c r="Y272" s="194"/>
      <c r="Z272" s="194"/>
      <c r="AA272" s="194"/>
      <c r="AB272" s="194"/>
      <c r="AC272" s="194"/>
      <c r="AD272" s="194"/>
    </row>
    <row r="273" spans="17:30" x14ac:dyDescent="0.3">
      <c r="Q273" s="194"/>
      <c r="R273" s="194"/>
      <c r="S273" s="194"/>
      <c r="T273" s="194"/>
      <c r="U273" s="194"/>
      <c r="V273" s="194"/>
      <c r="W273" s="194"/>
      <c r="X273" s="194"/>
      <c r="Y273" s="194"/>
      <c r="Z273" s="194"/>
      <c r="AA273" s="194"/>
      <c r="AB273" s="194"/>
      <c r="AC273" s="194"/>
      <c r="AD273" s="194"/>
    </row>
    <row r="274" spans="17:30" x14ac:dyDescent="0.3">
      <c r="Q274" s="194"/>
      <c r="R274" s="194"/>
      <c r="S274" s="194"/>
      <c r="T274" s="194"/>
      <c r="U274" s="194"/>
      <c r="V274" s="194"/>
      <c r="W274" s="194"/>
      <c r="X274" s="194"/>
      <c r="Y274" s="194"/>
      <c r="Z274" s="194"/>
      <c r="AA274" s="194"/>
      <c r="AB274" s="194"/>
      <c r="AC274" s="194"/>
      <c r="AD274" s="194"/>
    </row>
    <row r="275" spans="17:30" x14ac:dyDescent="0.3">
      <c r="Q275" s="194"/>
      <c r="R275" s="194"/>
      <c r="S275" s="194"/>
      <c r="T275" s="194"/>
      <c r="U275" s="194"/>
      <c r="V275" s="194"/>
      <c r="W275" s="194"/>
      <c r="X275" s="194"/>
      <c r="Y275" s="194"/>
      <c r="Z275" s="194"/>
      <c r="AA275" s="194"/>
      <c r="AB275" s="194"/>
      <c r="AC275" s="194"/>
      <c r="AD275" s="194"/>
    </row>
    <row r="276" spans="17:30" x14ac:dyDescent="0.3">
      <c r="Q276" s="194"/>
      <c r="R276" s="194"/>
      <c r="S276" s="194"/>
      <c r="T276" s="194"/>
      <c r="U276" s="194"/>
      <c r="V276" s="194"/>
      <c r="W276" s="194"/>
      <c r="X276" s="194"/>
      <c r="Y276" s="194"/>
      <c r="Z276" s="194"/>
      <c r="AA276" s="194"/>
      <c r="AB276" s="194"/>
      <c r="AC276" s="194"/>
      <c r="AD276" s="194"/>
    </row>
    <row r="277" spans="17:30" x14ac:dyDescent="0.3">
      <c r="Q277" s="194"/>
      <c r="R277" s="194"/>
      <c r="S277" s="194"/>
      <c r="T277" s="194"/>
      <c r="U277" s="194"/>
      <c r="V277" s="194"/>
      <c r="W277" s="194"/>
      <c r="X277" s="194"/>
      <c r="Y277" s="194"/>
      <c r="Z277" s="194"/>
      <c r="AA277" s="194"/>
      <c r="AB277" s="194"/>
      <c r="AC277" s="194"/>
      <c r="AD277" s="194"/>
    </row>
    <row r="278" spans="17:30" x14ac:dyDescent="0.3">
      <c r="Q278" s="194"/>
      <c r="R278" s="194"/>
      <c r="S278" s="194"/>
      <c r="T278" s="194"/>
      <c r="U278" s="194"/>
      <c r="V278" s="194"/>
      <c r="W278" s="194"/>
      <c r="X278" s="194"/>
      <c r="Y278" s="194"/>
      <c r="Z278" s="194"/>
      <c r="AA278" s="194"/>
      <c r="AB278" s="194"/>
      <c r="AC278" s="194"/>
      <c r="AD278" s="194"/>
    </row>
    <row r="279" spans="17:30" x14ac:dyDescent="0.3">
      <c r="Q279" s="194"/>
      <c r="R279" s="194"/>
      <c r="S279" s="194"/>
      <c r="T279" s="194"/>
      <c r="U279" s="194"/>
      <c r="V279" s="194"/>
      <c r="W279" s="194"/>
      <c r="X279" s="194"/>
      <c r="Y279" s="194"/>
      <c r="Z279" s="194"/>
      <c r="AA279" s="194"/>
      <c r="AB279" s="194"/>
      <c r="AC279" s="194"/>
      <c r="AD279" s="194"/>
    </row>
    <row r="280" spans="17:30" x14ac:dyDescent="0.3">
      <c r="Q280" s="194"/>
      <c r="R280" s="194"/>
      <c r="S280" s="194"/>
      <c r="T280" s="194"/>
      <c r="U280" s="194"/>
      <c r="V280" s="194"/>
      <c r="W280" s="194"/>
      <c r="X280" s="194"/>
      <c r="Y280" s="194"/>
      <c r="Z280" s="194"/>
      <c r="AA280" s="194"/>
      <c r="AB280" s="194"/>
      <c r="AC280" s="194"/>
      <c r="AD280" s="194"/>
    </row>
    <row r="281" spans="17:30" x14ac:dyDescent="0.3">
      <c r="Q281" s="194"/>
      <c r="R281" s="194"/>
      <c r="S281" s="194"/>
      <c r="T281" s="194"/>
      <c r="U281" s="194"/>
      <c r="V281" s="194"/>
      <c r="W281" s="194"/>
      <c r="X281" s="194"/>
      <c r="Y281" s="194"/>
      <c r="Z281" s="194"/>
      <c r="AA281" s="194"/>
      <c r="AB281" s="194"/>
      <c r="AC281" s="194"/>
      <c r="AD281" s="194"/>
    </row>
    <row r="282" spans="17:30" x14ac:dyDescent="0.3">
      <c r="Q282" s="194"/>
      <c r="R282" s="194"/>
      <c r="S282" s="194"/>
      <c r="T282" s="194"/>
      <c r="U282" s="194"/>
      <c r="V282" s="194"/>
      <c r="W282" s="194"/>
      <c r="X282" s="194"/>
      <c r="Y282" s="194"/>
      <c r="Z282" s="194"/>
      <c r="AA282" s="194"/>
      <c r="AB282" s="194"/>
      <c r="AC282" s="194"/>
      <c r="AD282" s="194"/>
    </row>
    <row r="283" spans="17:30" x14ac:dyDescent="0.3">
      <c r="Q283" s="194"/>
      <c r="R283" s="194"/>
      <c r="S283" s="194"/>
      <c r="T283" s="194"/>
      <c r="U283" s="194"/>
      <c r="V283" s="194"/>
      <c r="W283" s="194"/>
      <c r="X283" s="194"/>
      <c r="Y283" s="194"/>
      <c r="Z283" s="194"/>
      <c r="AA283" s="194"/>
      <c r="AB283" s="194"/>
      <c r="AC283" s="194"/>
      <c r="AD283" s="194"/>
    </row>
    <row r="284" spans="17:30" x14ac:dyDescent="0.3">
      <c r="Q284" s="194"/>
      <c r="R284" s="194"/>
      <c r="S284" s="194"/>
      <c r="T284" s="194"/>
      <c r="U284" s="194"/>
      <c r="V284" s="194"/>
      <c r="W284" s="194"/>
      <c r="X284" s="194"/>
      <c r="Y284" s="194"/>
      <c r="Z284" s="194"/>
      <c r="AA284" s="194"/>
      <c r="AB284" s="194"/>
      <c r="AC284" s="194"/>
      <c r="AD284" s="194"/>
    </row>
    <row r="285" spans="17:30" x14ac:dyDescent="0.3">
      <c r="Q285" s="194"/>
      <c r="R285" s="194"/>
      <c r="S285" s="194"/>
      <c r="T285" s="194"/>
      <c r="U285" s="194"/>
      <c r="V285" s="194"/>
      <c r="W285" s="194"/>
      <c r="X285" s="194"/>
      <c r="Y285" s="194"/>
      <c r="Z285" s="194"/>
      <c r="AA285" s="194"/>
      <c r="AB285" s="194"/>
      <c r="AC285" s="194"/>
      <c r="AD285" s="194"/>
    </row>
    <row r="286" spans="17:30" x14ac:dyDescent="0.3">
      <c r="Q286" s="194"/>
      <c r="R286" s="194"/>
      <c r="S286" s="194"/>
      <c r="T286" s="194"/>
      <c r="U286" s="194"/>
      <c r="V286" s="194"/>
      <c r="W286" s="194"/>
      <c r="X286" s="194"/>
      <c r="Y286" s="194"/>
      <c r="Z286" s="194"/>
      <c r="AA286" s="194"/>
      <c r="AB286" s="194"/>
      <c r="AC286" s="194"/>
      <c r="AD286" s="194"/>
    </row>
    <row r="287" spans="17:30" x14ac:dyDescent="0.3">
      <c r="Q287" s="194"/>
      <c r="R287" s="194"/>
      <c r="S287" s="194"/>
      <c r="T287" s="194"/>
      <c r="U287" s="194"/>
      <c r="V287" s="194"/>
      <c r="W287" s="194"/>
      <c r="X287" s="194"/>
      <c r="Y287" s="194"/>
      <c r="Z287" s="194"/>
      <c r="AA287" s="194"/>
      <c r="AB287" s="194"/>
      <c r="AC287" s="194"/>
      <c r="AD287" s="194"/>
    </row>
    <row r="288" spans="17:30" x14ac:dyDescent="0.3">
      <c r="Q288" s="194"/>
      <c r="R288" s="194"/>
      <c r="S288" s="194"/>
      <c r="T288" s="194"/>
      <c r="U288" s="194"/>
      <c r="V288" s="194"/>
      <c r="W288" s="194"/>
      <c r="X288" s="194"/>
      <c r="Y288" s="194"/>
      <c r="Z288" s="194"/>
      <c r="AA288" s="194"/>
      <c r="AB288" s="194"/>
      <c r="AC288" s="194"/>
      <c r="AD288" s="194"/>
    </row>
    <row r="289" spans="17:30" x14ac:dyDescent="0.3">
      <c r="Q289" s="194"/>
      <c r="R289" s="194"/>
      <c r="S289" s="194"/>
      <c r="T289" s="194"/>
      <c r="U289" s="194"/>
      <c r="V289" s="194"/>
      <c r="W289" s="194"/>
      <c r="X289" s="194"/>
      <c r="Y289" s="194"/>
      <c r="Z289" s="194"/>
      <c r="AA289" s="194"/>
      <c r="AB289" s="194"/>
      <c r="AC289" s="194"/>
      <c r="AD289" s="194"/>
    </row>
    <row r="290" spans="17:30" x14ac:dyDescent="0.3">
      <c r="Q290" s="194"/>
      <c r="R290" s="194"/>
      <c r="S290" s="194"/>
      <c r="T290" s="194"/>
      <c r="U290" s="194"/>
      <c r="V290" s="194"/>
      <c r="W290" s="194"/>
      <c r="X290" s="194"/>
      <c r="Y290" s="194"/>
      <c r="Z290" s="194"/>
      <c r="AA290" s="194"/>
      <c r="AB290" s="194"/>
      <c r="AC290" s="194"/>
      <c r="AD290" s="194"/>
    </row>
    <row r="291" spans="17:30" x14ac:dyDescent="0.3">
      <c r="Q291" s="194"/>
      <c r="R291" s="194"/>
      <c r="S291" s="194"/>
      <c r="T291" s="194"/>
      <c r="U291" s="194"/>
      <c r="V291" s="194"/>
      <c r="W291" s="194"/>
      <c r="X291" s="194"/>
      <c r="Y291" s="194"/>
      <c r="Z291" s="194"/>
      <c r="AA291" s="194"/>
      <c r="AB291" s="194"/>
      <c r="AC291" s="194"/>
      <c r="AD291" s="194"/>
    </row>
    <row r="292" spans="17:30" x14ac:dyDescent="0.3">
      <c r="Q292" s="194"/>
      <c r="R292" s="194"/>
      <c r="S292" s="194"/>
      <c r="T292" s="194"/>
      <c r="U292" s="194"/>
      <c r="V292" s="194"/>
      <c r="W292" s="194"/>
      <c r="X292" s="194"/>
      <c r="Y292" s="194"/>
      <c r="Z292" s="194"/>
      <c r="AA292" s="194"/>
      <c r="AB292" s="194"/>
      <c r="AC292" s="194"/>
      <c r="AD292" s="194"/>
    </row>
    <row r="293" spans="17:30" x14ac:dyDescent="0.3">
      <c r="Q293" s="194"/>
      <c r="R293" s="194"/>
      <c r="S293" s="194"/>
      <c r="T293" s="194"/>
      <c r="U293" s="194"/>
      <c r="V293" s="194"/>
      <c r="W293" s="194"/>
      <c r="X293" s="194"/>
      <c r="Y293" s="194"/>
      <c r="Z293" s="194"/>
      <c r="AA293" s="194"/>
      <c r="AB293" s="194"/>
      <c r="AC293" s="194"/>
      <c r="AD293" s="194"/>
    </row>
    <row r="294" spans="17:30" x14ac:dyDescent="0.3">
      <c r="Q294" s="194"/>
      <c r="R294" s="194"/>
      <c r="S294" s="194"/>
      <c r="T294" s="194"/>
      <c r="U294" s="194"/>
      <c r="V294" s="194"/>
      <c r="W294" s="194"/>
      <c r="X294" s="194"/>
      <c r="Y294" s="194"/>
      <c r="Z294" s="194"/>
      <c r="AA294" s="194"/>
      <c r="AB294" s="194"/>
      <c r="AC294" s="194"/>
      <c r="AD294" s="194"/>
    </row>
    <row r="295" spans="17:30" x14ac:dyDescent="0.3">
      <c r="Q295" s="194"/>
      <c r="R295" s="194"/>
      <c r="S295" s="194"/>
      <c r="T295" s="194"/>
      <c r="U295" s="194"/>
      <c r="V295" s="194"/>
      <c r="W295" s="194"/>
      <c r="X295" s="194"/>
      <c r="Y295" s="194"/>
      <c r="Z295" s="194"/>
      <c r="AA295" s="194"/>
      <c r="AB295" s="194"/>
      <c r="AC295" s="194"/>
      <c r="AD295" s="194"/>
    </row>
    <row r="296" spans="17:30" x14ac:dyDescent="0.3">
      <c r="Q296" s="194"/>
      <c r="R296" s="194"/>
      <c r="S296" s="194"/>
      <c r="T296" s="194"/>
      <c r="U296" s="194"/>
      <c r="V296" s="194"/>
      <c r="W296" s="194"/>
      <c r="X296" s="194"/>
      <c r="Y296" s="194"/>
      <c r="Z296" s="194"/>
      <c r="AA296" s="194"/>
      <c r="AB296" s="194"/>
      <c r="AC296" s="194"/>
      <c r="AD296" s="194"/>
    </row>
    <row r="297" spans="17:30" x14ac:dyDescent="0.3">
      <c r="Q297" s="194"/>
      <c r="R297" s="194"/>
      <c r="S297" s="194"/>
      <c r="T297" s="194"/>
      <c r="U297" s="194"/>
      <c r="V297" s="194"/>
      <c r="W297" s="194"/>
      <c r="X297" s="194"/>
      <c r="Y297" s="194"/>
      <c r="Z297" s="194"/>
      <c r="AA297" s="194"/>
      <c r="AB297" s="194"/>
      <c r="AC297" s="194"/>
      <c r="AD297" s="194"/>
    </row>
    <row r="298" spans="17:30" x14ac:dyDescent="0.3">
      <c r="Q298" s="194"/>
      <c r="R298" s="194"/>
      <c r="S298" s="194"/>
      <c r="T298" s="194"/>
      <c r="U298" s="194"/>
      <c r="V298" s="194"/>
      <c r="W298" s="194"/>
      <c r="X298" s="194"/>
      <c r="Y298" s="194"/>
      <c r="Z298" s="194"/>
      <c r="AA298" s="194"/>
      <c r="AB298" s="194"/>
      <c r="AC298" s="194"/>
      <c r="AD298" s="194"/>
    </row>
    <row r="299" spans="17:30" x14ac:dyDescent="0.3">
      <c r="Q299" s="194"/>
      <c r="R299" s="194"/>
      <c r="S299" s="194"/>
      <c r="T299" s="194"/>
      <c r="U299" s="194"/>
      <c r="V299" s="194"/>
      <c r="W299" s="194"/>
      <c r="X299" s="194"/>
      <c r="Y299" s="194"/>
      <c r="Z299" s="194"/>
      <c r="AA299" s="194"/>
      <c r="AB299" s="194"/>
      <c r="AC299" s="194"/>
      <c r="AD299" s="194"/>
    </row>
    <row r="300" spans="17:30" x14ac:dyDescent="0.3">
      <c r="Q300" s="194"/>
      <c r="R300" s="194"/>
      <c r="S300" s="194"/>
      <c r="T300" s="194"/>
      <c r="U300" s="194"/>
      <c r="V300" s="194"/>
      <c r="W300" s="194"/>
      <c r="X300" s="194"/>
      <c r="Y300" s="194"/>
      <c r="Z300" s="194"/>
      <c r="AA300" s="194"/>
      <c r="AB300" s="194"/>
      <c r="AC300" s="194"/>
      <c r="AD300" s="194"/>
    </row>
    <row r="301" spans="17:30" x14ac:dyDescent="0.3">
      <c r="Q301" s="194"/>
      <c r="R301" s="194"/>
      <c r="S301" s="194"/>
      <c r="T301" s="194"/>
      <c r="U301" s="194"/>
      <c r="V301" s="194"/>
      <c r="W301" s="194"/>
      <c r="X301" s="194"/>
      <c r="Y301" s="194"/>
      <c r="Z301" s="194"/>
      <c r="AA301" s="194"/>
      <c r="AB301" s="194"/>
      <c r="AC301" s="194"/>
      <c r="AD301" s="194"/>
    </row>
    <row r="302" spans="17:30" x14ac:dyDescent="0.3">
      <c r="Q302" s="194"/>
      <c r="R302" s="194"/>
      <c r="S302" s="194"/>
      <c r="T302" s="194"/>
      <c r="U302" s="194"/>
      <c r="V302" s="194"/>
      <c r="W302" s="194"/>
      <c r="X302" s="194"/>
      <c r="Y302" s="194"/>
      <c r="Z302" s="194"/>
      <c r="AA302" s="194"/>
      <c r="AB302" s="194"/>
      <c r="AC302" s="194"/>
      <c r="AD302" s="194"/>
    </row>
    <row r="303" spans="17:30" x14ac:dyDescent="0.3">
      <c r="Q303" s="194"/>
      <c r="R303" s="194"/>
      <c r="S303" s="194"/>
      <c r="T303" s="194"/>
      <c r="U303" s="194"/>
      <c r="V303" s="194"/>
      <c r="W303" s="194"/>
      <c r="X303" s="194"/>
      <c r="Y303" s="194"/>
      <c r="Z303" s="194"/>
      <c r="AA303" s="194"/>
      <c r="AB303" s="194"/>
      <c r="AC303" s="194"/>
      <c r="AD303" s="194"/>
    </row>
  </sheetData>
  <mergeCells count="108">
    <mergeCell ref="A28:A29"/>
    <mergeCell ref="B28:C29"/>
    <mergeCell ref="A69:A70"/>
    <mergeCell ref="B69:B70"/>
    <mergeCell ref="A63:A64"/>
    <mergeCell ref="B63:B64"/>
    <mergeCell ref="A65:A66"/>
    <mergeCell ref="B65:B66"/>
    <mergeCell ref="A67:A68"/>
    <mergeCell ref="B67:B68"/>
    <mergeCell ref="A57:A58"/>
    <mergeCell ref="B57:B58"/>
    <mergeCell ref="A59:A60"/>
    <mergeCell ref="B59:B60"/>
    <mergeCell ref="A61:A62"/>
    <mergeCell ref="B61:B62"/>
    <mergeCell ref="A50:A51"/>
    <mergeCell ref="B50:B51"/>
    <mergeCell ref="B30:C30"/>
    <mergeCell ref="A34:A35"/>
    <mergeCell ref="B34:B35"/>
    <mergeCell ref="A38:A39"/>
    <mergeCell ref="B38:B39"/>
    <mergeCell ref="Q50:AD51"/>
    <mergeCell ref="A55:A56"/>
    <mergeCell ref="B55:B56"/>
    <mergeCell ref="C55:P55"/>
    <mergeCell ref="A46:A47"/>
    <mergeCell ref="B46:B47"/>
    <mergeCell ref="Q46:AD47"/>
    <mergeCell ref="A48:A49"/>
    <mergeCell ref="B48:B49"/>
    <mergeCell ref="Q48:AD49"/>
    <mergeCell ref="A1:A4"/>
    <mergeCell ref="B1:AA1"/>
    <mergeCell ref="AB1:AD1"/>
    <mergeCell ref="B2:AA2"/>
    <mergeCell ref="AB2:AD2"/>
    <mergeCell ref="B3:AA4"/>
    <mergeCell ref="AB3:AD3"/>
    <mergeCell ref="AB4:AD4"/>
    <mergeCell ref="A11:B13"/>
    <mergeCell ref="D7:H9"/>
    <mergeCell ref="I7:J9"/>
    <mergeCell ref="K7:L9"/>
    <mergeCell ref="O7:P7"/>
    <mergeCell ref="M8:N8"/>
    <mergeCell ref="O8:P8"/>
    <mergeCell ref="M9:N9"/>
    <mergeCell ref="O9:P9"/>
    <mergeCell ref="M7:N7"/>
    <mergeCell ref="A7:B9"/>
    <mergeCell ref="C7:C9"/>
    <mergeCell ref="C11:AD13"/>
    <mergeCell ref="D28:O28"/>
    <mergeCell ref="P28:P29"/>
    <mergeCell ref="Q28:AD29"/>
    <mergeCell ref="R15:X15"/>
    <mergeCell ref="Y15:Z15"/>
    <mergeCell ref="W17:X17"/>
    <mergeCell ref="Y17:AB17"/>
    <mergeCell ref="A15:B15"/>
    <mergeCell ref="C15:K15"/>
    <mergeCell ref="A24:B24"/>
    <mergeCell ref="A19:AD19"/>
    <mergeCell ref="Q20:AD20"/>
    <mergeCell ref="C20:P20"/>
    <mergeCell ref="A22:B22"/>
    <mergeCell ref="AC17:AD17"/>
    <mergeCell ref="R17:V17"/>
    <mergeCell ref="L15:Q15"/>
    <mergeCell ref="A27:AD27"/>
    <mergeCell ref="A23:B23"/>
    <mergeCell ref="A25:B25"/>
    <mergeCell ref="AA15:AD15"/>
    <mergeCell ref="C16:AB16"/>
    <mergeCell ref="A17:B17"/>
    <mergeCell ref="C17:Q17"/>
    <mergeCell ref="Q30:AD30"/>
    <mergeCell ref="A31:AD31"/>
    <mergeCell ref="A32:A33"/>
    <mergeCell ref="B32:B33"/>
    <mergeCell ref="C32:C33"/>
    <mergeCell ref="D32:P32"/>
    <mergeCell ref="Q32:AD32"/>
    <mergeCell ref="W33:Z33"/>
    <mergeCell ref="AA33:AD33"/>
    <mergeCell ref="W34:Z35"/>
    <mergeCell ref="AA34:AD35"/>
    <mergeCell ref="Q33:S33"/>
    <mergeCell ref="T33:V33"/>
    <mergeCell ref="Q34:S35"/>
    <mergeCell ref="T34:V35"/>
    <mergeCell ref="A36:A37"/>
    <mergeCell ref="B36:B37"/>
    <mergeCell ref="C36:P36"/>
    <mergeCell ref="Q36:AD36"/>
    <mergeCell ref="Q37:AD37"/>
    <mergeCell ref="Q38:AD39"/>
    <mergeCell ref="A44:A45"/>
    <mergeCell ref="B44:B45"/>
    <mergeCell ref="Q44:AD45"/>
    <mergeCell ref="A40:A41"/>
    <mergeCell ref="B40:B41"/>
    <mergeCell ref="Q40:AD41"/>
    <mergeCell ref="A42:A43"/>
    <mergeCell ref="B42:B43"/>
    <mergeCell ref="Q42:AD43"/>
  </mergeCells>
  <phoneticPr fontId="66" type="noConversion"/>
  <dataValidations count="4">
    <dataValidation type="list" allowBlank="1" showInputMessage="1" showErrorMessage="1" sqref="C7:C9" xr:uid="{00000000-0002-0000-0600-000000000000}">
      <formula1>$C$21:$N$21</formula1>
    </dataValidation>
    <dataValidation type="textLength" operator="lessThanOrEqual" allowBlank="1" showInputMessage="1" showErrorMessage="1" errorTitle="Máximo 2.000 caracteres" error="Máximo 2.000 caracteres" promptTitle="2.000 caracteres" sqref="Q30:AD30" xr:uid="{00000000-0002-0000-0600-000001000000}">
      <formula1>2000</formula1>
    </dataValidation>
    <dataValidation type="textLength" operator="lessThanOrEqual" allowBlank="1" showInputMessage="1" showErrorMessage="1" errorTitle="Máximo 2.000 caracteres" error="Máximo 2.000 caracteres" sqref="W34 Q34" xr:uid="{00000000-0002-0000-0600-000002000000}">
      <formula1>2000</formula1>
    </dataValidation>
    <dataValidation type="textLength" operator="lessThanOrEqual" allowBlank="1" showInputMessage="1" showErrorMessage="1" errorTitle="Máximo 2.000 caracteres" error="Máximo 2.000 caracteres" sqref="Q38:AD51" xr:uid="{00000000-0002-0000-0600-000003000000}">
      <formula1>20000</formula1>
    </dataValidation>
  </dataValidations>
  <printOptions horizontalCentered="1"/>
  <pageMargins left="0" right="0" top="0.39370078740157483" bottom="0.39370078740157483" header="0" footer="0"/>
  <pageSetup paperSize="9" scale="19" orientation="landscape" r:id="rId1"/>
  <drawing r:id="rId2"/>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7" tint="0.39997558519241921"/>
    <pageSetUpPr fitToPage="1"/>
  </sheetPr>
  <dimension ref="A1:AO303"/>
  <sheetViews>
    <sheetView showGridLines="0" view="pageBreakPreview" topLeftCell="N22" zoomScale="60" zoomScaleNormal="60" workbookViewId="0">
      <selection activeCell="T34" sqref="T34:V35"/>
    </sheetView>
  </sheetViews>
  <sheetFormatPr baseColWidth="10" defaultColWidth="10.6640625" defaultRowHeight="14.4" x14ac:dyDescent="0.3"/>
  <cols>
    <col min="1" max="1" width="38.44140625" style="50" customWidth="1"/>
    <col min="2" max="2" width="15.44140625" style="50" customWidth="1"/>
    <col min="3" max="14" width="20.6640625" style="50" customWidth="1"/>
    <col min="15" max="15" width="18.33203125" style="50" customWidth="1"/>
    <col min="16" max="17" width="18.109375" style="50" customWidth="1"/>
    <col min="18" max="18" width="19.109375" style="50" customWidth="1"/>
    <col min="19" max="27" width="18.109375" style="50" customWidth="1"/>
    <col min="28" max="28" width="22.6640625" style="50" customWidth="1"/>
    <col min="29" max="29" width="19" style="50" customWidth="1"/>
    <col min="30" max="30" width="19.44140625" style="50" customWidth="1"/>
    <col min="31" max="31" width="6.33203125" style="50" bestFit="1" customWidth="1"/>
    <col min="32" max="32" width="22.6640625" style="50" customWidth="1"/>
    <col min="33" max="33" width="18.44140625" style="50" bestFit="1" customWidth="1"/>
    <col min="34" max="34" width="8.44140625" style="50" customWidth="1"/>
    <col min="35" max="35" width="18.44140625" style="50" bestFit="1" customWidth="1"/>
    <col min="36" max="36" width="5.6640625" style="50" customWidth="1"/>
    <col min="37" max="37" width="18.44140625" style="50" bestFit="1" customWidth="1"/>
    <col min="38" max="38" width="4.6640625" style="50" customWidth="1"/>
    <col min="39" max="39" width="23" style="50" bestFit="1" customWidth="1"/>
    <col min="40" max="40" width="10.6640625" style="50"/>
    <col min="41" max="41" width="18.44140625" style="50" bestFit="1" customWidth="1"/>
    <col min="42" max="42" width="16.109375" style="50" customWidth="1"/>
    <col min="43" max="16384" width="10.6640625" style="50"/>
  </cols>
  <sheetData>
    <row r="1" spans="1:33" ht="32.25" customHeight="1" thickBot="1" x14ac:dyDescent="0.35">
      <c r="A1" s="503"/>
      <c r="B1" s="506" t="s">
        <v>0</v>
      </c>
      <c r="C1" s="507"/>
      <c r="D1" s="507"/>
      <c r="E1" s="507"/>
      <c r="F1" s="507"/>
      <c r="G1" s="507"/>
      <c r="H1" s="507"/>
      <c r="I1" s="507"/>
      <c r="J1" s="507"/>
      <c r="K1" s="507"/>
      <c r="L1" s="507"/>
      <c r="M1" s="507"/>
      <c r="N1" s="507"/>
      <c r="O1" s="507"/>
      <c r="P1" s="507"/>
      <c r="Q1" s="507"/>
      <c r="R1" s="507"/>
      <c r="S1" s="507"/>
      <c r="T1" s="507"/>
      <c r="U1" s="507"/>
      <c r="V1" s="507"/>
      <c r="W1" s="507"/>
      <c r="X1" s="507"/>
      <c r="Y1" s="507"/>
      <c r="Z1" s="507"/>
      <c r="AA1" s="508"/>
      <c r="AB1" s="509" t="s">
        <v>1</v>
      </c>
      <c r="AC1" s="510"/>
      <c r="AD1" s="511"/>
    </row>
    <row r="2" spans="1:33" ht="30.75" customHeight="1" thickBot="1" x14ac:dyDescent="0.35">
      <c r="A2" s="504"/>
      <c r="B2" s="506" t="s">
        <v>2</v>
      </c>
      <c r="C2" s="507"/>
      <c r="D2" s="507"/>
      <c r="E2" s="507"/>
      <c r="F2" s="507"/>
      <c r="G2" s="507"/>
      <c r="H2" s="507"/>
      <c r="I2" s="507"/>
      <c r="J2" s="507"/>
      <c r="K2" s="507"/>
      <c r="L2" s="507"/>
      <c r="M2" s="507"/>
      <c r="N2" s="507"/>
      <c r="O2" s="507"/>
      <c r="P2" s="507"/>
      <c r="Q2" s="507"/>
      <c r="R2" s="507"/>
      <c r="S2" s="507"/>
      <c r="T2" s="507"/>
      <c r="U2" s="507"/>
      <c r="V2" s="507"/>
      <c r="W2" s="507"/>
      <c r="X2" s="507"/>
      <c r="Y2" s="507"/>
      <c r="Z2" s="507"/>
      <c r="AA2" s="508"/>
      <c r="AB2" s="512" t="s">
        <v>3</v>
      </c>
      <c r="AC2" s="513"/>
      <c r="AD2" s="514"/>
    </row>
    <row r="3" spans="1:33" ht="24" customHeight="1" x14ac:dyDescent="0.3">
      <c r="A3" s="504"/>
      <c r="B3" s="764" t="s">
        <v>4</v>
      </c>
      <c r="C3" s="460"/>
      <c r="D3" s="460"/>
      <c r="E3" s="460"/>
      <c r="F3" s="460"/>
      <c r="G3" s="460"/>
      <c r="H3" s="460"/>
      <c r="I3" s="460"/>
      <c r="J3" s="460"/>
      <c r="K3" s="460"/>
      <c r="L3" s="460"/>
      <c r="M3" s="460"/>
      <c r="N3" s="460"/>
      <c r="O3" s="460"/>
      <c r="P3" s="460"/>
      <c r="Q3" s="460"/>
      <c r="R3" s="460"/>
      <c r="S3" s="460"/>
      <c r="T3" s="460"/>
      <c r="U3" s="460"/>
      <c r="V3" s="460"/>
      <c r="W3" s="460"/>
      <c r="X3" s="460"/>
      <c r="Y3" s="460"/>
      <c r="Z3" s="460"/>
      <c r="AA3" s="461"/>
      <c r="AB3" s="512" t="s">
        <v>5</v>
      </c>
      <c r="AC3" s="513"/>
      <c r="AD3" s="514"/>
    </row>
    <row r="4" spans="1:33" ht="21.75" customHeight="1" thickBot="1" x14ac:dyDescent="0.35">
      <c r="A4" s="505"/>
      <c r="B4" s="765"/>
      <c r="C4" s="766"/>
      <c r="D4" s="766"/>
      <c r="E4" s="766"/>
      <c r="F4" s="766"/>
      <c r="G4" s="766"/>
      <c r="H4" s="766"/>
      <c r="I4" s="766"/>
      <c r="J4" s="766"/>
      <c r="K4" s="766"/>
      <c r="L4" s="766"/>
      <c r="M4" s="766"/>
      <c r="N4" s="766"/>
      <c r="O4" s="766"/>
      <c r="P4" s="766"/>
      <c r="Q4" s="766"/>
      <c r="R4" s="766"/>
      <c r="S4" s="766"/>
      <c r="T4" s="766"/>
      <c r="U4" s="766"/>
      <c r="V4" s="766"/>
      <c r="W4" s="766"/>
      <c r="X4" s="766"/>
      <c r="Y4" s="766"/>
      <c r="Z4" s="766"/>
      <c r="AA4" s="767"/>
      <c r="AB4" s="524" t="s">
        <v>6</v>
      </c>
      <c r="AC4" s="525"/>
      <c r="AD4" s="526"/>
    </row>
    <row r="5" spans="1:33" ht="9" customHeight="1" thickBot="1" x14ac:dyDescent="0.35">
      <c r="A5" s="239"/>
      <c r="B5" s="240"/>
      <c r="C5" s="241"/>
      <c r="D5" s="242"/>
      <c r="E5" s="242"/>
      <c r="F5" s="242"/>
      <c r="G5" s="242"/>
      <c r="H5" s="242"/>
      <c r="I5" s="242"/>
      <c r="J5" s="242"/>
      <c r="K5" s="242"/>
      <c r="L5" s="242"/>
      <c r="M5" s="242"/>
      <c r="N5" s="242"/>
      <c r="O5" s="242"/>
      <c r="P5" s="242"/>
      <c r="Q5" s="242"/>
      <c r="R5" s="242"/>
      <c r="S5" s="242"/>
      <c r="T5" s="242"/>
      <c r="U5" s="242"/>
      <c r="V5" s="242"/>
      <c r="W5" s="242"/>
      <c r="X5" s="242"/>
      <c r="Y5" s="242"/>
      <c r="Z5" s="243"/>
      <c r="AA5" s="242"/>
      <c r="AB5" s="244"/>
      <c r="AC5" s="245"/>
      <c r="AD5" s="246"/>
    </row>
    <row r="6" spans="1:33" ht="9" customHeight="1" thickBot="1" x14ac:dyDescent="0.35">
      <c r="A6" s="247"/>
      <c r="B6" s="242"/>
      <c r="C6" s="242"/>
      <c r="D6" s="242"/>
      <c r="E6" s="242"/>
      <c r="F6" s="242"/>
      <c r="G6" s="242"/>
      <c r="H6" s="242"/>
      <c r="I6" s="242"/>
      <c r="J6" s="242"/>
      <c r="K6" s="242"/>
      <c r="L6" s="242"/>
      <c r="M6" s="242"/>
      <c r="N6" s="242"/>
      <c r="O6" s="242"/>
      <c r="P6" s="242"/>
      <c r="Q6" s="242"/>
      <c r="R6" s="242"/>
      <c r="S6" s="242"/>
      <c r="T6" s="242"/>
      <c r="U6" s="242"/>
      <c r="V6" s="242"/>
      <c r="W6" s="242"/>
      <c r="X6" s="242"/>
      <c r="Y6" s="242"/>
      <c r="Z6" s="243"/>
      <c r="AA6" s="242"/>
      <c r="AB6" s="242"/>
      <c r="AC6" s="248"/>
      <c r="AD6" s="249"/>
    </row>
    <row r="7" spans="1:33" ht="15.6" x14ac:dyDescent="0.3">
      <c r="A7" s="467" t="s">
        <v>7</v>
      </c>
      <c r="B7" s="468"/>
      <c r="C7" s="473" t="s">
        <v>38</v>
      </c>
      <c r="D7" s="527" t="s">
        <v>9</v>
      </c>
      <c r="E7" s="528"/>
      <c r="F7" s="528"/>
      <c r="G7" s="528"/>
      <c r="H7" s="529"/>
      <c r="I7" s="536">
        <v>45232</v>
      </c>
      <c r="J7" s="537"/>
      <c r="K7" s="527" t="s">
        <v>10</v>
      </c>
      <c r="L7" s="529"/>
      <c r="M7" s="465" t="s">
        <v>11</v>
      </c>
      <c r="N7" s="466"/>
      <c r="O7" s="768"/>
      <c r="P7" s="769"/>
      <c r="Q7" s="250"/>
      <c r="R7" s="250"/>
      <c r="S7" s="250"/>
      <c r="T7" s="250"/>
      <c r="U7" s="250"/>
      <c r="V7" s="250"/>
      <c r="W7" s="250"/>
      <c r="X7" s="250"/>
      <c r="Y7" s="250"/>
      <c r="Z7" s="251"/>
      <c r="AA7" s="250"/>
      <c r="AB7" s="250"/>
      <c r="AC7" s="252"/>
      <c r="AD7" s="253"/>
      <c r="AE7" s="194"/>
      <c r="AF7" s="194"/>
      <c r="AG7" s="194"/>
    </row>
    <row r="8" spans="1:33" ht="15.6" x14ac:dyDescent="0.3">
      <c r="A8" s="469"/>
      <c r="B8" s="470"/>
      <c r="C8" s="474"/>
      <c r="D8" s="530"/>
      <c r="E8" s="531"/>
      <c r="F8" s="531"/>
      <c r="G8" s="531"/>
      <c r="H8" s="532"/>
      <c r="I8" s="538"/>
      <c r="J8" s="539"/>
      <c r="K8" s="530"/>
      <c r="L8" s="532"/>
      <c r="M8" s="544" t="s">
        <v>12</v>
      </c>
      <c r="N8" s="545"/>
      <c r="O8" s="463"/>
      <c r="P8" s="464"/>
      <c r="Q8" s="250"/>
      <c r="R8" s="250"/>
      <c r="S8" s="250"/>
      <c r="T8" s="250"/>
      <c r="U8" s="250"/>
      <c r="V8" s="250"/>
      <c r="W8" s="250"/>
      <c r="X8" s="250"/>
      <c r="Y8" s="250"/>
      <c r="Z8" s="251"/>
      <c r="AA8" s="250"/>
      <c r="AB8" s="250"/>
      <c r="AC8" s="252"/>
      <c r="AD8" s="253"/>
      <c r="AE8" s="194"/>
      <c r="AF8" s="194"/>
      <c r="AG8" s="194"/>
    </row>
    <row r="9" spans="1:33" ht="16.2" thickBot="1" x14ac:dyDescent="0.35">
      <c r="A9" s="471"/>
      <c r="B9" s="472"/>
      <c r="C9" s="475"/>
      <c r="D9" s="533"/>
      <c r="E9" s="534"/>
      <c r="F9" s="534"/>
      <c r="G9" s="534"/>
      <c r="H9" s="535"/>
      <c r="I9" s="540"/>
      <c r="J9" s="541"/>
      <c r="K9" s="533"/>
      <c r="L9" s="535"/>
      <c r="M9" s="484" t="s">
        <v>13</v>
      </c>
      <c r="N9" s="485"/>
      <c r="O9" s="486" t="s">
        <v>14</v>
      </c>
      <c r="P9" s="487"/>
      <c r="Q9" s="250"/>
      <c r="R9" s="250"/>
      <c r="S9" s="250"/>
      <c r="T9" s="250"/>
      <c r="U9" s="250"/>
      <c r="V9" s="250"/>
      <c r="W9" s="250"/>
      <c r="X9" s="250"/>
      <c r="Y9" s="250"/>
      <c r="Z9" s="251"/>
      <c r="AA9" s="250"/>
      <c r="AB9" s="250"/>
      <c r="AC9" s="252"/>
      <c r="AD9" s="253"/>
      <c r="AE9" s="194"/>
      <c r="AF9" s="194"/>
      <c r="AG9" s="194"/>
    </row>
    <row r="10" spans="1:33" ht="15" customHeight="1" thickBot="1" x14ac:dyDescent="0.35">
      <c r="A10" s="254"/>
      <c r="B10" s="255"/>
      <c r="C10" s="255"/>
      <c r="D10" s="256"/>
      <c r="E10" s="256"/>
      <c r="F10" s="256"/>
      <c r="G10" s="256"/>
      <c r="H10" s="256"/>
      <c r="I10" s="257"/>
      <c r="J10" s="257"/>
      <c r="K10" s="256"/>
      <c r="L10" s="256"/>
      <c r="M10" s="258"/>
      <c r="N10" s="258"/>
      <c r="O10" s="259"/>
      <c r="P10" s="259"/>
      <c r="Q10" s="255"/>
      <c r="R10" s="255"/>
      <c r="S10" s="255"/>
      <c r="T10" s="255"/>
      <c r="U10" s="255"/>
      <c r="V10" s="255"/>
      <c r="W10" s="255"/>
      <c r="X10" s="255"/>
      <c r="Y10" s="255"/>
      <c r="Z10" s="260"/>
      <c r="AA10" s="255"/>
      <c r="AB10" s="255"/>
      <c r="AC10" s="261"/>
      <c r="AD10" s="262"/>
    </row>
    <row r="11" spans="1:33" ht="15" customHeight="1" x14ac:dyDescent="0.3">
      <c r="A11" s="467" t="s">
        <v>15</v>
      </c>
      <c r="B11" s="468"/>
      <c r="C11" s="488" t="s">
        <v>152</v>
      </c>
      <c r="D11" s="489"/>
      <c r="E11" s="489"/>
      <c r="F11" s="489"/>
      <c r="G11" s="489"/>
      <c r="H11" s="489"/>
      <c r="I11" s="489"/>
      <c r="J11" s="489"/>
      <c r="K11" s="489"/>
      <c r="L11" s="489"/>
      <c r="M11" s="489"/>
      <c r="N11" s="489"/>
      <c r="O11" s="489"/>
      <c r="P11" s="489"/>
      <c r="Q11" s="489"/>
      <c r="R11" s="489"/>
      <c r="S11" s="489"/>
      <c r="T11" s="489"/>
      <c r="U11" s="489"/>
      <c r="V11" s="489"/>
      <c r="W11" s="489"/>
      <c r="X11" s="489"/>
      <c r="Y11" s="489"/>
      <c r="Z11" s="489"/>
      <c r="AA11" s="489"/>
      <c r="AB11" s="489"/>
      <c r="AC11" s="489"/>
      <c r="AD11" s="490"/>
    </row>
    <row r="12" spans="1:33" ht="15" customHeight="1" x14ac:dyDescent="0.3">
      <c r="A12" s="469"/>
      <c r="B12" s="470"/>
      <c r="C12" s="491"/>
      <c r="D12" s="492"/>
      <c r="E12" s="492"/>
      <c r="F12" s="492"/>
      <c r="G12" s="492"/>
      <c r="H12" s="492"/>
      <c r="I12" s="492"/>
      <c r="J12" s="492"/>
      <c r="K12" s="492"/>
      <c r="L12" s="492"/>
      <c r="M12" s="492"/>
      <c r="N12" s="492"/>
      <c r="O12" s="492"/>
      <c r="P12" s="492"/>
      <c r="Q12" s="492"/>
      <c r="R12" s="492"/>
      <c r="S12" s="492"/>
      <c r="T12" s="492"/>
      <c r="U12" s="492"/>
      <c r="V12" s="492"/>
      <c r="W12" s="492"/>
      <c r="X12" s="492"/>
      <c r="Y12" s="492"/>
      <c r="Z12" s="492"/>
      <c r="AA12" s="492"/>
      <c r="AB12" s="492"/>
      <c r="AC12" s="492"/>
      <c r="AD12" s="493"/>
    </row>
    <row r="13" spans="1:33" ht="15" customHeight="1" thickBot="1" x14ac:dyDescent="0.35">
      <c r="A13" s="471"/>
      <c r="B13" s="472"/>
      <c r="C13" s="494"/>
      <c r="D13" s="495"/>
      <c r="E13" s="495"/>
      <c r="F13" s="495"/>
      <c r="G13" s="495"/>
      <c r="H13" s="495"/>
      <c r="I13" s="495"/>
      <c r="J13" s="495"/>
      <c r="K13" s="495"/>
      <c r="L13" s="495"/>
      <c r="M13" s="495"/>
      <c r="N13" s="495"/>
      <c r="O13" s="495"/>
      <c r="P13" s="495"/>
      <c r="Q13" s="495"/>
      <c r="R13" s="495"/>
      <c r="S13" s="495"/>
      <c r="T13" s="495"/>
      <c r="U13" s="495"/>
      <c r="V13" s="495"/>
      <c r="W13" s="495"/>
      <c r="X13" s="495"/>
      <c r="Y13" s="495"/>
      <c r="Z13" s="495"/>
      <c r="AA13" s="495"/>
      <c r="AB13" s="495"/>
      <c r="AC13" s="495"/>
      <c r="AD13" s="496"/>
    </row>
    <row r="14" spans="1:33" ht="9" customHeight="1" thickBot="1" x14ac:dyDescent="0.35">
      <c r="A14" s="263"/>
      <c r="B14" s="264"/>
      <c r="C14" s="265"/>
      <c r="D14" s="265"/>
      <c r="E14" s="265"/>
      <c r="F14" s="265"/>
      <c r="G14" s="265"/>
      <c r="H14" s="265"/>
      <c r="I14" s="265"/>
      <c r="J14" s="265"/>
      <c r="K14" s="265"/>
      <c r="L14" s="265"/>
      <c r="M14" s="266"/>
      <c r="N14" s="266"/>
      <c r="O14" s="266"/>
      <c r="P14" s="266"/>
      <c r="Q14" s="266"/>
      <c r="R14" s="267"/>
      <c r="S14" s="267"/>
      <c r="T14" s="267"/>
      <c r="U14" s="267"/>
      <c r="V14" s="267"/>
      <c r="W14" s="267"/>
      <c r="X14" s="267"/>
      <c r="Y14" s="256"/>
      <c r="Z14" s="256"/>
      <c r="AA14" s="256"/>
      <c r="AB14" s="256"/>
      <c r="AC14" s="256"/>
      <c r="AD14" s="268"/>
    </row>
    <row r="15" spans="1:33" ht="46.5" customHeight="1" thickBot="1" x14ac:dyDescent="0.35">
      <c r="A15" s="449" t="s">
        <v>17</v>
      </c>
      <c r="B15" s="450"/>
      <c r="C15" s="515" t="s">
        <v>18</v>
      </c>
      <c r="D15" s="516"/>
      <c r="E15" s="516"/>
      <c r="F15" s="516"/>
      <c r="G15" s="516"/>
      <c r="H15" s="516"/>
      <c r="I15" s="516"/>
      <c r="J15" s="516"/>
      <c r="K15" s="517"/>
      <c r="L15" s="479" t="s">
        <v>19</v>
      </c>
      <c r="M15" s="483"/>
      <c r="N15" s="483"/>
      <c r="O15" s="483"/>
      <c r="P15" s="483"/>
      <c r="Q15" s="480"/>
      <c r="R15" s="476" t="s">
        <v>20</v>
      </c>
      <c r="S15" s="477"/>
      <c r="T15" s="477"/>
      <c r="U15" s="477"/>
      <c r="V15" s="477"/>
      <c r="W15" s="477"/>
      <c r="X15" s="478"/>
      <c r="Y15" s="479" t="s">
        <v>21</v>
      </c>
      <c r="Z15" s="480"/>
      <c r="AA15" s="437" t="s">
        <v>22</v>
      </c>
      <c r="AB15" s="438"/>
      <c r="AC15" s="438"/>
      <c r="AD15" s="439"/>
    </row>
    <row r="16" spans="1:33" ht="9" customHeight="1" thickBot="1" x14ac:dyDescent="0.35">
      <c r="A16" s="247"/>
      <c r="B16" s="242"/>
      <c r="C16" s="448"/>
      <c r="D16" s="448"/>
      <c r="E16" s="448"/>
      <c r="F16" s="448"/>
      <c r="G16" s="448"/>
      <c r="H16" s="448"/>
      <c r="I16" s="448"/>
      <c r="J16" s="448"/>
      <c r="K16" s="448"/>
      <c r="L16" s="448"/>
      <c r="M16" s="448"/>
      <c r="N16" s="448"/>
      <c r="O16" s="448"/>
      <c r="P16" s="448"/>
      <c r="Q16" s="448"/>
      <c r="R16" s="448"/>
      <c r="S16" s="448"/>
      <c r="T16" s="448"/>
      <c r="U16" s="448"/>
      <c r="V16" s="448"/>
      <c r="W16" s="448"/>
      <c r="X16" s="448"/>
      <c r="Y16" s="448"/>
      <c r="Z16" s="448"/>
      <c r="AA16" s="448"/>
      <c r="AB16" s="448"/>
      <c r="AC16" s="269"/>
      <c r="AD16" s="270"/>
    </row>
    <row r="17" spans="1:41" s="76" customFormat="1" ht="37.5" customHeight="1" thickBot="1" x14ac:dyDescent="0.35">
      <c r="A17" s="449" t="s">
        <v>23</v>
      </c>
      <c r="B17" s="450"/>
      <c r="C17" s="770" t="s">
        <v>153</v>
      </c>
      <c r="D17" s="771"/>
      <c r="E17" s="771"/>
      <c r="F17" s="771"/>
      <c r="G17" s="771"/>
      <c r="H17" s="771"/>
      <c r="I17" s="771"/>
      <c r="J17" s="771"/>
      <c r="K17" s="771"/>
      <c r="L17" s="771"/>
      <c r="M17" s="771"/>
      <c r="N17" s="771"/>
      <c r="O17" s="771"/>
      <c r="P17" s="771"/>
      <c r="Q17" s="772"/>
      <c r="R17" s="479" t="s">
        <v>25</v>
      </c>
      <c r="S17" s="483"/>
      <c r="T17" s="483"/>
      <c r="U17" s="483"/>
      <c r="V17" s="480"/>
      <c r="W17" s="481">
        <v>1</v>
      </c>
      <c r="X17" s="482"/>
      <c r="Y17" s="483" t="s">
        <v>26</v>
      </c>
      <c r="Z17" s="483"/>
      <c r="AA17" s="483"/>
      <c r="AB17" s="480"/>
      <c r="AC17" s="446">
        <v>0.1</v>
      </c>
      <c r="AD17" s="447"/>
    </row>
    <row r="18" spans="1:41" ht="16.5" customHeight="1" thickBot="1" x14ac:dyDescent="0.35">
      <c r="A18" s="271"/>
      <c r="B18" s="272"/>
      <c r="C18" s="272"/>
      <c r="D18" s="272"/>
      <c r="E18" s="272"/>
      <c r="F18" s="272"/>
      <c r="G18" s="272"/>
      <c r="H18" s="272"/>
      <c r="I18" s="272"/>
      <c r="J18" s="272"/>
      <c r="K18" s="272"/>
      <c r="L18" s="272"/>
      <c r="M18" s="272"/>
      <c r="N18" s="272"/>
      <c r="O18" s="272"/>
      <c r="P18" s="272"/>
      <c r="Q18" s="272"/>
      <c r="R18" s="272"/>
      <c r="S18" s="272"/>
      <c r="T18" s="272"/>
      <c r="U18" s="272"/>
      <c r="V18" s="272"/>
      <c r="W18" s="272"/>
      <c r="X18" s="272"/>
      <c r="Y18" s="272"/>
      <c r="Z18" s="272"/>
      <c r="AA18" s="272"/>
      <c r="AB18" s="272"/>
      <c r="AC18" s="272"/>
      <c r="AD18" s="273"/>
    </row>
    <row r="19" spans="1:41" ht="32.1" customHeight="1" thickBot="1" x14ac:dyDescent="0.35">
      <c r="A19" s="479" t="s">
        <v>27</v>
      </c>
      <c r="B19" s="483"/>
      <c r="C19" s="483"/>
      <c r="D19" s="483"/>
      <c r="E19" s="483"/>
      <c r="F19" s="483"/>
      <c r="G19" s="483"/>
      <c r="H19" s="483"/>
      <c r="I19" s="483"/>
      <c r="J19" s="483"/>
      <c r="K19" s="483"/>
      <c r="L19" s="483"/>
      <c r="M19" s="483"/>
      <c r="N19" s="483"/>
      <c r="O19" s="483"/>
      <c r="P19" s="483"/>
      <c r="Q19" s="483"/>
      <c r="R19" s="483"/>
      <c r="S19" s="483"/>
      <c r="T19" s="483"/>
      <c r="U19" s="483"/>
      <c r="V19" s="483"/>
      <c r="W19" s="483"/>
      <c r="X19" s="483"/>
      <c r="Y19" s="483"/>
      <c r="Z19" s="483"/>
      <c r="AA19" s="483"/>
      <c r="AB19" s="483"/>
      <c r="AC19" s="483"/>
      <c r="AD19" s="480"/>
      <c r="AE19" s="83"/>
      <c r="AF19" s="83"/>
    </row>
    <row r="20" spans="1:41" ht="32.1" customHeight="1" thickBot="1" x14ac:dyDescent="0.35">
      <c r="A20" s="274"/>
      <c r="B20" s="248"/>
      <c r="C20" s="500" t="s">
        <v>28</v>
      </c>
      <c r="D20" s="501"/>
      <c r="E20" s="501"/>
      <c r="F20" s="501"/>
      <c r="G20" s="501"/>
      <c r="H20" s="501"/>
      <c r="I20" s="501"/>
      <c r="J20" s="501"/>
      <c r="K20" s="501"/>
      <c r="L20" s="501"/>
      <c r="M20" s="501"/>
      <c r="N20" s="501"/>
      <c r="O20" s="501"/>
      <c r="P20" s="502"/>
      <c r="Q20" s="497" t="s">
        <v>29</v>
      </c>
      <c r="R20" s="498"/>
      <c r="S20" s="498"/>
      <c r="T20" s="498"/>
      <c r="U20" s="498"/>
      <c r="V20" s="498"/>
      <c r="W20" s="498"/>
      <c r="X20" s="498"/>
      <c r="Y20" s="498"/>
      <c r="Z20" s="498"/>
      <c r="AA20" s="498"/>
      <c r="AB20" s="498"/>
      <c r="AC20" s="498"/>
      <c r="AD20" s="499"/>
      <c r="AE20" s="83"/>
      <c r="AF20" s="83"/>
    </row>
    <row r="21" spans="1:41" ht="32.1" customHeight="1" thickBot="1" x14ac:dyDescent="0.35">
      <c r="A21" s="247"/>
      <c r="B21" s="242"/>
      <c r="C21" s="275" t="s">
        <v>30</v>
      </c>
      <c r="D21" s="276" t="s">
        <v>31</v>
      </c>
      <c r="E21" s="276" t="s">
        <v>32</v>
      </c>
      <c r="F21" s="276" t="s">
        <v>33</v>
      </c>
      <c r="G21" s="276" t="s">
        <v>34</v>
      </c>
      <c r="H21" s="276" t="s">
        <v>35</v>
      </c>
      <c r="I21" s="276" t="s">
        <v>36</v>
      </c>
      <c r="J21" s="276" t="s">
        <v>37</v>
      </c>
      <c r="K21" s="276" t="s">
        <v>8</v>
      </c>
      <c r="L21" s="276" t="s">
        <v>38</v>
      </c>
      <c r="M21" s="276" t="s">
        <v>39</v>
      </c>
      <c r="N21" s="276" t="s">
        <v>40</v>
      </c>
      <c r="O21" s="276" t="s">
        <v>41</v>
      </c>
      <c r="P21" s="277" t="s">
        <v>42</v>
      </c>
      <c r="Q21" s="275" t="s">
        <v>30</v>
      </c>
      <c r="R21" s="276" t="s">
        <v>31</v>
      </c>
      <c r="S21" s="276" t="s">
        <v>32</v>
      </c>
      <c r="T21" s="276" t="s">
        <v>33</v>
      </c>
      <c r="U21" s="276" t="s">
        <v>34</v>
      </c>
      <c r="V21" s="276" t="s">
        <v>35</v>
      </c>
      <c r="W21" s="276" t="s">
        <v>36</v>
      </c>
      <c r="X21" s="276" t="s">
        <v>37</v>
      </c>
      <c r="Y21" s="276" t="s">
        <v>8</v>
      </c>
      <c r="Z21" s="276" t="s">
        <v>38</v>
      </c>
      <c r="AA21" s="276" t="s">
        <v>39</v>
      </c>
      <c r="AB21" s="276" t="s">
        <v>40</v>
      </c>
      <c r="AC21" s="276" t="s">
        <v>41</v>
      </c>
      <c r="AD21" s="277" t="s">
        <v>42</v>
      </c>
      <c r="AE21" s="3"/>
      <c r="AF21" s="3"/>
    </row>
    <row r="22" spans="1:41" ht="32.1" customHeight="1" x14ac:dyDescent="0.3">
      <c r="A22" s="392" t="s">
        <v>43</v>
      </c>
      <c r="B22" s="445"/>
      <c r="C22" s="278"/>
      <c r="D22" s="279"/>
      <c r="E22" s="279"/>
      <c r="F22" s="279"/>
      <c r="G22" s="279"/>
      <c r="H22" s="279"/>
      <c r="I22" s="279"/>
      <c r="J22" s="279"/>
      <c r="K22" s="279"/>
      <c r="L22" s="279"/>
      <c r="M22" s="279"/>
      <c r="N22" s="279"/>
      <c r="O22" s="279">
        <f>SUM(C22:N22)</f>
        <v>0</v>
      </c>
      <c r="P22" s="280"/>
      <c r="Q22" s="281">
        <v>482329867</v>
      </c>
      <c r="R22" s="282">
        <v>8537488</v>
      </c>
      <c r="S22" s="282">
        <v>11658906</v>
      </c>
      <c r="T22" s="282">
        <v>0</v>
      </c>
      <c r="U22" s="282">
        <v>0</v>
      </c>
      <c r="V22" s="282">
        <v>69659690</v>
      </c>
      <c r="W22" s="282">
        <v>0</v>
      </c>
      <c r="X22" s="282">
        <v>0</v>
      </c>
      <c r="Y22" s="282">
        <v>0</v>
      </c>
      <c r="Z22" s="282">
        <v>-8829365</v>
      </c>
      <c r="AA22" s="282">
        <v>0</v>
      </c>
      <c r="AB22" s="282">
        <v>0</v>
      </c>
      <c r="AC22" s="283">
        <f>SUM(Q22:AB22)</f>
        <v>563356586</v>
      </c>
      <c r="AD22" s="284"/>
      <c r="AE22" s="3"/>
      <c r="AF22" s="3"/>
    </row>
    <row r="23" spans="1:41" ht="32.1" customHeight="1" x14ac:dyDescent="0.3">
      <c r="A23" s="434" t="s">
        <v>44</v>
      </c>
      <c r="B23" s="435"/>
      <c r="C23" s="286"/>
      <c r="D23" s="287"/>
      <c r="E23" s="287"/>
      <c r="F23" s="287"/>
      <c r="G23" s="287"/>
      <c r="H23" s="287"/>
      <c r="I23" s="287"/>
      <c r="J23" s="287"/>
      <c r="K23" s="287"/>
      <c r="L23" s="287"/>
      <c r="M23" s="287"/>
      <c r="N23" s="287"/>
      <c r="O23" s="287">
        <f>SUM(C23:N23)</f>
        <v>0</v>
      </c>
      <c r="P23" s="288" t="str">
        <f>IFERROR(O23/(SUMIF(C23:N23,"&gt;0",C22:N22))," ")</f>
        <v xml:space="preserve"> </v>
      </c>
      <c r="Q23" s="289">
        <v>192841617</v>
      </c>
      <c r="R23" s="290">
        <f>408717117-Q23</f>
        <v>215875500</v>
      </c>
      <c r="S23" s="290">
        <f>439908793-Q23-R23</f>
        <v>31191676</v>
      </c>
      <c r="T23" s="290">
        <f>425048360-Q23-R23-S23</f>
        <v>-14860433</v>
      </c>
      <c r="U23" s="290">
        <f>452077686-Q23-R23-S23-T23</f>
        <v>27029326</v>
      </c>
      <c r="V23" s="290">
        <f>466571704-Q23-R23-T23-S23-U23</f>
        <v>14494018</v>
      </c>
      <c r="W23" s="290">
        <f>540421134-Q23-R23-S23-T23-U23-V23</f>
        <v>73849430</v>
      </c>
      <c r="X23" s="290">
        <f>540162274-Q23-R23-S23-T23-U23-V23-W23</f>
        <v>-258860</v>
      </c>
      <c r="Y23" s="290">
        <f>539787274-Q23-R23-S23-T23-U23-V23-W23-X23</f>
        <v>-375000</v>
      </c>
      <c r="Z23" s="290">
        <f>539787274-Q23-R23-S23-T23-U23-V23-W23-X23-Y23</f>
        <v>0</v>
      </c>
      <c r="AA23" s="290"/>
      <c r="AB23" s="290"/>
      <c r="AC23" s="344">
        <f>SUM(Q23:AB23)</f>
        <v>539787274</v>
      </c>
      <c r="AD23" s="291">
        <f>AC23/AC22</f>
        <v>0.9581627115299225</v>
      </c>
      <c r="AE23" s="3"/>
      <c r="AF23" s="3"/>
    </row>
    <row r="24" spans="1:41" ht="32.1" customHeight="1" x14ac:dyDescent="0.3">
      <c r="A24" s="434" t="s">
        <v>45</v>
      </c>
      <c r="B24" s="435"/>
      <c r="C24" s="286">
        <f>1128406</f>
        <v>1128406</v>
      </c>
      <c r="D24" s="287">
        <v>323897</v>
      </c>
      <c r="E24" s="287">
        <v>6000000</v>
      </c>
      <c r="F24" s="287">
        <v>3386148</v>
      </c>
      <c r="G24" s="287">
        <v>5990000</v>
      </c>
      <c r="H24" s="287"/>
      <c r="I24" s="287"/>
      <c r="J24" s="287"/>
      <c r="K24" s="287"/>
      <c r="L24" s="287"/>
      <c r="M24" s="287"/>
      <c r="N24" s="287"/>
      <c r="O24" s="344">
        <f>SUM(C24:N24)</f>
        <v>16828451</v>
      </c>
      <c r="P24" s="292"/>
      <c r="Q24" s="289"/>
      <c r="R24" s="346">
        <v>21074866.0933333</v>
      </c>
      <c r="S24" s="345">
        <v>38101431.693333298</v>
      </c>
      <c r="T24" s="345">
        <v>38767765</v>
      </c>
      <c r="U24" s="345">
        <v>30767765</v>
      </c>
      <c r="V24" s="345">
        <v>44967410</v>
      </c>
      <c r="W24" s="346">
        <v>50815014.493333302</v>
      </c>
      <c r="X24" s="346">
        <v>61097321</v>
      </c>
      <c r="Y24" s="346">
        <v>61097321</v>
      </c>
      <c r="Z24" s="346">
        <f>63097321-2943122</f>
        <v>60154199</v>
      </c>
      <c r="AA24" s="346">
        <f>65097321-2943122</f>
        <v>62154199</v>
      </c>
      <c r="AB24" s="346">
        <f>97302415-2943121</f>
        <v>94359294</v>
      </c>
      <c r="AC24" s="287">
        <f>SUM(Q24:AB24)</f>
        <v>563356586.27999997</v>
      </c>
      <c r="AD24" s="291"/>
      <c r="AE24" s="3"/>
      <c r="AF24" s="3"/>
    </row>
    <row r="25" spans="1:41" ht="32.1" customHeight="1" thickBot="1" x14ac:dyDescent="0.35">
      <c r="A25" s="393" t="s">
        <v>46</v>
      </c>
      <c r="B25" s="436"/>
      <c r="C25" s="296">
        <v>7741652</v>
      </c>
      <c r="D25" s="297">
        <f>9115239-C25</f>
        <v>1373587</v>
      </c>
      <c r="E25" s="297">
        <f>9729443-C25-D25</f>
        <v>614204</v>
      </c>
      <c r="F25" s="297">
        <f>16670260-C25-D25-E25</f>
        <v>6940817</v>
      </c>
      <c r="G25" s="297">
        <f>16828451-C25-D25-E25-F25</f>
        <v>158191</v>
      </c>
      <c r="H25" s="297"/>
      <c r="I25" s="297"/>
      <c r="J25" s="297"/>
      <c r="K25" s="297"/>
      <c r="L25" s="297"/>
      <c r="M25" s="297"/>
      <c r="N25" s="297"/>
      <c r="O25" s="298">
        <f>SUM(C25:N25)</f>
        <v>16828451</v>
      </c>
      <c r="P25" s="299">
        <f>O25/O24</f>
        <v>1</v>
      </c>
      <c r="Q25" s="348"/>
      <c r="R25" s="298">
        <f>3445534</f>
        <v>3445534</v>
      </c>
      <c r="S25" s="298">
        <f>30636224-R25</f>
        <v>27190690</v>
      </c>
      <c r="T25" s="298">
        <f>67744707-R25-S25</f>
        <v>37108483</v>
      </c>
      <c r="U25" s="298">
        <f>108938150-Q25-R25-S25-T25</f>
        <v>41193443</v>
      </c>
      <c r="V25" s="298">
        <f>163447695-R25-S25-T25-U25</f>
        <v>54509545</v>
      </c>
      <c r="W25" s="298">
        <f>218468354-R25-S25-T25-U25-V25</f>
        <v>55020659</v>
      </c>
      <c r="X25" s="298">
        <f>259440637-R25-S25-T25-U25-V25-W25</f>
        <v>40972283</v>
      </c>
      <c r="Y25" s="298">
        <f>300529587-R25-S25-T25-U25-V25-W25-X25</f>
        <v>41088950</v>
      </c>
      <c r="Z25" s="298">
        <f>406920595-Q25-R25-S25-T25-U25-V25-W25-X25-Y25</f>
        <v>106391008</v>
      </c>
      <c r="AA25" s="298"/>
      <c r="AB25" s="298"/>
      <c r="AC25" s="297">
        <f>SUM(Q25:AB25)</f>
        <v>406920595</v>
      </c>
      <c r="AD25" s="302">
        <f>AC25/AC24</f>
        <v>0.7223144362028493</v>
      </c>
      <c r="AE25" s="3"/>
      <c r="AF25" s="3"/>
    </row>
    <row r="26" spans="1:41" ht="32.1" customHeight="1" thickBot="1" x14ac:dyDescent="0.35">
      <c r="A26" s="247"/>
      <c r="B26" s="242"/>
      <c r="C26" s="304"/>
      <c r="D26" s="304"/>
      <c r="E26" s="304"/>
      <c r="F26" s="304"/>
      <c r="G26" s="304"/>
      <c r="H26" s="304"/>
      <c r="I26" s="304"/>
      <c r="J26" s="304"/>
      <c r="K26" s="304"/>
      <c r="L26" s="304"/>
      <c r="M26" s="304"/>
      <c r="N26" s="304"/>
      <c r="O26" s="304"/>
      <c r="P26" s="304"/>
      <c r="Q26" s="304"/>
      <c r="R26" s="304"/>
      <c r="S26" s="304"/>
      <c r="T26" s="304"/>
      <c r="U26" s="304"/>
      <c r="V26" s="304"/>
      <c r="W26" s="304"/>
      <c r="X26" s="304"/>
      <c r="Y26" s="304"/>
      <c r="Z26" s="304"/>
      <c r="AA26" s="304"/>
      <c r="AB26" s="304"/>
      <c r="AC26" s="248"/>
      <c r="AD26" s="262"/>
    </row>
    <row r="27" spans="1:41" ht="33.75" customHeight="1" x14ac:dyDescent="0.3">
      <c r="A27" s="430" t="s">
        <v>47</v>
      </c>
      <c r="B27" s="431"/>
      <c r="C27" s="432"/>
      <c r="D27" s="432"/>
      <c r="E27" s="432"/>
      <c r="F27" s="432"/>
      <c r="G27" s="432"/>
      <c r="H27" s="432"/>
      <c r="I27" s="432"/>
      <c r="J27" s="432"/>
      <c r="K27" s="432"/>
      <c r="L27" s="432"/>
      <c r="M27" s="432"/>
      <c r="N27" s="432"/>
      <c r="O27" s="432"/>
      <c r="P27" s="432"/>
      <c r="Q27" s="432"/>
      <c r="R27" s="432"/>
      <c r="S27" s="432"/>
      <c r="T27" s="432"/>
      <c r="U27" s="432"/>
      <c r="V27" s="432"/>
      <c r="W27" s="432"/>
      <c r="X27" s="432"/>
      <c r="Y27" s="432"/>
      <c r="Z27" s="432"/>
      <c r="AA27" s="432"/>
      <c r="AB27" s="432"/>
      <c r="AC27" s="432"/>
      <c r="AD27" s="433"/>
    </row>
    <row r="28" spans="1:41" ht="15" customHeight="1" x14ac:dyDescent="0.3">
      <c r="A28" s="440" t="s">
        <v>48</v>
      </c>
      <c r="B28" s="442" t="s">
        <v>49</v>
      </c>
      <c r="C28" s="443"/>
      <c r="D28" s="435" t="s">
        <v>50</v>
      </c>
      <c r="E28" s="444"/>
      <c r="F28" s="444"/>
      <c r="G28" s="444"/>
      <c r="H28" s="444"/>
      <c r="I28" s="444"/>
      <c r="J28" s="444"/>
      <c r="K28" s="444"/>
      <c r="L28" s="444"/>
      <c r="M28" s="444"/>
      <c r="N28" s="444"/>
      <c r="O28" s="423"/>
      <c r="P28" s="424" t="s">
        <v>41</v>
      </c>
      <c r="Q28" s="424" t="s">
        <v>51</v>
      </c>
      <c r="R28" s="424"/>
      <c r="S28" s="424"/>
      <c r="T28" s="424"/>
      <c r="U28" s="424"/>
      <c r="V28" s="424"/>
      <c r="W28" s="424"/>
      <c r="X28" s="424"/>
      <c r="Y28" s="424"/>
      <c r="Z28" s="424"/>
      <c r="AA28" s="424"/>
      <c r="AB28" s="424"/>
      <c r="AC28" s="424"/>
      <c r="AD28" s="425"/>
    </row>
    <row r="29" spans="1:41" ht="27" customHeight="1" x14ac:dyDescent="0.3">
      <c r="A29" s="441"/>
      <c r="B29" s="426"/>
      <c r="C29" s="428"/>
      <c r="D29" s="305" t="s">
        <v>30</v>
      </c>
      <c r="E29" s="305" t="s">
        <v>31</v>
      </c>
      <c r="F29" s="305" t="s">
        <v>32</v>
      </c>
      <c r="G29" s="305" t="s">
        <v>33</v>
      </c>
      <c r="H29" s="305" t="s">
        <v>34</v>
      </c>
      <c r="I29" s="305" t="s">
        <v>35</v>
      </c>
      <c r="J29" s="305" t="s">
        <v>36</v>
      </c>
      <c r="K29" s="305" t="s">
        <v>37</v>
      </c>
      <c r="L29" s="305" t="s">
        <v>8</v>
      </c>
      <c r="M29" s="305" t="s">
        <v>38</v>
      </c>
      <c r="N29" s="305" t="s">
        <v>39</v>
      </c>
      <c r="O29" s="305" t="s">
        <v>40</v>
      </c>
      <c r="P29" s="423"/>
      <c r="Q29" s="424"/>
      <c r="R29" s="424"/>
      <c r="S29" s="424"/>
      <c r="T29" s="424"/>
      <c r="U29" s="424"/>
      <c r="V29" s="424"/>
      <c r="W29" s="424"/>
      <c r="X29" s="424"/>
      <c r="Y29" s="424"/>
      <c r="Z29" s="424"/>
      <c r="AA29" s="424"/>
      <c r="AB29" s="424"/>
      <c r="AC29" s="424"/>
      <c r="AD29" s="425"/>
    </row>
    <row r="30" spans="1:41" ht="137.25" customHeight="1" thickBot="1" x14ac:dyDescent="0.35">
      <c r="A30" s="307" t="s">
        <v>153</v>
      </c>
      <c r="B30" s="773"/>
      <c r="C30" s="774"/>
      <c r="D30" s="308"/>
      <c r="E30" s="308"/>
      <c r="F30" s="308"/>
      <c r="G30" s="308"/>
      <c r="H30" s="308"/>
      <c r="I30" s="308"/>
      <c r="J30" s="308"/>
      <c r="K30" s="308"/>
      <c r="L30" s="308"/>
      <c r="M30" s="308"/>
      <c r="N30" s="308"/>
      <c r="O30" s="308"/>
      <c r="P30" s="309">
        <f>SUM(D30:O30)</f>
        <v>0</v>
      </c>
      <c r="Q30" s="456"/>
      <c r="R30" s="456"/>
      <c r="S30" s="456"/>
      <c r="T30" s="456"/>
      <c r="U30" s="456"/>
      <c r="V30" s="456"/>
      <c r="W30" s="456"/>
      <c r="X30" s="456"/>
      <c r="Y30" s="456"/>
      <c r="Z30" s="456"/>
      <c r="AA30" s="456"/>
      <c r="AB30" s="456"/>
      <c r="AC30" s="456"/>
      <c r="AD30" s="457"/>
    </row>
    <row r="31" spans="1:41" ht="45" customHeight="1" thickBot="1" x14ac:dyDescent="0.35">
      <c r="A31" s="458" t="s">
        <v>53</v>
      </c>
      <c r="B31" s="459"/>
      <c r="C31" s="459"/>
      <c r="D31" s="459"/>
      <c r="E31" s="459"/>
      <c r="F31" s="459"/>
      <c r="G31" s="459"/>
      <c r="H31" s="459"/>
      <c r="I31" s="459"/>
      <c r="J31" s="459"/>
      <c r="K31" s="459"/>
      <c r="L31" s="459"/>
      <c r="M31" s="459"/>
      <c r="N31" s="459"/>
      <c r="O31" s="459"/>
      <c r="P31" s="459"/>
      <c r="Q31" s="459"/>
      <c r="R31" s="459"/>
      <c r="S31" s="459"/>
      <c r="T31" s="459"/>
      <c r="U31" s="459"/>
      <c r="V31" s="459"/>
      <c r="W31" s="459"/>
      <c r="X31" s="459"/>
      <c r="Y31" s="459"/>
      <c r="Z31" s="459"/>
      <c r="AA31" s="459"/>
      <c r="AB31" s="459"/>
      <c r="AC31" s="459"/>
      <c r="AD31" s="831"/>
    </row>
    <row r="32" spans="1:41" ht="23.1" customHeight="1" x14ac:dyDescent="0.3">
      <c r="A32" s="392" t="s">
        <v>54</v>
      </c>
      <c r="B32" s="396" t="s">
        <v>55</v>
      </c>
      <c r="C32" s="445" t="s">
        <v>49</v>
      </c>
      <c r="D32" s="392" t="s">
        <v>56</v>
      </c>
      <c r="E32" s="396"/>
      <c r="F32" s="396"/>
      <c r="G32" s="396"/>
      <c r="H32" s="396"/>
      <c r="I32" s="396"/>
      <c r="J32" s="396"/>
      <c r="K32" s="396"/>
      <c r="L32" s="396"/>
      <c r="M32" s="396"/>
      <c r="N32" s="396"/>
      <c r="O32" s="396"/>
      <c r="P32" s="397"/>
      <c r="Q32" s="392" t="s">
        <v>57</v>
      </c>
      <c r="R32" s="396"/>
      <c r="S32" s="396"/>
      <c r="T32" s="396"/>
      <c r="U32" s="396"/>
      <c r="V32" s="396"/>
      <c r="W32" s="396"/>
      <c r="X32" s="396"/>
      <c r="Y32" s="396"/>
      <c r="Z32" s="396"/>
      <c r="AA32" s="396"/>
      <c r="AB32" s="396"/>
      <c r="AC32" s="396"/>
      <c r="AD32" s="397"/>
      <c r="AG32" s="87"/>
      <c r="AH32" s="87"/>
      <c r="AI32" s="87"/>
      <c r="AJ32" s="87"/>
      <c r="AK32" s="87"/>
      <c r="AL32" s="87"/>
      <c r="AM32" s="87"/>
      <c r="AN32" s="87"/>
      <c r="AO32" s="87"/>
    </row>
    <row r="33" spans="1:41" ht="27" customHeight="1" thickBot="1" x14ac:dyDescent="0.35">
      <c r="A33" s="393"/>
      <c r="B33" s="856"/>
      <c r="C33" s="958"/>
      <c r="D33" s="294" t="s">
        <v>30</v>
      </c>
      <c r="E33" s="317" t="s">
        <v>31</v>
      </c>
      <c r="F33" s="317" t="s">
        <v>32</v>
      </c>
      <c r="G33" s="317" t="s">
        <v>33</v>
      </c>
      <c r="H33" s="317" t="s">
        <v>34</v>
      </c>
      <c r="I33" s="317" t="s">
        <v>35</v>
      </c>
      <c r="J33" s="317" t="s">
        <v>36</v>
      </c>
      <c r="K33" s="317" t="s">
        <v>37</v>
      </c>
      <c r="L33" s="317" t="s">
        <v>8</v>
      </c>
      <c r="M33" s="317" t="s">
        <v>38</v>
      </c>
      <c r="N33" s="317" t="s">
        <v>39</v>
      </c>
      <c r="O33" s="317" t="s">
        <v>40</v>
      </c>
      <c r="P33" s="318" t="s">
        <v>41</v>
      </c>
      <c r="Q33" s="393" t="s">
        <v>58</v>
      </c>
      <c r="R33" s="856"/>
      <c r="S33" s="856"/>
      <c r="T33" s="856" t="s">
        <v>59</v>
      </c>
      <c r="U33" s="856"/>
      <c r="V33" s="856"/>
      <c r="W33" s="778" t="s">
        <v>60</v>
      </c>
      <c r="X33" s="501"/>
      <c r="Y33" s="501"/>
      <c r="Z33" s="959"/>
      <c r="AA33" s="778" t="s">
        <v>61</v>
      </c>
      <c r="AB33" s="501"/>
      <c r="AC33" s="501"/>
      <c r="AD33" s="502"/>
      <c r="AG33" s="87"/>
      <c r="AH33" s="87"/>
      <c r="AI33" s="87"/>
      <c r="AJ33" s="87"/>
      <c r="AK33" s="87"/>
      <c r="AL33" s="87"/>
      <c r="AM33" s="87"/>
      <c r="AN33" s="87"/>
      <c r="AO33" s="87"/>
    </row>
    <row r="34" spans="1:41" ht="92.25" customHeight="1" x14ac:dyDescent="0.3">
      <c r="A34" s="963" t="s">
        <v>153</v>
      </c>
      <c r="B34" s="964">
        <v>0.1</v>
      </c>
      <c r="C34" s="357" t="s">
        <v>62</v>
      </c>
      <c r="D34" s="364">
        <f>D69</f>
        <v>0</v>
      </c>
      <c r="E34" s="365">
        <f t="shared" ref="E34:O34" si="0">E69</f>
        <v>7.5000000000000011E-2</v>
      </c>
      <c r="F34" s="365">
        <f t="shared" si="0"/>
        <v>0.10000000000000002</v>
      </c>
      <c r="G34" s="365">
        <f t="shared" si="0"/>
        <v>6.0000000000000019E-2</v>
      </c>
      <c r="H34" s="365">
        <f t="shared" si="0"/>
        <v>9.0000000000000011E-2</v>
      </c>
      <c r="I34" s="365">
        <f t="shared" si="0"/>
        <v>0.15000000000000002</v>
      </c>
      <c r="J34" s="365">
        <f t="shared" si="0"/>
        <v>0.12500000000000003</v>
      </c>
      <c r="K34" s="365">
        <f t="shared" si="0"/>
        <v>7.5000000000000011E-2</v>
      </c>
      <c r="L34" s="365">
        <f t="shared" si="0"/>
        <v>7.5000000000000011E-2</v>
      </c>
      <c r="M34" s="365">
        <f t="shared" si="0"/>
        <v>7.5000000000000011E-2</v>
      </c>
      <c r="N34" s="365">
        <f t="shared" si="0"/>
        <v>0.125</v>
      </c>
      <c r="O34" s="365">
        <f t="shared" si="0"/>
        <v>4.9999999999999996E-2</v>
      </c>
      <c r="P34" s="366">
        <f>SUM(D34:O34)</f>
        <v>1</v>
      </c>
      <c r="Q34" s="413" t="s">
        <v>583</v>
      </c>
      <c r="R34" s="414"/>
      <c r="S34" s="415"/>
      <c r="T34" s="414" t="s">
        <v>570</v>
      </c>
      <c r="U34" s="414"/>
      <c r="V34" s="415"/>
      <c r="W34" s="413" t="s">
        <v>154</v>
      </c>
      <c r="X34" s="414"/>
      <c r="Y34" s="414"/>
      <c r="Z34" s="415"/>
      <c r="AA34" s="413" t="s">
        <v>155</v>
      </c>
      <c r="AB34" s="414"/>
      <c r="AC34" s="414"/>
      <c r="AD34" s="419"/>
      <c r="AG34" s="87"/>
      <c r="AH34" s="87"/>
      <c r="AI34" s="87"/>
      <c r="AJ34" s="87"/>
      <c r="AK34" s="87"/>
      <c r="AL34" s="87"/>
      <c r="AM34" s="87"/>
      <c r="AN34" s="87"/>
      <c r="AO34" s="87"/>
    </row>
    <row r="35" spans="1:41" ht="92.25" customHeight="1" thickBot="1" x14ac:dyDescent="0.35">
      <c r="A35" s="410"/>
      <c r="B35" s="965"/>
      <c r="C35" s="359" t="s">
        <v>63</v>
      </c>
      <c r="D35" s="360">
        <f>D66</f>
        <v>0</v>
      </c>
      <c r="E35" s="315">
        <f t="shared" ref="E35:O35" si="1">E66</f>
        <v>7.5000000000000011E-2</v>
      </c>
      <c r="F35" s="315">
        <f t="shared" si="1"/>
        <v>0.10000000000000002</v>
      </c>
      <c r="G35" s="315">
        <f t="shared" si="1"/>
        <v>0.10000000000000002</v>
      </c>
      <c r="H35" s="315">
        <f t="shared" si="1"/>
        <v>0.10000000000000002</v>
      </c>
      <c r="I35" s="315">
        <f t="shared" si="1"/>
        <v>0.10000000000000002</v>
      </c>
      <c r="J35" s="315">
        <f t="shared" si="1"/>
        <v>0.12500000000000003</v>
      </c>
      <c r="K35" s="315">
        <f t="shared" si="1"/>
        <v>7.5000000000000011E-2</v>
      </c>
      <c r="L35" s="315">
        <f t="shared" si="1"/>
        <v>7.5000000000000011E-2</v>
      </c>
      <c r="M35" s="315">
        <f t="shared" si="1"/>
        <v>7.5000000000000011E-2</v>
      </c>
      <c r="N35" s="315">
        <f t="shared" si="1"/>
        <v>0</v>
      </c>
      <c r="O35" s="315">
        <f t="shared" si="1"/>
        <v>0</v>
      </c>
      <c r="P35" s="316">
        <f>SUM(D35:O35)</f>
        <v>0.82500000000000018</v>
      </c>
      <c r="Q35" s="416"/>
      <c r="R35" s="417"/>
      <c r="S35" s="418"/>
      <c r="T35" s="417"/>
      <c r="U35" s="417"/>
      <c r="V35" s="418"/>
      <c r="W35" s="416"/>
      <c r="X35" s="417"/>
      <c r="Y35" s="417"/>
      <c r="Z35" s="418"/>
      <c r="AA35" s="416"/>
      <c r="AB35" s="417"/>
      <c r="AC35" s="417"/>
      <c r="AD35" s="420"/>
      <c r="AE35" s="49"/>
      <c r="AG35" s="87"/>
      <c r="AH35" s="87"/>
      <c r="AI35" s="87"/>
      <c r="AJ35" s="87"/>
      <c r="AK35" s="87"/>
      <c r="AL35" s="87"/>
      <c r="AM35" s="87"/>
      <c r="AN35" s="87"/>
      <c r="AO35" s="87"/>
    </row>
    <row r="36" spans="1:41" ht="26.1" customHeight="1" x14ac:dyDescent="0.3">
      <c r="A36" s="394" t="s">
        <v>64</v>
      </c>
      <c r="B36" s="777" t="s">
        <v>65</v>
      </c>
      <c r="C36" s="392" t="s">
        <v>66</v>
      </c>
      <c r="D36" s="396"/>
      <c r="E36" s="396"/>
      <c r="F36" s="396"/>
      <c r="G36" s="396"/>
      <c r="H36" s="396"/>
      <c r="I36" s="396"/>
      <c r="J36" s="396"/>
      <c r="K36" s="396"/>
      <c r="L36" s="396"/>
      <c r="M36" s="396"/>
      <c r="N36" s="396"/>
      <c r="O36" s="396"/>
      <c r="P36" s="397"/>
      <c r="Q36" s="398" t="s">
        <v>67</v>
      </c>
      <c r="R36" s="399"/>
      <c r="S36" s="399"/>
      <c r="T36" s="399"/>
      <c r="U36" s="399"/>
      <c r="V36" s="399"/>
      <c r="W36" s="399"/>
      <c r="X36" s="399"/>
      <c r="Y36" s="399"/>
      <c r="Z36" s="399"/>
      <c r="AA36" s="399"/>
      <c r="AB36" s="399"/>
      <c r="AC36" s="399"/>
      <c r="AD36" s="400"/>
      <c r="AG36" s="87"/>
      <c r="AH36" s="87"/>
      <c r="AI36" s="87"/>
      <c r="AJ36" s="87"/>
      <c r="AK36" s="87"/>
      <c r="AL36" s="87"/>
      <c r="AM36" s="87"/>
      <c r="AN36" s="87"/>
      <c r="AO36" s="87"/>
    </row>
    <row r="37" spans="1:41" ht="45.75" customHeight="1" thickBot="1" x14ac:dyDescent="0.35">
      <c r="A37" s="395"/>
      <c r="B37" s="778"/>
      <c r="C37" s="294" t="s">
        <v>68</v>
      </c>
      <c r="D37" s="317" t="s">
        <v>69</v>
      </c>
      <c r="E37" s="317" t="s">
        <v>70</v>
      </c>
      <c r="F37" s="317" t="s">
        <v>71</v>
      </c>
      <c r="G37" s="317" t="s">
        <v>72</v>
      </c>
      <c r="H37" s="317" t="s">
        <v>73</v>
      </c>
      <c r="I37" s="317" t="s">
        <v>74</v>
      </c>
      <c r="J37" s="317" t="s">
        <v>75</v>
      </c>
      <c r="K37" s="317" t="s">
        <v>76</v>
      </c>
      <c r="L37" s="317" t="s">
        <v>77</v>
      </c>
      <c r="M37" s="317" t="s">
        <v>78</v>
      </c>
      <c r="N37" s="317" t="s">
        <v>79</v>
      </c>
      <c r="O37" s="317" t="s">
        <v>80</v>
      </c>
      <c r="P37" s="318" t="s">
        <v>81</v>
      </c>
      <c r="Q37" s="401" t="s">
        <v>82</v>
      </c>
      <c r="R37" s="402"/>
      <c r="S37" s="402"/>
      <c r="T37" s="402"/>
      <c r="U37" s="402"/>
      <c r="V37" s="402"/>
      <c r="W37" s="402"/>
      <c r="X37" s="402"/>
      <c r="Y37" s="402"/>
      <c r="Z37" s="402"/>
      <c r="AA37" s="402"/>
      <c r="AB37" s="402"/>
      <c r="AC37" s="402"/>
      <c r="AD37" s="403"/>
      <c r="AG37" s="94"/>
      <c r="AH37" s="94"/>
      <c r="AI37" s="94"/>
      <c r="AJ37" s="94"/>
      <c r="AK37" s="94"/>
      <c r="AL37" s="94"/>
      <c r="AM37" s="94"/>
      <c r="AN37" s="94"/>
      <c r="AO37" s="94"/>
    </row>
    <row r="38" spans="1:41" ht="111.9" customHeight="1" x14ac:dyDescent="0.3">
      <c r="A38" s="404" t="s">
        <v>156</v>
      </c>
      <c r="B38" s="805">
        <v>0.05</v>
      </c>
      <c r="C38" s="334" t="s">
        <v>62</v>
      </c>
      <c r="D38" s="319">
        <v>0</v>
      </c>
      <c r="E38" s="319">
        <v>0.1</v>
      </c>
      <c r="F38" s="319">
        <v>0.1</v>
      </c>
      <c r="G38" s="319">
        <v>0.02</v>
      </c>
      <c r="H38" s="319">
        <v>0.08</v>
      </c>
      <c r="I38" s="319">
        <v>0.2</v>
      </c>
      <c r="J38" s="319">
        <v>0.05</v>
      </c>
      <c r="K38" s="319">
        <v>0.05</v>
      </c>
      <c r="L38" s="319">
        <v>0.05</v>
      </c>
      <c r="M38" s="319">
        <v>0.05</v>
      </c>
      <c r="N38" s="319">
        <v>0.2</v>
      </c>
      <c r="O38" s="319">
        <v>0.1</v>
      </c>
      <c r="P38" s="320">
        <f>SUM(D38:O38)</f>
        <v>1.0000000000000002</v>
      </c>
      <c r="Q38" s="960" t="s">
        <v>571</v>
      </c>
      <c r="R38" s="961"/>
      <c r="S38" s="961"/>
      <c r="T38" s="961"/>
      <c r="U38" s="961"/>
      <c r="V38" s="961"/>
      <c r="W38" s="961"/>
      <c r="X38" s="961"/>
      <c r="Y38" s="961"/>
      <c r="Z38" s="961"/>
      <c r="AA38" s="961"/>
      <c r="AB38" s="961"/>
      <c r="AC38" s="961"/>
      <c r="AD38" s="962"/>
      <c r="AE38" s="97"/>
      <c r="AG38" s="98"/>
      <c r="AH38" s="98"/>
      <c r="AI38" s="98"/>
      <c r="AJ38" s="98"/>
      <c r="AK38" s="98"/>
      <c r="AL38" s="98"/>
      <c r="AM38" s="98"/>
      <c r="AN38" s="98"/>
      <c r="AO38" s="98"/>
    </row>
    <row r="39" spans="1:41" ht="111.9" customHeight="1" x14ac:dyDescent="0.3">
      <c r="A39" s="383"/>
      <c r="B39" s="785"/>
      <c r="C39" s="335" t="s">
        <v>63</v>
      </c>
      <c r="D39" s="322">
        <v>0</v>
      </c>
      <c r="E39" s="322">
        <v>0.1</v>
      </c>
      <c r="F39" s="322">
        <v>0.1</v>
      </c>
      <c r="G39" s="322">
        <v>0.1</v>
      </c>
      <c r="H39" s="322">
        <v>0.1</v>
      </c>
      <c r="I39" s="322">
        <v>0.1</v>
      </c>
      <c r="J39" s="322">
        <v>0.05</v>
      </c>
      <c r="K39" s="322">
        <v>0.05</v>
      </c>
      <c r="L39" s="322">
        <v>0.05</v>
      </c>
      <c r="M39" s="322">
        <v>0.05</v>
      </c>
      <c r="N39" s="322"/>
      <c r="O39" s="322"/>
      <c r="P39" s="323">
        <f>SUM(D39:O39)</f>
        <v>0.70000000000000018</v>
      </c>
      <c r="Q39" s="789"/>
      <c r="R39" s="790"/>
      <c r="S39" s="790"/>
      <c r="T39" s="790"/>
      <c r="U39" s="790"/>
      <c r="V39" s="790"/>
      <c r="W39" s="790"/>
      <c r="X39" s="790"/>
      <c r="Y39" s="790"/>
      <c r="Z39" s="790"/>
      <c r="AA39" s="790"/>
      <c r="AB39" s="790"/>
      <c r="AC39" s="790"/>
      <c r="AD39" s="791"/>
      <c r="AE39" s="97"/>
    </row>
    <row r="40" spans="1:41" ht="111.9" customHeight="1" x14ac:dyDescent="0.3">
      <c r="A40" s="383" t="s">
        <v>157</v>
      </c>
      <c r="B40" s="805">
        <v>0.05</v>
      </c>
      <c r="C40" s="337" t="s">
        <v>62</v>
      </c>
      <c r="D40" s="325">
        <v>0</v>
      </c>
      <c r="E40" s="325">
        <v>0.05</v>
      </c>
      <c r="F40" s="325">
        <v>0.1</v>
      </c>
      <c r="G40" s="325">
        <v>0.1</v>
      </c>
      <c r="H40" s="325">
        <v>0.1</v>
      </c>
      <c r="I40" s="325">
        <v>0.1</v>
      </c>
      <c r="J40" s="325">
        <v>0.2</v>
      </c>
      <c r="K40" s="325">
        <v>0.1</v>
      </c>
      <c r="L40" s="325">
        <v>0.1</v>
      </c>
      <c r="M40" s="325">
        <v>0.1</v>
      </c>
      <c r="N40" s="325">
        <v>0.05</v>
      </c>
      <c r="O40" s="325">
        <v>0</v>
      </c>
      <c r="P40" s="320">
        <f>SUM(D40:O40)</f>
        <v>0.99999999999999989</v>
      </c>
      <c r="Q40" s="954" t="s">
        <v>572</v>
      </c>
      <c r="R40" s="790"/>
      <c r="S40" s="790"/>
      <c r="T40" s="790"/>
      <c r="U40" s="790"/>
      <c r="V40" s="790"/>
      <c r="W40" s="790"/>
      <c r="X40" s="790"/>
      <c r="Y40" s="790"/>
      <c r="Z40" s="790"/>
      <c r="AA40" s="790"/>
      <c r="AB40" s="790"/>
      <c r="AC40" s="790"/>
      <c r="AD40" s="791"/>
      <c r="AE40" s="97"/>
    </row>
    <row r="41" spans="1:41" ht="111.9" customHeight="1" thickBot="1" x14ac:dyDescent="0.35">
      <c r="A41" s="749"/>
      <c r="B41" s="966"/>
      <c r="C41" s="340" t="s">
        <v>63</v>
      </c>
      <c r="D41" s="327">
        <v>0</v>
      </c>
      <c r="E41" s="327">
        <v>0.05</v>
      </c>
      <c r="F41" s="327">
        <v>0.1</v>
      </c>
      <c r="G41" s="327">
        <v>0.1</v>
      </c>
      <c r="H41" s="327">
        <v>0.1</v>
      </c>
      <c r="I41" s="327">
        <v>0.1</v>
      </c>
      <c r="J41" s="327">
        <v>0.2</v>
      </c>
      <c r="K41" s="327">
        <v>0.1</v>
      </c>
      <c r="L41" s="327">
        <v>0.1</v>
      </c>
      <c r="M41" s="327">
        <v>0.1</v>
      </c>
      <c r="N41" s="327"/>
      <c r="O41" s="327"/>
      <c r="P41" s="329">
        <f>SUM(D41:O41)</f>
        <v>0.94999999999999984</v>
      </c>
      <c r="Q41" s="955"/>
      <c r="R41" s="956"/>
      <c r="S41" s="956"/>
      <c r="T41" s="956"/>
      <c r="U41" s="956"/>
      <c r="V41" s="956"/>
      <c r="W41" s="956"/>
      <c r="X41" s="956"/>
      <c r="Y41" s="956"/>
      <c r="Z41" s="956"/>
      <c r="AA41" s="956"/>
      <c r="AB41" s="956"/>
      <c r="AC41" s="956"/>
      <c r="AD41" s="957"/>
      <c r="AE41" s="97"/>
    </row>
    <row r="42" spans="1:41" x14ac:dyDescent="0.3">
      <c r="A42" s="194" t="s">
        <v>89</v>
      </c>
      <c r="Q42" s="194"/>
      <c r="R42" s="194"/>
      <c r="S42" s="194"/>
      <c r="T42" s="194"/>
      <c r="U42" s="194"/>
      <c r="V42" s="194"/>
      <c r="W42" s="194"/>
      <c r="X42" s="194"/>
      <c r="Y42" s="194"/>
      <c r="Z42" s="194"/>
      <c r="AA42" s="194"/>
      <c r="AB42" s="194"/>
      <c r="AC42" s="194"/>
      <c r="AD42" s="194"/>
    </row>
    <row r="43" spans="1:41" x14ac:dyDescent="0.3">
      <c r="A43" s="194"/>
      <c r="Q43" s="194"/>
      <c r="R43" s="194"/>
      <c r="S43" s="194"/>
      <c r="T43" s="194"/>
      <c r="U43" s="194"/>
      <c r="V43" s="194"/>
      <c r="W43" s="194"/>
      <c r="X43" s="194"/>
      <c r="Y43" s="194"/>
      <c r="Z43" s="194"/>
      <c r="AA43" s="194"/>
      <c r="AB43" s="194"/>
      <c r="AC43" s="194"/>
      <c r="AD43" s="194"/>
    </row>
    <row r="44" spans="1:41" x14ac:dyDescent="0.3">
      <c r="A44" s="194"/>
      <c r="Q44" s="194"/>
      <c r="R44" s="194"/>
      <c r="S44" s="194"/>
      <c r="T44" s="194"/>
      <c r="U44" s="194"/>
      <c r="V44" s="194"/>
      <c r="W44" s="194"/>
      <c r="X44" s="194"/>
      <c r="Y44" s="194"/>
      <c r="Z44" s="194"/>
      <c r="AA44" s="194"/>
      <c r="AB44" s="194"/>
      <c r="AC44" s="194"/>
      <c r="AD44" s="194"/>
    </row>
    <row r="45" spans="1:41" x14ac:dyDescent="0.3">
      <c r="A45" s="194"/>
      <c r="Q45" s="194"/>
      <c r="R45" s="194"/>
      <c r="S45" s="194"/>
      <c r="T45" s="194"/>
      <c r="U45" s="194"/>
      <c r="V45" s="194"/>
      <c r="W45" s="194"/>
      <c r="X45" s="194"/>
      <c r="Y45" s="194"/>
      <c r="Z45" s="194"/>
      <c r="AA45" s="194"/>
      <c r="AB45" s="194"/>
      <c r="AC45" s="194"/>
      <c r="AD45" s="194"/>
    </row>
    <row r="46" spans="1:41" x14ac:dyDescent="0.3">
      <c r="A46" s="194"/>
      <c r="Q46" s="194"/>
      <c r="R46" s="194"/>
      <c r="S46" s="194"/>
      <c r="T46" s="194"/>
      <c r="U46" s="194"/>
      <c r="V46" s="194"/>
      <c r="W46" s="194"/>
      <c r="X46" s="194"/>
      <c r="Y46" s="194"/>
      <c r="Z46" s="194"/>
      <c r="AA46" s="194"/>
      <c r="AB46" s="194"/>
      <c r="AC46" s="194"/>
      <c r="AD46" s="194"/>
    </row>
    <row r="47" spans="1:41" x14ac:dyDescent="0.3">
      <c r="A47" s="194"/>
      <c r="Q47" s="194"/>
      <c r="R47" s="194"/>
      <c r="S47" s="194"/>
      <c r="T47" s="194"/>
      <c r="U47" s="194"/>
      <c r="V47" s="194"/>
      <c r="W47" s="194"/>
      <c r="X47" s="194"/>
      <c r="Y47" s="194"/>
      <c r="Z47" s="194"/>
      <c r="AA47" s="194"/>
      <c r="AB47" s="194"/>
      <c r="AC47" s="194"/>
      <c r="AD47" s="194"/>
    </row>
    <row r="48" spans="1:41" x14ac:dyDescent="0.3">
      <c r="A48" s="194"/>
      <c r="Q48" s="194"/>
      <c r="R48" s="194"/>
      <c r="S48" s="194"/>
      <c r="T48" s="194"/>
      <c r="U48" s="194"/>
      <c r="V48" s="194"/>
      <c r="W48" s="194"/>
      <c r="X48" s="194"/>
      <c r="Y48" s="194"/>
      <c r="Z48" s="194"/>
      <c r="AA48" s="194"/>
      <c r="AB48" s="194"/>
      <c r="AC48" s="194"/>
      <c r="AD48" s="194"/>
    </row>
    <row r="49" spans="1:30" x14ac:dyDescent="0.3">
      <c r="A49" s="194"/>
      <c r="Q49" s="194"/>
      <c r="R49" s="194"/>
      <c r="S49" s="194"/>
      <c r="T49" s="194"/>
      <c r="U49" s="194"/>
      <c r="V49" s="194"/>
      <c r="W49" s="194"/>
      <c r="X49" s="194"/>
      <c r="Y49" s="194"/>
      <c r="Z49" s="194"/>
      <c r="AA49" s="194"/>
      <c r="AB49" s="194"/>
      <c r="AC49" s="194"/>
      <c r="AD49" s="194"/>
    </row>
    <row r="50" spans="1:30" x14ac:dyDescent="0.3">
      <c r="A50" s="194"/>
      <c r="Q50" s="194"/>
      <c r="R50" s="194"/>
      <c r="S50" s="194"/>
      <c r="T50" s="194"/>
      <c r="U50" s="194"/>
      <c r="V50" s="194"/>
      <c r="W50" s="194"/>
      <c r="X50" s="194"/>
      <c r="Y50" s="194"/>
      <c r="Z50" s="194"/>
      <c r="AA50" s="194"/>
      <c r="AB50" s="194"/>
      <c r="AC50" s="194"/>
      <c r="AD50" s="194"/>
    </row>
    <row r="51" spans="1:30" x14ac:dyDescent="0.3">
      <c r="A51" s="194"/>
      <c r="Q51" s="194"/>
      <c r="R51" s="194"/>
      <c r="S51" s="194"/>
      <c r="T51" s="194"/>
      <c r="U51" s="194"/>
      <c r="V51" s="194"/>
      <c r="W51" s="194"/>
      <c r="X51" s="194"/>
      <c r="Y51" s="194"/>
      <c r="Z51" s="194"/>
      <c r="AA51" s="194"/>
      <c r="AB51" s="194"/>
      <c r="AC51" s="194"/>
      <c r="AD51" s="194"/>
    </row>
    <row r="52" spans="1:30" x14ac:dyDescent="0.3">
      <c r="A52" s="194"/>
      <c r="Q52" s="194"/>
      <c r="R52" s="194"/>
      <c r="S52" s="194"/>
      <c r="T52" s="194"/>
      <c r="U52" s="194"/>
      <c r="V52" s="194"/>
      <c r="W52" s="194"/>
      <c r="X52" s="194"/>
      <c r="Y52" s="194"/>
      <c r="Z52" s="194"/>
      <c r="AA52" s="194"/>
      <c r="AB52" s="194"/>
      <c r="AC52" s="194"/>
      <c r="AD52" s="194"/>
    </row>
    <row r="53" spans="1:30" x14ac:dyDescent="0.3">
      <c r="A53" s="194"/>
      <c r="Q53" s="194"/>
      <c r="R53" s="194"/>
      <c r="S53" s="194"/>
      <c r="T53" s="194"/>
      <c r="U53" s="194"/>
      <c r="V53" s="194"/>
      <c r="W53" s="194"/>
      <c r="X53" s="194"/>
      <c r="Y53" s="194"/>
      <c r="Z53" s="194"/>
      <c r="AA53" s="194"/>
      <c r="AB53" s="194"/>
      <c r="AC53" s="194"/>
      <c r="AD53" s="194"/>
    </row>
    <row r="54" spans="1:30" x14ac:dyDescent="0.3">
      <c r="A54" s="194"/>
      <c r="Q54" s="194"/>
      <c r="R54" s="194"/>
      <c r="S54" s="194"/>
      <c r="T54" s="194"/>
      <c r="U54" s="194"/>
      <c r="V54" s="194"/>
      <c r="W54" s="194"/>
      <c r="X54" s="194"/>
      <c r="Y54" s="194"/>
      <c r="Z54" s="194"/>
      <c r="AA54" s="194"/>
      <c r="AB54" s="194"/>
      <c r="AC54" s="194"/>
      <c r="AD54" s="194"/>
    </row>
    <row r="55" spans="1:30" x14ac:dyDescent="0.3">
      <c r="A55" s="558" t="s">
        <v>90</v>
      </c>
      <c r="B55" s="560" t="s">
        <v>65</v>
      </c>
      <c r="C55" s="562" t="s">
        <v>66</v>
      </c>
      <c r="D55" s="794"/>
      <c r="E55" s="794"/>
      <c r="F55" s="794"/>
      <c r="G55" s="794"/>
      <c r="H55" s="794"/>
      <c r="I55" s="794"/>
      <c r="J55" s="794"/>
      <c r="K55" s="794"/>
      <c r="L55" s="794"/>
      <c r="M55" s="794"/>
      <c r="N55" s="794"/>
      <c r="O55" s="794"/>
      <c r="P55" s="795"/>
      <c r="Q55" s="195"/>
      <c r="R55" s="195"/>
      <c r="S55" s="194"/>
      <c r="T55" s="194"/>
      <c r="U55" s="194"/>
      <c r="V55" s="194"/>
      <c r="W55" s="194"/>
      <c r="X55" s="194"/>
      <c r="Y55" s="194"/>
      <c r="Z55" s="194"/>
      <c r="AA55" s="194"/>
      <c r="AB55" s="194"/>
      <c r="AC55" s="194"/>
      <c r="AD55" s="194"/>
    </row>
    <row r="56" spans="1:30" x14ac:dyDescent="0.3">
      <c r="A56" s="792"/>
      <c r="B56" s="793"/>
      <c r="C56" s="177" t="s">
        <v>68</v>
      </c>
      <c r="D56" s="177" t="s">
        <v>69</v>
      </c>
      <c r="E56" s="177" t="s">
        <v>70</v>
      </c>
      <c r="F56" s="177" t="s">
        <v>71</v>
      </c>
      <c r="G56" s="177" t="s">
        <v>72</v>
      </c>
      <c r="H56" s="177" t="s">
        <v>73</v>
      </c>
      <c r="I56" s="177" t="s">
        <v>74</v>
      </c>
      <c r="J56" s="177" t="s">
        <v>75</v>
      </c>
      <c r="K56" s="177" t="s">
        <v>76</v>
      </c>
      <c r="L56" s="177" t="s">
        <v>77</v>
      </c>
      <c r="M56" s="177" t="s">
        <v>78</v>
      </c>
      <c r="N56" s="177" t="s">
        <v>79</v>
      </c>
      <c r="O56" s="177" t="s">
        <v>80</v>
      </c>
      <c r="P56" s="177" t="s">
        <v>81</v>
      </c>
      <c r="Q56" s="195"/>
      <c r="R56" s="195"/>
      <c r="S56" s="194"/>
      <c r="T56" s="194"/>
      <c r="U56" s="194"/>
      <c r="V56" s="194"/>
      <c r="W56" s="194"/>
      <c r="X56" s="194"/>
      <c r="Y56" s="194"/>
      <c r="Z56" s="194"/>
      <c r="AA56" s="194"/>
      <c r="AB56" s="194"/>
      <c r="AC56" s="194"/>
      <c r="AD56" s="194"/>
    </row>
    <row r="57" spans="1:30" x14ac:dyDescent="0.3">
      <c r="A57" s="546" t="str">
        <f>A38</f>
        <v>32. Apoyar, articular y desarrollar las conmemoraciones de las mujeres en sus diferencias y diversidad, con las cuales se trabaja en la Dirección de Enfoque Diferencial, reconociendo sus particularidades, usos y costumbres, que permita el posicionamiento de sus agendas políticas a nivel distrital por medio de la transformación cultural vinculando a la sociedad civil, organizaciones de mujeres y sectores de la Administración Distrital.</v>
      </c>
      <c r="B57" s="565">
        <f>B38</f>
        <v>0.05</v>
      </c>
      <c r="C57" s="176" t="s">
        <v>62</v>
      </c>
      <c r="D57" s="175">
        <f>D38*$B$38/$P$38</f>
        <v>0</v>
      </c>
      <c r="E57" s="175">
        <f t="shared" ref="D57:O58" si="2">E38*$B$38/$P$38</f>
        <v>5.0000000000000001E-3</v>
      </c>
      <c r="F57" s="175">
        <f t="shared" si="2"/>
        <v>5.0000000000000001E-3</v>
      </c>
      <c r="G57" s="175">
        <f t="shared" si="2"/>
        <v>9.999999999999998E-4</v>
      </c>
      <c r="H57" s="175">
        <f t="shared" si="2"/>
        <v>3.9999999999999992E-3</v>
      </c>
      <c r="I57" s="175">
        <f t="shared" si="2"/>
        <v>0.01</v>
      </c>
      <c r="J57" s="175">
        <f t="shared" si="2"/>
        <v>2.5000000000000001E-3</v>
      </c>
      <c r="K57" s="175">
        <f t="shared" si="2"/>
        <v>2.5000000000000001E-3</v>
      </c>
      <c r="L57" s="175">
        <f t="shared" si="2"/>
        <v>2.5000000000000001E-3</v>
      </c>
      <c r="M57" s="175">
        <f t="shared" si="2"/>
        <v>2.5000000000000001E-3</v>
      </c>
      <c r="N57" s="175">
        <f t="shared" si="2"/>
        <v>0.01</v>
      </c>
      <c r="O57" s="175">
        <f t="shared" si="2"/>
        <v>5.0000000000000001E-3</v>
      </c>
      <c r="P57" s="174">
        <f>SUM(D57:O57)</f>
        <v>0.05</v>
      </c>
      <c r="Q57" s="197">
        <v>0.05</v>
      </c>
      <c r="R57" s="198">
        <f t="shared" ref="R57:R65" si="3">+P57-Q57</f>
        <v>0</v>
      </c>
      <c r="S57" s="194"/>
      <c r="T57" s="194"/>
      <c r="U57" s="194"/>
      <c r="V57" s="194"/>
      <c r="W57" s="194"/>
      <c r="X57" s="194"/>
      <c r="Y57" s="194"/>
      <c r="Z57" s="194"/>
      <c r="AA57" s="194"/>
      <c r="AB57" s="194"/>
      <c r="AC57" s="194"/>
      <c r="AD57" s="194"/>
    </row>
    <row r="58" spans="1:30" x14ac:dyDescent="0.3">
      <c r="A58" s="547"/>
      <c r="B58" s="824"/>
      <c r="C58" s="173" t="s">
        <v>63</v>
      </c>
      <c r="D58" s="172">
        <f t="shared" si="2"/>
        <v>0</v>
      </c>
      <c r="E58" s="172">
        <f t="shared" si="2"/>
        <v>5.0000000000000001E-3</v>
      </c>
      <c r="F58" s="172">
        <f t="shared" si="2"/>
        <v>5.0000000000000001E-3</v>
      </c>
      <c r="G58" s="172">
        <f t="shared" si="2"/>
        <v>5.0000000000000001E-3</v>
      </c>
      <c r="H58" s="172">
        <f t="shared" si="2"/>
        <v>5.0000000000000001E-3</v>
      </c>
      <c r="I58" s="172">
        <f t="shared" si="2"/>
        <v>5.0000000000000001E-3</v>
      </c>
      <c r="J58" s="172">
        <f t="shared" si="2"/>
        <v>2.5000000000000001E-3</v>
      </c>
      <c r="K58" s="172">
        <f t="shared" si="2"/>
        <v>2.5000000000000001E-3</v>
      </c>
      <c r="L58" s="172">
        <f t="shared" si="2"/>
        <v>2.5000000000000001E-3</v>
      </c>
      <c r="M58" s="172">
        <f t="shared" si="2"/>
        <v>2.5000000000000001E-3</v>
      </c>
      <c r="N58" s="172">
        <f t="shared" si="2"/>
        <v>0</v>
      </c>
      <c r="O58" s="172">
        <f t="shared" si="2"/>
        <v>0</v>
      </c>
      <c r="P58" s="171">
        <f>SUM(D58:O58)</f>
        <v>3.5000000000000003E-2</v>
      </c>
      <c r="Q58" s="199">
        <f>+P58</f>
        <v>3.5000000000000003E-2</v>
      </c>
      <c r="R58" s="198">
        <f t="shared" si="3"/>
        <v>0</v>
      </c>
      <c r="S58" s="194"/>
      <c r="T58" s="194"/>
      <c r="U58" s="194"/>
      <c r="V58" s="194"/>
      <c r="W58" s="194"/>
      <c r="X58" s="194"/>
      <c r="Y58" s="194"/>
      <c r="Z58" s="194"/>
      <c r="AA58" s="194"/>
      <c r="AB58" s="194"/>
      <c r="AC58" s="194"/>
      <c r="AD58" s="194"/>
    </row>
    <row r="59" spans="1:30" x14ac:dyDescent="0.3">
      <c r="A59" s="546" t="str">
        <f>A40</f>
        <v xml:space="preserve">33. Diseñar e implementar jornadas de información  con las Oficinas de planeación de los sectores de la administración con el objetivo de transversalizar el enfoque de género y diferencial, por medio de acciones que permitan una transformación cultural, reduciendo los imaginarios, estereotipos y representaciones de las mujeres en sus diferencias y diversidades. </v>
      </c>
      <c r="B59" s="548">
        <f>B40</f>
        <v>0.05</v>
      </c>
      <c r="C59" s="176" t="s">
        <v>62</v>
      </c>
      <c r="D59" s="175">
        <f t="shared" ref="D59:O60" si="4">D40*$B$40/$P$40</f>
        <v>0</v>
      </c>
      <c r="E59" s="175">
        <f t="shared" si="4"/>
        <v>2.5000000000000009E-3</v>
      </c>
      <c r="F59" s="175">
        <f t="shared" si="4"/>
        <v>5.0000000000000018E-3</v>
      </c>
      <c r="G59" s="175">
        <f t="shared" si="4"/>
        <v>5.0000000000000018E-3</v>
      </c>
      <c r="H59" s="175">
        <f t="shared" si="4"/>
        <v>5.0000000000000018E-3</v>
      </c>
      <c r="I59" s="175">
        <f t="shared" si="4"/>
        <v>5.0000000000000018E-3</v>
      </c>
      <c r="J59" s="175">
        <f t="shared" si="4"/>
        <v>1.0000000000000004E-2</v>
      </c>
      <c r="K59" s="175">
        <f t="shared" si="4"/>
        <v>5.0000000000000018E-3</v>
      </c>
      <c r="L59" s="175">
        <f t="shared" si="4"/>
        <v>5.0000000000000018E-3</v>
      </c>
      <c r="M59" s="175">
        <f t="shared" si="4"/>
        <v>5.0000000000000018E-3</v>
      </c>
      <c r="N59" s="175">
        <f t="shared" si="4"/>
        <v>2.5000000000000009E-3</v>
      </c>
      <c r="O59" s="175">
        <f t="shared" si="4"/>
        <v>0</v>
      </c>
      <c r="P59" s="174">
        <f>SUM(D59:O59)</f>
        <v>5.0000000000000024E-2</v>
      </c>
      <c r="Q59" s="197">
        <v>2.5000000000000001E-2</v>
      </c>
      <c r="R59" s="198">
        <f t="shared" si="3"/>
        <v>2.5000000000000022E-2</v>
      </c>
      <c r="S59" s="194"/>
      <c r="T59" s="194"/>
      <c r="U59" s="194"/>
      <c r="V59" s="194"/>
      <c r="W59" s="194"/>
      <c r="X59" s="194"/>
      <c r="Y59" s="194"/>
      <c r="Z59" s="194"/>
      <c r="AA59" s="194"/>
      <c r="AB59" s="194"/>
      <c r="AC59" s="194"/>
      <c r="AD59" s="194"/>
    </row>
    <row r="60" spans="1:30" x14ac:dyDescent="0.3">
      <c r="A60" s="867"/>
      <c r="B60" s="828"/>
      <c r="C60" s="181" t="s">
        <v>63</v>
      </c>
      <c r="D60" s="172">
        <f t="shared" si="4"/>
        <v>0</v>
      </c>
      <c r="E60" s="172">
        <f t="shared" si="4"/>
        <v>2.5000000000000009E-3</v>
      </c>
      <c r="F60" s="172">
        <f t="shared" si="4"/>
        <v>5.0000000000000018E-3</v>
      </c>
      <c r="G60" s="172">
        <f t="shared" si="4"/>
        <v>5.0000000000000018E-3</v>
      </c>
      <c r="H60" s="172">
        <f t="shared" si="4"/>
        <v>5.0000000000000018E-3</v>
      </c>
      <c r="I60" s="172">
        <f t="shared" si="4"/>
        <v>5.0000000000000018E-3</v>
      </c>
      <c r="J60" s="172">
        <f t="shared" si="4"/>
        <v>1.0000000000000004E-2</v>
      </c>
      <c r="K60" s="172">
        <f t="shared" si="4"/>
        <v>5.0000000000000018E-3</v>
      </c>
      <c r="L60" s="172">
        <f t="shared" si="4"/>
        <v>5.0000000000000018E-3</v>
      </c>
      <c r="M60" s="172">
        <f t="shared" si="4"/>
        <v>5.0000000000000018E-3</v>
      </c>
      <c r="N60" s="172">
        <f t="shared" si="4"/>
        <v>0</v>
      </c>
      <c r="O60" s="172">
        <f t="shared" si="4"/>
        <v>0</v>
      </c>
      <c r="P60" s="171">
        <f>SUM(D60:O60)</f>
        <v>4.7500000000000021E-2</v>
      </c>
      <c r="Q60" s="199">
        <f>+P60</f>
        <v>4.7500000000000021E-2</v>
      </c>
      <c r="R60" s="198">
        <f t="shared" si="3"/>
        <v>0</v>
      </c>
      <c r="S60" s="194"/>
      <c r="T60" s="194"/>
      <c r="U60" s="194"/>
      <c r="V60" s="194"/>
      <c r="W60" s="194"/>
      <c r="X60" s="194"/>
      <c r="Y60" s="194"/>
      <c r="Z60" s="194"/>
      <c r="AA60" s="194"/>
      <c r="AB60" s="194"/>
      <c r="AC60" s="194"/>
      <c r="AD60" s="194"/>
    </row>
    <row r="61" spans="1:30" x14ac:dyDescent="0.3">
      <c r="A61" s="550"/>
      <c r="B61" s="551"/>
      <c r="C61" s="184"/>
      <c r="D61" s="175"/>
      <c r="E61" s="175"/>
      <c r="F61" s="175"/>
      <c r="G61" s="175"/>
      <c r="H61" s="175"/>
      <c r="I61" s="175"/>
      <c r="J61" s="175"/>
      <c r="K61" s="175"/>
      <c r="L61" s="175"/>
      <c r="M61" s="175"/>
      <c r="N61" s="175"/>
      <c r="O61" s="175"/>
      <c r="P61" s="185"/>
      <c r="Q61" s="197"/>
      <c r="R61" s="198"/>
      <c r="S61" s="194"/>
      <c r="T61" s="194"/>
      <c r="U61" s="194"/>
      <c r="V61" s="194"/>
      <c r="W61" s="194"/>
      <c r="X61" s="194"/>
      <c r="Y61" s="194"/>
      <c r="Z61" s="194"/>
      <c r="AA61" s="194"/>
      <c r="AB61" s="194"/>
      <c r="AC61" s="194"/>
      <c r="AD61" s="194"/>
    </row>
    <row r="62" spans="1:30" x14ac:dyDescent="0.3">
      <c r="A62" s="825"/>
      <c r="B62" s="826"/>
      <c r="C62" s="184"/>
      <c r="D62" s="168"/>
      <c r="E62" s="168"/>
      <c r="F62" s="168"/>
      <c r="G62" s="168"/>
      <c r="H62" s="168"/>
      <c r="I62" s="168"/>
      <c r="J62" s="168"/>
      <c r="K62" s="168"/>
      <c r="L62" s="168"/>
      <c r="M62" s="168"/>
      <c r="N62" s="168"/>
      <c r="O62" s="168"/>
      <c r="P62" s="185"/>
      <c r="Q62" s="199"/>
      <c r="R62" s="198"/>
      <c r="S62" s="194"/>
      <c r="T62" s="194"/>
      <c r="U62" s="194"/>
      <c r="V62" s="194"/>
      <c r="W62" s="194"/>
      <c r="X62" s="194"/>
      <c r="Y62" s="194"/>
      <c r="Z62" s="194"/>
      <c r="AA62" s="194"/>
      <c r="AB62" s="194"/>
      <c r="AC62" s="194"/>
      <c r="AD62" s="194"/>
    </row>
    <row r="63" spans="1:30" x14ac:dyDescent="0.3">
      <c r="A63" s="182"/>
      <c r="B63" s="183"/>
      <c r="C63" s="184"/>
      <c r="D63" s="175"/>
      <c r="E63" s="175"/>
      <c r="F63" s="175"/>
      <c r="G63" s="175"/>
      <c r="H63" s="175"/>
      <c r="I63" s="175"/>
      <c r="J63" s="175"/>
      <c r="K63" s="175"/>
      <c r="L63" s="175"/>
      <c r="M63" s="175"/>
      <c r="N63" s="175"/>
      <c r="O63" s="175"/>
      <c r="P63" s="185"/>
      <c r="Q63" s="197"/>
      <c r="R63" s="198"/>
      <c r="S63" s="194"/>
      <c r="T63" s="194"/>
      <c r="U63" s="194"/>
      <c r="V63" s="194"/>
      <c r="W63" s="194"/>
      <c r="X63" s="194"/>
      <c r="Y63" s="194"/>
      <c r="Z63" s="194"/>
      <c r="AA63" s="194"/>
      <c r="AB63" s="194"/>
      <c r="AC63" s="194"/>
      <c r="AD63" s="194"/>
    </row>
    <row r="64" spans="1:30" x14ac:dyDescent="0.3">
      <c r="A64" s="186"/>
      <c r="B64" s="187"/>
      <c r="C64" s="184"/>
      <c r="D64" s="168"/>
      <c r="E64" s="168"/>
      <c r="F64" s="168"/>
      <c r="G64" s="168"/>
      <c r="H64" s="168"/>
      <c r="I64" s="168"/>
      <c r="J64" s="168"/>
      <c r="K64" s="168"/>
      <c r="L64" s="168"/>
      <c r="M64" s="168"/>
      <c r="N64" s="168"/>
      <c r="O64" s="168"/>
      <c r="P64" s="185"/>
      <c r="Q64" s="199"/>
      <c r="R64" s="198"/>
      <c r="S64" s="194"/>
      <c r="T64" s="194"/>
      <c r="U64" s="194"/>
      <c r="V64" s="194"/>
      <c r="W64" s="194"/>
      <c r="X64" s="194"/>
      <c r="Y64" s="194"/>
      <c r="Z64" s="194"/>
      <c r="AA64" s="194"/>
      <c r="AB64" s="194"/>
      <c r="AC64" s="194"/>
      <c r="AD64" s="194"/>
    </row>
    <row r="65" spans="1:30" x14ac:dyDescent="0.3">
      <c r="A65" s="195"/>
      <c r="B65" s="169"/>
      <c r="C65" s="170"/>
      <c r="D65" s="165">
        <f>D58+D60</f>
        <v>0</v>
      </c>
      <c r="E65" s="165">
        <f t="shared" ref="E65:O65" si="5">E58+E60</f>
        <v>7.5000000000000015E-3</v>
      </c>
      <c r="F65" s="165">
        <f t="shared" si="5"/>
        <v>1.0000000000000002E-2</v>
      </c>
      <c r="G65" s="165">
        <f t="shared" si="5"/>
        <v>1.0000000000000002E-2</v>
      </c>
      <c r="H65" s="165">
        <f t="shared" si="5"/>
        <v>1.0000000000000002E-2</v>
      </c>
      <c r="I65" s="165">
        <f t="shared" si="5"/>
        <v>1.0000000000000002E-2</v>
      </c>
      <c r="J65" s="165">
        <f t="shared" si="5"/>
        <v>1.2500000000000004E-2</v>
      </c>
      <c r="K65" s="165">
        <f t="shared" si="5"/>
        <v>7.5000000000000015E-3</v>
      </c>
      <c r="L65" s="165">
        <f t="shared" si="5"/>
        <v>7.5000000000000015E-3</v>
      </c>
      <c r="M65" s="165">
        <f t="shared" si="5"/>
        <v>7.5000000000000015E-3</v>
      </c>
      <c r="N65" s="165">
        <f t="shared" si="5"/>
        <v>0</v>
      </c>
      <c r="O65" s="165">
        <f t="shared" si="5"/>
        <v>0</v>
      </c>
      <c r="P65" s="165">
        <f>P58+P60+P62</f>
        <v>8.2500000000000018E-2</v>
      </c>
      <c r="Q65" s="195"/>
      <c r="R65" s="198">
        <f t="shared" si="3"/>
        <v>8.2500000000000018E-2</v>
      </c>
      <c r="S65" s="194"/>
      <c r="T65" s="194"/>
      <c r="U65" s="194"/>
      <c r="V65" s="194"/>
      <c r="W65" s="194"/>
      <c r="X65" s="194"/>
      <c r="Y65" s="194"/>
      <c r="Z65" s="194"/>
      <c r="AA65" s="194"/>
      <c r="AB65" s="194"/>
      <c r="AC65" s="194"/>
      <c r="AD65" s="194"/>
    </row>
    <row r="66" spans="1:30" x14ac:dyDescent="0.3">
      <c r="A66" s="195"/>
      <c r="B66" s="167"/>
      <c r="C66" s="164" t="s">
        <v>63</v>
      </c>
      <c r="D66" s="163">
        <f>D65*$W$17/$B$34</f>
        <v>0</v>
      </c>
      <c r="E66" s="163">
        <f t="shared" ref="E66:O66" si="6">E65*$W$17/$B$34</f>
        <v>7.5000000000000011E-2</v>
      </c>
      <c r="F66" s="163">
        <f t="shared" si="6"/>
        <v>0.10000000000000002</v>
      </c>
      <c r="G66" s="163">
        <f t="shared" si="6"/>
        <v>0.10000000000000002</v>
      </c>
      <c r="H66" s="163">
        <f t="shared" si="6"/>
        <v>0.10000000000000002</v>
      </c>
      <c r="I66" s="163">
        <f t="shared" si="6"/>
        <v>0.10000000000000002</v>
      </c>
      <c r="J66" s="163">
        <f t="shared" si="6"/>
        <v>0.12500000000000003</v>
      </c>
      <c r="K66" s="163">
        <f t="shared" si="6"/>
        <v>7.5000000000000011E-2</v>
      </c>
      <c r="L66" s="163">
        <f t="shared" si="6"/>
        <v>7.5000000000000011E-2</v>
      </c>
      <c r="M66" s="163">
        <f t="shared" si="6"/>
        <v>7.5000000000000011E-2</v>
      </c>
      <c r="N66" s="163">
        <f t="shared" si="6"/>
        <v>0</v>
      </c>
      <c r="O66" s="163">
        <f t="shared" si="6"/>
        <v>0</v>
      </c>
      <c r="P66" s="162">
        <f>SUM(D66:O66)</f>
        <v>0.82500000000000018</v>
      </c>
      <c r="Q66" s="196"/>
      <c r="R66" s="195"/>
      <c r="S66" s="194"/>
      <c r="T66" s="194"/>
      <c r="U66" s="194"/>
      <c r="V66" s="194"/>
      <c r="W66" s="194"/>
      <c r="X66" s="194"/>
      <c r="Y66" s="194"/>
      <c r="Z66" s="194"/>
      <c r="AA66" s="194"/>
      <c r="AB66" s="194"/>
      <c r="AC66" s="194"/>
      <c r="AD66" s="194"/>
    </row>
    <row r="67" spans="1:30" x14ac:dyDescent="0.3">
      <c r="A67" s="196"/>
      <c r="B67" s="166"/>
      <c r="C67" s="166"/>
      <c r="D67" s="166"/>
      <c r="E67" s="166"/>
      <c r="F67" s="166"/>
      <c r="G67" s="166"/>
      <c r="H67" s="166"/>
      <c r="I67" s="166"/>
      <c r="J67" s="166"/>
      <c r="K67" s="166"/>
      <c r="L67" s="166"/>
      <c r="M67" s="166"/>
      <c r="N67" s="166"/>
      <c r="O67" s="166"/>
      <c r="P67" s="166"/>
      <c r="Q67" s="196"/>
      <c r="R67" s="196"/>
      <c r="S67" s="194"/>
      <c r="T67" s="194"/>
      <c r="U67" s="194"/>
      <c r="V67" s="194"/>
      <c r="W67" s="194"/>
      <c r="X67" s="194"/>
      <c r="Y67" s="194"/>
      <c r="Z67" s="194"/>
      <c r="AA67" s="194"/>
      <c r="AB67" s="194"/>
      <c r="AC67" s="194"/>
      <c r="AD67" s="194"/>
    </row>
    <row r="68" spans="1:30" x14ac:dyDescent="0.3">
      <c r="A68" s="197"/>
      <c r="B68" s="108"/>
      <c r="C68" s="108"/>
      <c r="D68" s="165">
        <f>+D57+D59</f>
        <v>0</v>
      </c>
      <c r="E68" s="165">
        <f t="shared" ref="E68:O68" si="7">+E57+E59</f>
        <v>7.5000000000000015E-3</v>
      </c>
      <c r="F68" s="165">
        <f t="shared" si="7"/>
        <v>1.0000000000000002E-2</v>
      </c>
      <c r="G68" s="165">
        <f t="shared" si="7"/>
        <v>6.0000000000000019E-3</v>
      </c>
      <c r="H68" s="165">
        <f t="shared" si="7"/>
        <v>9.0000000000000011E-3</v>
      </c>
      <c r="I68" s="165">
        <f t="shared" si="7"/>
        <v>1.5000000000000003E-2</v>
      </c>
      <c r="J68" s="165">
        <f t="shared" si="7"/>
        <v>1.2500000000000004E-2</v>
      </c>
      <c r="K68" s="165">
        <f t="shared" si="7"/>
        <v>7.5000000000000015E-3</v>
      </c>
      <c r="L68" s="165">
        <f t="shared" si="7"/>
        <v>7.5000000000000015E-3</v>
      </c>
      <c r="M68" s="165">
        <f t="shared" si="7"/>
        <v>7.5000000000000015E-3</v>
      </c>
      <c r="N68" s="165">
        <f t="shared" si="7"/>
        <v>1.2500000000000001E-2</v>
      </c>
      <c r="O68" s="165">
        <f t="shared" si="7"/>
        <v>5.0000000000000001E-3</v>
      </c>
      <c r="P68" s="165">
        <f>+P57+P59+P61</f>
        <v>0.10000000000000003</v>
      </c>
      <c r="Q68" s="197"/>
      <c r="R68" s="197"/>
      <c r="S68" s="194"/>
      <c r="T68" s="194"/>
      <c r="U68" s="194"/>
      <c r="V68" s="194"/>
      <c r="W68" s="194"/>
      <c r="X68" s="194"/>
      <c r="Y68" s="194"/>
      <c r="Z68" s="194"/>
      <c r="AA68" s="194"/>
      <c r="AB68" s="194"/>
      <c r="AC68" s="194"/>
      <c r="AD68" s="194"/>
    </row>
    <row r="69" spans="1:30" x14ac:dyDescent="0.3">
      <c r="A69" s="197"/>
      <c r="B69" s="108"/>
      <c r="C69" s="164" t="s">
        <v>62</v>
      </c>
      <c r="D69" s="163">
        <f t="shared" ref="D69:O69" si="8">D68*$W$17/$B$34</f>
        <v>0</v>
      </c>
      <c r="E69" s="163">
        <f t="shared" si="8"/>
        <v>7.5000000000000011E-2</v>
      </c>
      <c r="F69" s="163">
        <f t="shared" si="8"/>
        <v>0.10000000000000002</v>
      </c>
      <c r="G69" s="163">
        <f t="shared" si="8"/>
        <v>6.0000000000000019E-2</v>
      </c>
      <c r="H69" s="163">
        <f t="shared" si="8"/>
        <v>9.0000000000000011E-2</v>
      </c>
      <c r="I69" s="163">
        <f t="shared" si="8"/>
        <v>0.15000000000000002</v>
      </c>
      <c r="J69" s="163">
        <f t="shared" si="8"/>
        <v>0.12500000000000003</v>
      </c>
      <c r="K69" s="163">
        <f t="shared" si="8"/>
        <v>7.5000000000000011E-2</v>
      </c>
      <c r="L69" s="163">
        <f t="shared" si="8"/>
        <v>7.5000000000000011E-2</v>
      </c>
      <c r="M69" s="163">
        <f t="shared" si="8"/>
        <v>7.5000000000000011E-2</v>
      </c>
      <c r="N69" s="163">
        <f t="shared" si="8"/>
        <v>0.125</v>
      </c>
      <c r="O69" s="163">
        <f t="shared" si="8"/>
        <v>4.9999999999999996E-2</v>
      </c>
      <c r="P69" s="162">
        <f>SUM(D69:O69)</f>
        <v>1</v>
      </c>
      <c r="Q69" s="197"/>
      <c r="R69" s="197"/>
      <c r="S69" s="194"/>
      <c r="T69" s="194"/>
      <c r="U69" s="194"/>
      <c r="V69" s="194"/>
      <c r="W69" s="194"/>
      <c r="X69" s="194"/>
      <c r="Y69" s="194"/>
      <c r="Z69" s="194"/>
      <c r="AA69" s="194"/>
      <c r="AB69" s="194"/>
      <c r="AC69" s="194"/>
      <c r="AD69" s="194"/>
    </row>
    <row r="70" spans="1:30" x14ac:dyDescent="0.3">
      <c r="A70" s="194"/>
      <c r="Q70" s="194"/>
      <c r="R70" s="194"/>
      <c r="S70" s="194"/>
      <c r="T70" s="194"/>
      <c r="U70" s="194"/>
      <c r="V70" s="194"/>
      <c r="W70" s="194"/>
      <c r="X70" s="194"/>
      <c r="Y70" s="194"/>
      <c r="Z70" s="194"/>
      <c r="AA70" s="194"/>
      <c r="AB70" s="194"/>
      <c r="AC70" s="194"/>
      <c r="AD70" s="194"/>
    </row>
    <row r="71" spans="1:30" x14ac:dyDescent="0.3">
      <c r="A71" s="194"/>
      <c r="Q71" s="194"/>
      <c r="R71" s="194"/>
      <c r="S71" s="194"/>
      <c r="T71" s="194"/>
      <c r="U71" s="194"/>
      <c r="V71" s="194"/>
      <c r="W71" s="194"/>
      <c r="X71" s="194"/>
      <c r="Y71" s="194"/>
      <c r="Z71" s="194"/>
      <c r="AA71" s="194"/>
      <c r="AB71" s="194"/>
      <c r="AC71" s="194"/>
      <c r="AD71" s="194"/>
    </row>
    <row r="72" spans="1:30" x14ac:dyDescent="0.3">
      <c r="A72" s="194"/>
      <c r="Q72" s="194"/>
      <c r="R72" s="194"/>
      <c r="S72" s="194"/>
      <c r="T72" s="194"/>
      <c r="U72" s="194"/>
      <c r="V72" s="194"/>
      <c r="W72" s="194"/>
      <c r="X72" s="194"/>
      <c r="Y72" s="194"/>
      <c r="Z72" s="194"/>
      <c r="AA72" s="194"/>
      <c r="AB72" s="194"/>
      <c r="AC72" s="194"/>
      <c r="AD72" s="194"/>
    </row>
    <row r="73" spans="1:30" x14ac:dyDescent="0.3">
      <c r="A73" s="194"/>
      <c r="Q73" s="194"/>
      <c r="R73" s="194"/>
      <c r="S73" s="194"/>
      <c r="T73" s="194"/>
      <c r="U73" s="194"/>
      <c r="V73" s="194"/>
      <c r="W73" s="194"/>
      <c r="X73" s="194"/>
      <c r="Y73" s="194"/>
      <c r="Z73" s="194"/>
      <c r="AA73" s="194"/>
      <c r="AB73" s="194"/>
      <c r="AC73" s="194"/>
      <c r="AD73" s="194"/>
    </row>
    <row r="74" spans="1:30" x14ac:dyDescent="0.3">
      <c r="A74" s="194"/>
      <c r="Q74" s="194"/>
      <c r="R74" s="194"/>
      <c r="S74" s="194"/>
      <c r="T74" s="194"/>
      <c r="U74" s="194"/>
      <c r="V74" s="194"/>
      <c r="W74" s="194"/>
      <c r="X74" s="194"/>
      <c r="Y74" s="194"/>
      <c r="Z74" s="194"/>
      <c r="AA74" s="194"/>
      <c r="AB74" s="194"/>
      <c r="AC74" s="194"/>
      <c r="AD74" s="194"/>
    </row>
    <row r="75" spans="1:30" x14ac:dyDescent="0.3">
      <c r="A75" s="194"/>
      <c r="Q75" s="194"/>
      <c r="R75" s="194"/>
      <c r="S75" s="194"/>
      <c r="T75" s="194"/>
      <c r="U75" s="194"/>
      <c r="V75" s="194"/>
      <c r="W75" s="194"/>
      <c r="X75" s="194"/>
      <c r="Y75" s="194"/>
      <c r="Z75" s="194"/>
      <c r="AA75" s="194"/>
      <c r="AB75" s="194"/>
      <c r="AC75" s="194"/>
      <c r="AD75" s="194"/>
    </row>
    <row r="76" spans="1:30" x14ac:dyDescent="0.3">
      <c r="A76" s="194"/>
      <c r="Q76" s="194"/>
      <c r="R76" s="194"/>
      <c r="S76" s="194"/>
      <c r="T76" s="194"/>
      <c r="U76" s="194"/>
      <c r="V76" s="194"/>
      <c r="W76" s="194"/>
      <c r="X76" s="194"/>
      <c r="Y76" s="194"/>
      <c r="Z76" s="194"/>
      <c r="AA76" s="194"/>
      <c r="AB76" s="194"/>
      <c r="AC76" s="194"/>
      <c r="AD76" s="194"/>
    </row>
    <row r="77" spans="1:30" x14ac:dyDescent="0.3">
      <c r="A77" s="194"/>
      <c r="Q77" s="194"/>
      <c r="R77" s="194"/>
      <c r="S77" s="194"/>
      <c r="T77" s="194"/>
      <c r="U77" s="194"/>
      <c r="V77" s="194"/>
      <c r="W77" s="194"/>
      <c r="X77" s="194"/>
      <c r="Y77" s="194"/>
      <c r="Z77" s="194"/>
      <c r="AA77" s="194"/>
      <c r="AB77" s="194"/>
      <c r="AC77" s="194"/>
      <c r="AD77" s="194"/>
    </row>
    <row r="78" spans="1:30" x14ac:dyDescent="0.3">
      <c r="A78" s="194"/>
      <c r="Q78" s="194"/>
      <c r="R78" s="194"/>
      <c r="S78" s="194"/>
      <c r="T78" s="194"/>
      <c r="U78" s="194"/>
      <c r="V78" s="194"/>
      <c r="W78" s="194"/>
      <c r="X78" s="194"/>
      <c r="Y78" s="194"/>
      <c r="Z78" s="194"/>
      <c r="AA78" s="194"/>
      <c r="AB78" s="194"/>
      <c r="AC78" s="194"/>
      <c r="AD78" s="194"/>
    </row>
    <row r="79" spans="1:30" x14ac:dyDescent="0.3">
      <c r="A79" s="194"/>
      <c r="Q79" s="194"/>
      <c r="R79" s="194"/>
      <c r="S79" s="194"/>
      <c r="T79" s="194"/>
      <c r="U79" s="194"/>
      <c r="V79" s="194"/>
      <c r="W79" s="194"/>
      <c r="X79" s="194"/>
      <c r="Y79" s="194"/>
      <c r="Z79" s="194"/>
      <c r="AA79" s="194"/>
      <c r="AB79" s="194"/>
      <c r="AC79" s="194"/>
      <c r="AD79" s="194"/>
    </row>
    <row r="80" spans="1:30" x14ac:dyDescent="0.3">
      <c r="A80" s="194"/>
      <c r="Q80" s="194"/>
      <c r="R80" s="194"/>
      <c r="S80" s="194"/>
      <c r="T80" s="194"/>
      <c r="U80" s="194"/>
      <c r="V80" s="194"/>
      <c r="W80" s="194"/>
      <c r="X80" s="194"/>
      <c r="Y80" s="194"/>
      <c r="Z80" s="194"/>
      <c r="AA80" s="194"/>
      <c r="AB80" s="194"/>
      <c r="AC80" s="194"/>
      <c r="AD80" s="194"/>
    </row>
    <row r="81" spans="1:30" x14ac:dyDescent="0.3">
      <c r="A81" s="194"/>
      <c r="Q81" s="194"/>
      <c r="R81" s="194"/>
      <c r="S81" s="194"/>
      <c r="T81" s="194"/>
      <c r="U81" s="194"/>
      <c r="V81" s="194"/>
      <c r="W81" s="194"/>
      <c r="X81" s="194"/>
      <c r="Y81" s="194"/>
      <c r="Z81" s="194"/>
      <c r="AA81" s="194"/>
      <c r="AB81" s="194"/>
      <c r="AC81" s="194"/>
      <c r="AD81" s="194"/>
    </row>
    <row r="82" spans="1:30" x14ac:dyDescent="0.3">
      <c r="A82" s="194"/>
      <c r="Q82" s="194"/>
      <c r="R82" s="194"/>
      <c r="S82" s="194"/>
      <c r="T82" s="194"/>
      <c r="U82" s="194"/>
      <c r="V82" s="194"/>
      <c r="W82" s="194"/>
      <c r="X82" s="194"/>
      <c r="Y82" s="194"/>
      <c r="Z82" s="194"/>
      <c r="AA82" s="194"/>
      <c r="AB82" s="194"/>
      <c r="AC82" s="194"/>
      <c r="AD82" s="194"/>
    </row>
    <row r="83" spans="1:30" x14ac:dyDescent="0.3">
      <c r="A83" s="194"/>
      <c r="Q83" s="194"/>
      <c r="R83" s="194"/>
      <c r="S83" s="194"/>
      <c r="T83" s="194"/>
      <c r="U83" s="194"/>
      <c r="V83" s="194"/>
      <c r="W83" s="194"/>
      <c r="X83" s="194"/>
      <c r="Y83" s="194"/>
      <c r="Z83" s="194"/>
      <c r="AA83" s="194"/>
      <c r="AB83" s="194"/>
      <c r="AC83" s="194"/>
      <c r="AD83" s="194"/>
    </row>
    <row r="84" spans="1:30" x14ac:dyDescent="0.3">
      <c r="A84" s="194"/>
      <c r="Q84" s="194"/>
      <c r="R84" s="194"/>
      <c r="S84" s="194"/>
      <c r="T84" s="194"/>
      <c r="U84" s="194"/>
      <c r="V84" s="194"/>
      <c r="W84" s="194"/>
      <c r="X84" s="194"/>
      <c r="Y84" s="194"/>
      <c r="Z84" s="194"/>
      <c r="AA84" s="194"/>
      <c r="AB84" s="194"/>
      <c r="AC84" s="194"/>
      <c r="AD84" s="194"/>
    </row>
    <row r="85" spans="1:30" x14ac:dyDescent="0.3">
      <c r="A85" s="194"/>
      <c r="Q85" s="194"/>
      <c r="R85" s="194"/>
      <c r="S85" s="194"/>
      <c r="T85" s="194"/>
      <c r="U85" s="194"/>
      <c r="V85" s="194"/>
      <c r="W85" s="194"/>
      <c r="X85" s="194"/>
      <c r="Y85" s="194"/>
      <c r="Z85" s="194"/>
      <c r="AA85" s="194"/>
      <c r="AB85" s="194"/>
      <c r="AC85" s="194"/>
      <c r="AD85" s="194"/>
    </row>
    <row r="86" spans="1:30" x14ac:dyDescent="0.3">
      <c r="A86" s="194"/>
      <c r="Q86" s="194"/>
      <c r="R86" s="194"/>
      <c r="S86" s="194"/>
      <c r="T86" s="194"/>
      <c r="U86" s="194"/>
      <c r="V86" s="194"/>
      <c r="W86" s="194"/>
      <c r="X86" s="194"/>
      <c r="Y86" s="194"/>
      <c r="Z86" s="194"/>
      <c r="AA86" s="194"/>
      <c r="AB86" s="194"/>
      <c r="AC86" s="194"/>
      <c r="AD86" s="194"/>
    </row>
    <row r="87" spans="1:30" x14ac:dyDescent="0.3">
      <c r="A87" s="194"/>
      <c r="Q87" s="194"/>
      <c r="R87" s="194"/>
      <c r="S87" s="194"/>
      <c r="T87" s="194"/>
      <c r="U87" s="194"/>
      <c r="V87" s="194"/>
      <c r="W87" s="194"/>
      <c r="X87" s="194"/>
      <c r="Y87" s="194"/>
      <c r="Z87" s="194"/>
      <c r="AA87" s="194"/>
      <c r="AB87" s="194"/>
      <c r="AC87" s="194"/>
      <c r="AD87" s="194"/>
    </row>
    <row r="88" spans="1:30" x14ac:dyDescent="0.3">
      <c r="A88" s="194"/>
      <c r="Q88" s="194"/>
      <c r="R88" s="194"/>
      <c r="S88" s="194"/>
      <c r="T88" s="194"/>
      <c r="U88" s="194"/>
      <c r="V88" s="194"/>
      <c r="W88" s="194"/>
      <c r="X88" s="194"/>
      <c r="Y88" s="194"/>
      <c r="Z88" s="194"/>
      <c r="AA88" s="194"/>
      <c r="AB88" s="194"/>
      <c r="AC88" s="194"/>
      <c r="AD88" s="194"/>
    </row>
    <row r="89" spans="1:30" x14ac:dyDescent="0.3">
      <c r="A89" s="194"/>
      <c r="Q89" s="194"/>
      <c r="R89" s="194"/>
      <c r="S89" s="194"/>
      <c r="T89" s="194"/>
      <c r="U89" s="194"/>
      <c r="V89" s="194"/>
      <c r="W89" s="194"/>
      <c r="X89" s="194"/>
      <c r="Y89" s="194"/>
      <c r="Z89" s="194"/>
      <c r="AA89" s="194"/>
      <c r="AB89" s="194"/>
      <c r="AC89" s="194"/>
      <c r="AD89" s="194"/>
    </row>
    <row r="90" spans="1:30" x14ac:dyDescent="0.3">
      <c r="A90" s="194"/>
      <c r="Q90" s="194"/>
      <c r="R90" s="194"/>
      <c r="S90" s="194"/>
      <c r="T90" s="194"/>
      <c r="U90" s="194"/>
      <c r="V90" s="194"/>
      <c r="W90" s="194"/>
      <c r="X90" s="194"/>
      <c r="Y90" s="194"/>
      <c r="Z90" s="194"/>
      <c r="AA90" s="194"/>
      <c r="AB90" s="194"/>
      <c r="AC90" s="194"/>
      <c r="AD90" s="194"/>
    </row>
    <row r="91" spans="1:30" x14ac:dyDescent="0.3">
      <c r="A91" s="194"/>
      <c r="Q91" s="194"/>
      <c r="R91" s="194"/>
      <c r="S91" s="194"/>
      <c r="T91" s="194"/>
      <c r="U91" s="194"/>
      <c r="V91" s="194"/>
      <c r="W91" s="194"/>
      <c r="X91" s="194"/>
      <c r="Y91" s="194"/>
      <c r="Z91" s="194"/>
      <c r="AA91" s="194"/>
      <c r="AB91" s="194"/>
      <c r="AC91" s="194"/>
      <c r="AD91" s="194"/>
    </row>
    <row r="92" spans="1:30" x14ac:dyDescent="0.3">
      <c r="A92" s="194"/>
      <c r="Q92" s="194"/>
      <c r="R92" s="194"/>
      <c r="S92" s="194"/>
      <c r="T92" s="194"/>
      <c r="U92" s="194"/>
      <c r="V92" s="194"/>
      <c r="W92" s="194"/>
      <c r="X92" s="194"/>
      <c r="Y92" s="194"/>
      <c r="Z92" s="194"/>
      <c r="AA92" s="194"/>
      <c r="AB92" s="194"/>
      <c r="AC92" s="194"/>
      <c r="AD92" s="194"/>
    </row>
    <row r="93" spans="1:30" x14ac:dyDescent="0.3">
      <c r="A93" s="194"/>
      <c r="Q93" s="194"/>
      <c r="R93" s="194"/>
      <c r="S93" s="194"/>
      <c r="T93" s="194"/>
      <c r="U93" s="194"/>
      <c r="V93" s="194"/>
      <c r="W93" s="194"/>
      <c r="X93" s="194"/>
      <c r="Y93" s="194"/>
      <c r="Z93" s="194"/>
      <c r="AA93" s="194"/>
      <c r="AB93" s="194"/>
      <c r="AC93" s="194"/>
      <c r="AD93" s="194"/>
    </row>
    <row r="94" spans="1:30" x14ac:dyDescent="0.3">
      <c r="A94" s="194"/>
      <c r="Q94" s="194"/>
      <c r="R94" s="194"/>
      <c r="S94" s="194"/>
      <c r="T94" s="194"/>
      <c r="U94" s="194"/>
      <c r="V94" s="194"/>
      <c r="W94" s="194"/>
      <c r="X94" s="194"/>
      <c r="Y94" s="194"/>
      <c r="Z94" s="194"/>
      <c r="AA94" s="194"/>
      <c r="AB94" s="194"/>
      <c r="AC94" s="194"/>
      <c r="AD94" s="194"/>
    </row>
    <row r="95" spans="1:30" x14ac:dyDescent="0.3">
      <c r="A95" s="194"/>
      <c r="Q95" s="194"/>
      <c r="R95" s="194"/>
      <c r="S95" s="194"/>
      <c r="T95" s="194"/>
      <c r="U95" s="194"/>
      <c r="V95" s="194"/>
      <c r="W95" s="194"/>
      <c r="X95" s="194"/>
      <c r="Y95" s="194"/>
      <c r="Z95" s="194"/>
      <c r="AA95" s="194"/>
      <c r="AB95" s="194"/>
      <c r="AC95" s="194"/>
      <c r="AD95" s="194"/>
    </row>
    <row r="96" spans="1:30" x14ac:dyDescent="0.3">
      <c r="A96" s="194"/>
      <c r="Q96" s="194"/>
      <c r="R96" s="194"/>
      <c r="S96" s="194"/>
      <c r="T96" s="194"/>
      <c r="U96" s="194"/>
      <c r="V96" s="194"/>
      <c r="W96" s="194"/>
      <c r="X96" s="194"/>
      <c r="Y96" s="194"/>
      <c r="Z96" s="194"/>
      <c r="AA96" s="194"/>
      <c r="AB96" s="194"/>
      <c r="AC96" s="194"/>
      <c r="AD96" s="194"/>
    </row>
    <row r="97" spans="1:30" x14ac:dyDescent="0.3">
      <c r="A97" s="194"/>
      <c r="Q97" s="194"/>
      <c r="R97" s="194"/>
      <c r="S97" s="194"/>
      <c r="T97" s="194"/>
      <c r="U97" s="194"/>
      <c r="V97" s="194"/>
      <c r="W97" s="194"/>
      <c r="X97" s="194"/>
      <c r="Y97" s="194"/>
      <c r="Z97" s="194"/>
      <c r="AA97" s="194"/>
      <c r="AB97" s="194"/>
      <c r="AC97" s="194"/>
      <c r="AD97" s="194"/>
    </row>
    <row r="98" spans="1:30" x14ac:dyDescent="0.3">
      <c r="A98" s="194"/>
      <c r="Q98" s="194"/>
      <c r="R98" s="194"/>
      <c r="S98" s="194"/>
      <c r="T98" s="194"/>
      <c r="U98" s="194"/>
      <c r="V98" s="194"/>
      <c r="W98" s="194"/>
      <c r="X98" s="194"/>
      <c r="Y98" s="194"/>
      <c r="Z98" s="194"/>
      <c r="AA98" s="194"/>
      <c r="AB98" s="194"/>
      <c r="AC98" s="194"/>
      <c r="AD98" s="194"/>
    </row>
    <row r="99" spans="1:30" x14ac:dyDescent="0.3">
      <c r="A99" s="194"/>
      <c r="Q99" s="194"/>
      <c r="R99" s="194"/>
      <c r="S99" s="194"/>
      <c r="T99" s="194"/>
      <c r="U99" s="194"/>
      <c r="V99" s="194"/>
      <c r="W99" s="194"/>
      <c r="X99" s="194"/>
      <c r="Y99" s="194"/>
      <c r="Z99" s="194"/>
      <c r="AA99" s="194"/>
      <c r="AB99" s="194"/>
      <c r="AC99" s="194"/>
      <c r="AD99" s="194"/>
    </row>
    <row r="100" spans="1:30" x14ac:dyDescent="0.3">
      <c r="A100" s="194"/>
      <c r="Q100" s="194"/>
      <c r="R100" s="194"/>
      <c r="S100" s="194"/>
      <c r="T100" s="194"/>
      <c r="U100" s="194"/>
      <c r="V100" s="194"/>
      <c r="W100" s="194"/>
      <c r="X100" s="194"/>
      <c r="Y100" s="194"/>
      <c r="Z100" s="194"/>
      <c r="AA100" s="194"/>
      <c r="AB100" s="194"/>
      <c r="AC100" s="194"/>
      <c r="AD100" s="194"/>
    </row>
    <row r="101" spans="1:30" x14ac:dyDescent="0.3">
      <c r="A101" s="194"/>
      <c r="Q101" s="194"/>
      <c r="R101" s="194"/>
      <c r="S101" s="194"/>
      <c r="T101" s="194"/>
      <c r="U101" s="194"/>
      <c r="V101" s="194"/>
      <c r="W101" s="194"/>
      <c r="X101" s="194"/>
      <c r="Y101" s="194"/>
      <c r="Z101" s="194"/>
      <c r="AA101" s="194"/>
      <c r="AB101" s="194"/>
      <c r="AC101" s="194"/>
      <c r="AD101" s="194"/>
    </row>
    <row r="102" spans="1:30" x14ac:dyDescent="0.3">
      <c r="Q102" s="194"/>
      <c r="R102" s="194"/>
      <c r="S102" s="194"/>
      <c r="T102" s="194"/>
      <c r="U102" s="194"/>
      <c r="V102" s="194"/>
      <c r="W102" s="194"/>
      <c r="X102" s="194"/>
      <c r="Y102" s="194"/>
      <c r="Z102" s="194"/>
      <c r="AA102" s="194"/>
      <c r="AB102" s="194"/>
      <c r="AC102" s="194"/>
      <c r="AD102" s="194"/>
    </row>
    <row r="103" spans="1:30" x14ac:dyDescent="0.3">
      <c r="Q103" s="194"/>
      <c r="R103" s="194"/>
      <c r="S103" s="194"/>
      <c r="T103" s="194"/>
      <c r="U103" s="194"/>
      <c r="V103" s="194"/>
      <c r="W103" s="194"/>
      <c r="X103" s="194"/>
      <c r="Y103" s="194"/>
      <c r="Z103" s="194"/>
      <c r="AA103" s="194"/>
      <c r="AB103" s="194"/>
      <c r="AC103" s="194"/>
      <c r="AD103" s="194"/>
    </row>
    <row r="104" spans="1:30" x14ac:dyDescent="0.3">
      <c r="Q104" s="194"/>
      <c r="R104" s="194"/>
      <c r="S104" s="194"/>
      <c r="T104" s="194"/>
      <c r="U104" s="194"/>
      <c r="V104" s="194"/>
      <c r="W104" s="194"/>
      <c r="X104" s="194"/>
      <c r="Y104" s="194"/>
      <c r="Z104" s="194"/>
      <c r="AA104" s="194"/>
      <c r="AB104" s="194"/>
      <c r="AC104" s="194"/>
      <c r="AD104" s="194"/>
    </row>
    <row r="105" spans="1:30" x14ac:dyDescent="0.3">
      <c r="Q105" s="194"/>
      <c r="R105" s="194"/>
      <c r="S105" s="194"/>
      <c r="T105" s="194"/>
      <c r="U105" s="194"/>
      <c r="V105" s="194"/>
      <c r="W105" s="194"/>
      <c r="X105" s="194"/>
      <c r="Y105" s="194"/>
      <c r="Z105" s="194"/>
      <c r="AA105" s="194"/>
      <c r="AB105" s="194"/>
      <c r="AC105" s="194"/>
      <c r="AD105" s="194"/>
    </row>
    <row r="106" spans="1:30" x14ac:dyDescent="0.3">
      <c r="Q106" s="194"/>
      <c r="R106" s="194"/>
      <c r="S106" s="194"/>
      <c r="T106" s="194"/>
      <c r="U106" s="194"/>
      <c r="V106" s="194"/>
      <c r="W106" s="194"/>
      <c r="X106" s="194"/>
      <c r="Y106" s="194"/>
      <c r="Z106" s="194"/>
      <c r="AA106" s="194"/>
      <c r="AB106" s="194"/>
      <c r="AC106" s="194"/>
      <c r="AD106" s="194"/>
    </row>
    <row r="107" spans="1:30" x14ac:dyDescent="0.3">
      <c r="Q107" s="194"/>
      <c r="R107" s="194"/>
      <c r="S107" s="194"/>
      <c r="T107" s="194"/>
      <c r="U107" s="194"/>
      <c r="V107" s="194"/>
      <c r="W107" s="194"/>
      <c r="X107" s="194"/>
      <c r="Y107" s="194"/>
      <c r="Z107" s="194"/>
      <c r="AA107" s="194"/>
      <c r="AB107" s="194"/>
      <c r="AC107" s="194"/>
      <c r="AD107" s="194"/>
    </row>
    <row r="108" spans="1:30" x14ac:dyDescent="0.3">
      <c r="Q108" s="194"/>
      <c r="R108" s="194"/>
      <c r="S108" s="194"/>
      <c r="T108" s="194"/>
      <c r="U108" s="194"/>
      <c r="V108" s="194"/>
      <c r="W108" s="194"/>
      <c r="X108" s="194"/>
      <c r="Y108" s="194"/>
      <c r="Z108" s="194"/>
      <c r="AA108" s="194"/>
      <c r="AB108" s="194"/>
      <c r="AC108" s="194"/>
      <c r="AD108" s="194"/>
    </row>
    <row r="109" spans="1:30" x14ac:dyDescent="0.3">
      <c r="Q109" s="194"/>
      <c r="R109" s="194"/>
      <c r="S109" s="194"/>
      <c r="T109" s="194"/>
      <c r="U109" s="194"/>
      <c r="V109" s="194"/>
      <c r="W109" s="194"/>
      <c r="X109" s="194"/>
      <c r="Y109" s="194"/>
      <c r="Z109" s="194"/>
      <c r="AA109" s="194"/>
      <c r="AB109" s="194"/>
      <c r="AC109" s="194"/>
      <c r="AD109" s="194"/>
    </row>
    <row r="110" spans="1:30" x14ac:dyDescent="0.3">
      <c r="Q110" s="194"/>
      <c r="R110" s="194"/>
      <c r="S110" s="194"/>
      <c r="T110" s="194"/>
      <c r="U110" s="194"/>
      <c r="V110" s="194"/>
      <c r="W110" s="194"/>
      <c r="X110" s="194"/>
      <c r="Y110" s="194"/>
      <c r="Z110" s="194"/>
      <c r="AA110" s="194"/>
      <c r="AB110" s="194"/>
      <c r="AC110" s="194"/>
      <c r="AD110" s="194"/>
    </row>
    <row r="111" spans="1:30" x14ac:dyDescent="0.3">
      <c r="Q111" s="194"/>
      <c r="R111" s="194"/>
      <c r="S111" s="194"/>
      <c r="T111" s="194"/>
      <c r="U111" s="194"/>
      <c r="V111" s="194"/>
      <c r="W111" s="194"/>
      <c r="X111" s="194"/>
      <c r="Y111" s="194"/>
      <c r="Z111" s="194"/>
      <c r="AA111" s="194"/>
      <c r="AB111" s="194"/>
      <c r="AC111" s="194"/>
      <c r="AD111" s="194"/>
    </row>
    <row r="112" spans="1:30" x14ac:dyDescent="0.3">
      <c r="Q112" s="194"/>
      <c r="R112" s="194"/>
      <c r="S112" s="194"/>
      <c r="T112" s="194"/>
      <c r="U112" s="194"/>
      <c r="V112" s="194"/>
      <c r="W112" s="194"/>
      <c r="X112" s="194"/>
      <c r="Y112" s="194"/>
      <c r="Z112" s="194"/>
      <c r="AA112" s="194"/>
      <c r="AB112" s="194"/>
      <c r="AC112" s="194"/>
      <c r="AD112" s="194"/>
    </row>
    <row r="113" spans="17:30" x14ac:dyDescent="0.3">
      <c r="Q113" s="194"/>
      <c r="R113" s="194"/>
      <c r="S113" s="194"/>
      <c r="T113" s="194"/>
      <c r="U113" s="194"/>
      <c r="V113" s="194"/>
      <c r="W113" s="194"/>
      <c r="X113" s="194"/>
      <c r="Y113" s="194"/>
      <c r="Z113" s="194"/>
      <c r="AA113" s="194"/>
      <c r="AB113" s="194"/>
      <c r="AC113" s="194"/>
      <c r="AD113" s="194"/>
    </row>
    <row r="114" spans="17:30" x14ac:dyDescent="0.3">
      <c r="Q114" s="194"/>
      <c r="R114" s="194"/>
      <c r="S114" s="194"/>
      <c r="T114" s="194"/>
      <c r="U114" s="194"/>
      <c r="V114" s="194"/>
      <c r="W114" s="194"/>
      <c r="X114" s="194"/>
      <c r="Y114" s="194"/>
      <c r="Z114" s="194"/>
      <c r="AA114" s="194"/>
      <c r="AB114" s="194"/>
      <c r="AC114" s="194"/>
      <c r="AD114" s="194"/>
    </row>
    <row r="115" spans="17:30" x14ac:dyDescent="0.3">
      <c r="Q115" s="194"/>
      <c r="R115" s="194"/>
      <c r="S115" s="194"/>
      <c r="T115" s="194"/>
      <c r="U115" s="194"/>
      <c r="V115" s="194"/>
      <c r="W115" s="194"/>
      <c r="X115" s="194"/>
      <c r="Y115" s="194"/>
      <c r="Z115" s="194"/>
      <c r="AA115" s="194"/>
      <c r="AB115" s="194"/>
      <c r="AC115" s="194"/>
      <c r="AD115" s="194"/>
    </row>
    <row r="116" spans="17:30" x14ac:dyDescent="0.3">
      <c r="Q116" s="194"/>
      <c r="R116" s="194"/>
      <c r="S116" s="194"/>
      <c r="T116" s="194"/>
      <c r="U116" s="194"/>
      <c r="V116" s="194"/>
      <c r="W116" s="194"/>
      <c r="X116" s="194"/>
      <c r="Y116" s="194"/>
      <c r="Z116" s="194"/>
      <c r="AA116" s="194"/>
      <c r="AB116" s="194"/>
      <c r="AC116" s="194"/>
      <c r="AD116" s="194"/>
    </row>
    <row r="117" spans="17:30" x14ac:dyDescent="0.3">
      <c r="Q117" s="194"/>
      <c r="R117" s="194"/>
      <c r="S117" s="194"/>
      <c r="T117" s="194"/>
      <c r="U117" s="194"/>
      <c r="V117" s="194"/>
      <c r="W117" s="194"/>
      <c r="X117" s="194"/>
      <c r="Y117" s="194"/>
      <c r="Z117" s="194"/>
      <c r="AA117" s="194"/>
      <c r="AB117" s="194"/>
      <c r="AC117" s="194"/>
      <c r="AD117" s="194"/>
    </row>
    <row r="118" spans="17:30" x14ac:dyDescent="0.3">
      <c r="Q118" s="194"/>
      <c r="R118" s="194"/>
      <c r="S118" s="194"/>
      <c r="T118" s="194"/>
      <c r="U118" s="194"/>
      <c r="V118" s="194"/>
      <c r="W118" s="194"/>
      <c r="X118" s="194"/>
      <c r="Y118" s="194"/>
      <c r="Z118" s="194"/>
      <c r="AA118" s="194"/>
      <c r="AB118" s="194"/>
      <c r="AC118" s="194"/>
      <c r="AD118" s="194"/>
    </row>
    <row r="119" spans="17:30" x14ac:dyDescent="0.3">
      <c r="Q119" s="194"/>
      <c r="R119" s="194"/>
      <c r="S119" s="194"/>
      <c r="T119" s="194"/>
      <c r="U119" s="194"/>
      <c r="V119" s="194"/>
      <c r="W119" s="194"/>
      <c r="X119" s="194"/>
      <c r="Y119" s="194"/>
      <c r="Z119" s="194"/>
      <c r="AA119" s="194"/>
      <c r="AB119" s="194"/>
      <c r="AC119" s="194"/>
      <c r="AD119" s="194"/>
    </row>
    <row r="120" spans="17:30" x14ac:dyDescent="0.3">
      <c r="Q120" s="194"/>
      <c r="R120" s="194"/>
      <c r="S120" s="194"/>
      <c r="T120" s="194"/>
      <c r="U120" s="194"/>
      <c r="V120" s="194"/>
      <c r="W120" s="194"/>
      <c r="X120" s="194"/>
      <c r="Y120" s="194"/>
      <c r="Z120" s="194"/>
      <c r="AA120" s="194"/>
      <c r="AB120" s="194"/>
      <c r="AC120" s="194"/>
      <c r="AD120" s="194"/>
    </row>
    <row r="121" spans="17:30" x14ac:dyDescent="0.3">
      <c r="Q121" s="194"/>
      <c r="R121" s="194"/>
      <c r="S121" s="194"/>
      <c r="T121" s="194"/>
      <c r="U121" s="194"/>
      <c r="V121" s="194"/>
      <c r="W121" s="194"/>
      <c r="X121" s="194"/>
      <c r="Y121" s="194"/>
      <c r="Z121" s="194"/>
      <c r="AA121" s="194"/>
      <c r="AB121" s="194"/>
      <c r="AC121" s="194"/>
      <c r="AD121" s="194"/>
    </row>
    <row r="122" spans="17:30" x14ac:dyDescent="0.3">
      <c r="Q122" s="194"/>
      <c r="R122" s="194"/>
      <c r="S122" s="194"/>
      <c r="T122" s="194"/>
      <c r="U122" s="194"/>
      <c r="V122" s="194"/>
      <c r="W122" s="194"/>
      <c r="X122" s="194"/>
      <c r="Y122" s="194"/>
      <c r="Z122" s="194"/>
      <c r="AA122" s="194"/>
      <c r="AB122" s="194"/>
      <c r="AC122" s="194"/>
      <c r="AD122" s="194"/>
    </row>
    <row r="123" spans="17:30" x14ac:dyDescent="0.3">
      <c r="Q123" s="194"/>
      <c r="R123" s="194"/>
      <c r="S123" s="194"/>
      <c r="T123" s="194"/>
      <c r="U123" s="194"/>
      <c r="V123" s="194"/>
      <c r="W123" s="194"/>
      <c r="X123" s="194"/>
      <c r="Y123" s="194"/>
      <c r="Z123" s="194"/>
      <c r="AA123" s="194"/>
      <c r="AB123" s="194"/>
      <c r="AC123" s="194"/>
      <c r="AD123" s="194"/>
    </row>
    <row r="124" spans="17:30" x14ac:dyDescent="0.3">
      <c r="Q124" s="194"/>
      <c r="R124" s="194"/>
      <c r="S124" s="194"/>
      <c r="T124" s="194"/>
      <c r="U124" s="194"/>
      <c r="V124" s="194"/>
      <c r="W124" s="194"/>
      <c r="X124" s="194"/>
      <c r="Y124" s="194"/>
      <c r="Z124" s="194"/>
      <c r="AA124" s="194"/>
      <c r="AB124" s="194"/>
      <c r="AC124" s="194"/>
      <c r="AD124" s="194"/>
    </row>
    <row r="125" spans="17:30" x14ac:dyDescent="0.3">
      <c r="Q125" s="194"/>
      <c r="R125" s="194"/>
      <c r="S125" s="194"/>
      <c r="T125" s="194"/>
      <c r="U125" s="194"/>
      <c r="V125" s="194"/>
      <c r="W125" s="194"/>
      <c r="X125" s="194"/>
      <c r="Y125" s="194"/>
      <c r="Z125" s="194"/>
      <c r="AA125" s="194"/>
      <c r="AB125" s="194"/>
      <c r="AC125" s="194"/>
      <c r="AD125" s="194"/>
    </row>
    <row r="126" spans="17:30" x14ac:dyDescent="0.3">
      <c r="Q126" s="194"/>
      <c r="R126" s="194"/>
      <c r="S126" s="194"/>
      <c r="T126" s="194"/>
      <c r="U126" s="194"/>
      <c r="V126" s="194"/>
      <c r="W126" s="194"/>
      <c r="X126" s="194"/>
      <c r="Y126" s="194"/>
      <c r="Z126" s="194"/>
      <c r="AA126" s="194"/>
      <c r="AB126" s="194"/>
      <c r="AC126" s="194"/>
      <c r="AD126" s="194"/>
    </row>
    <row r="127" spans="17:30" x14ac:dyDescent="0.3">
      <c r="Q127" s="194"/>
      <c r="R127" s="194"/>
      <c r="S127" s="194"/>
      <c r="T127" s="194"/>
      <c r="U127" s="194"/>
      <c r="V127" s="194"/>
      <c r="W127" s="194"/>
      <c r="X127" s="194"/>
      <c r="Y127" s="194"/>
      <c r="Z127" s="194"/>
      <c r="AA127" s="194"/>
      <c r="AB127" s="194"/>
      <c r="AC127" s="194"/>
      <c r="AD127" s="194"/>
    </row>
    <row r="128" spans="17:30" x14ac:dyDescent="0.3">
      <c r="Q128" s="194"/>
      <c r="R128" s="194"/>
      <c r="S128" s="194"/>
      <c r="T128" s="194"/>
      <c r="U128" s="194"/>
      <c r="V128" s="194"/>
      <c r="W128" s="194"/>
      <c r="X128" s="194"/>
      <c r="Y128" s="194"/>
      <c r="Z128" s="194"/>
      <c r="AA128" s="194"/>
      <c r="AB128" s="194"/>
      <c r="AC128" s="194"/>
      <c r="AD128" s="194"/>
    </row>
    <row r="129" spans="17:30" x14ac:dyDescent="0.3">
      <c r="Q129" s="194"/>
      <c r="R129" s="194"/>
      <c r="S129" s="194"/>
      <c r="T129" s="194"/>
      <c r="U129" s="194"/>
      <c r="V129" s="194"/>
      <c r="W129" s="194"/>
      <c r="X129" s="194"/>
      <c r="Y129" s="194"/>
      <c r="Z129" s="194"/>
      <c r="AA129" s="194"/>
      <c r="AB129" s="194"/>
      <c r="AC129" s="194"/>
      <c r="AD129" s="194"/>
    </row>
    <row r="130" spans="17:30" x14ac:dyDescent="0.3">
      <c r="Q130" s="194"/>
      <c r="R130" s="194"/>
      <c r="S130" s="194"/>
      <c r="T130" s="194"/>
      <c r="U130" s="194"/>
      <c r="V130" s="194"/>
      <c r="W130" s="194"/>
      <c r="X130" s="194"/>
      <c r="Y130" s="194"/>
      <c r="Z130" s="194"/>
      <c r="AA130" s="194"/>
      <c r="AB130" s="194"/>
      <c r="AC130" s="194"/>
      <c r="AD130" s="194"/>
    </row>
    <row r="131" spans="17:30" x14ac:dyDescent="0.3">
      <c r="Q131" s="194"/>
      <c r="R131" s="194"/>
      <c r="S131" s="194"/>
      <c r="T131" s="194"/>
      <c r="U131" s="194"/>
      <c r="V131" s="194"/>
      <c r="W131" s="194"/>
      <c r="X131" s="194"/>
      <c r="Y131" s="194"/>
      <c r="Z131" s="194"/>
      <c r="AA131" s="194"/>
      <c r="AB131" s="194"/>
      <c r="AC131" s="194"/>
      <c r="AD131" s="194"/>
    </row>
    <row r="132" spans="17:30" x14ac:dyDescent="0.3">
      <c r="Q132" s="194"/>
      <c r="R132" s="194"/>
      <c r="S132" s="194"/>
      <c r="T132" s="194"/>
      <c r="U132" s="194"/>
      <c r="V132" s="194"/>
      <c r="W132" s="194"/>
      <c r="X132" s="194"/>
      <c r="Y132" s="194"/>
      <c r="Z132" s="194"/>
      <c r="AA132" s="194"/>
      <c r="AB132" s="194"/>
      <c r="AC132" s="194"/>
      <c r="AD132" s="194"/>
    </row>
    <row r="133" spans="17:30" x14ac:dyDescent="0.3">
      <c r="Q133" s="194"/>
      <c r="R133" s="194"/>
      <c r="S133" s="194"/>
      <c r="T133" s="194"/>
      <c r="U133" s="194"/>
      <c r="V133" s="194"/>
      <c r="W133" s="194"/>
      <c r="X133" s="194"/>
      <c r="Y133" s="194"/>
      <c r="Z133" s="194"/>
      <c r="AA133" s="194"/>
      <c r="AB133" s="194"/>
      <c r="AC133" s="194"/>
      <c r="AD133" s="194"/>
    </row>
    <row r="134" spans="17:30" x14ac:dyDescent="0.3">
      <c r="Q134" s="194"/>
      <c r="R134" s="194"/>
      <c r="S134" s="194"/>
      <c r="T134" s="194"/>
      <c r="U134" s="194"/>
      <c r="V134" s="194"/>
      <c r="W134" s="194"/>
      <c r="X134" s="194"/>
      <c r="Y134" s="194"/>
      <c r="Z134" s="194"/>
      <c r="AA134" s="194"/>
      <c r="AB134" s="194"/>
      <c r="AC134" s="194"/>
      <c r="AD134" s="194"/>
    </row>
    <row r="135" spans="17:30" x14ac:dyDescent="0.3">
      <c r="Q135" s="194"/>
      <c r="R135" s="194"/>
      <c r="S135" s="194"/>
      <c r="T135" s="194"/>
      <c r="U135" s="194"/>
      <c r="V135" s="194"/>
      <c r="W135" s="194"/>
      <c r="X135" s="194"/>
      <c r="Y135" s="194"/>
      <c r="Z135" s="194"/>
      <c r="AA135" s="194"/>
      <c r="AB135" s="194"/>
      <c r="AC135" s="194"/>
      <c r="AD135" s="194"/>
    </row>
    <row r="136" spans="17:30" x14ac:dyDescent="0.3">
      <c r="Q136" s="194"/>
      <c r="R136" s="194"/>
      <c r="S136" s="194"/>
      <c r="T136" s="194"/>
      <c r="U136" s="194"/>
      <c r="V136" s="194"/>
      <c r="W136" s="194"/>
      <c r="X136" s="194"/>
      <c r="Y136" s="194"/>
      <c r="Z136" s="194"/>
      <c r="AA136" s="194"/>
      <c r="AB136" s="194"/>
      <c r="AC136" s="194"/>
      <c r="AD136" s="194"/>
    </row>
    <row r="137" spans="17:30" x14ac:dyDescent="0.3">
      <c r="Q137" s="194"/>
      <c r="R137" s="194"/>
      <c r="S137" s="194"/>
      <c r="T137" s="194"/>
      <c r="U137" s="194"/>
      <c r="V137" s="194"/>
      <c r="W137" s="194"/>
      <c r="X137" s="194"/>
      <c r="Y137" s="194"/>
      <c r="Z137" s="194"/>
      <c r="AA137" s="194"/>
      <c r="AB137" s="194"/>
      <c r="AC137" s="194"/>
      <c r="AD137" s="194"/>
    </row>
    <row r="138" spans="17:30" x14ac:dyDescent="0.3">
      <c r="Q138" s="194"/>
      <c r="R138" s="194"/>
      <c r="S138" s="194"/>
      <c r="T138" s="194"/>
      <c r="U138" s="194"/>
      <c r="V138" s="194"/>
      <c r="W138" s="194"/>
      <c r="X138" s="194"/>
      <c r="Y138" s="194"/>
      <c r="Z138" s="194"/>
      <c r="AA138" s="194"/>
      <c r="AB138" s="194"/>
      <c r="AC138" s="194"/>
      <c r="AD138" s="194"/>
    </row>
    <row r="139" spans="17:30" x14ac:dyDescent="0.3">
      <c r="Q139" s="194"/>
      <c r="R139" s="194"/>
      <c r="S139" s="194"/>
      <c r="T139" s="194"/>
      <c r="U139" s="194"/>
      <c r="V139" s="194"/>
      <c r="W139" s="194"/>
      <c r="X139" s="194"/>
      <c r="Y139" s="194"/>
      <c r="Z139" s="194"/>
      <c r="AA139" s="194"/>
      <c r="AB139" s="194"/>
      <c r="AC139" s="194"/>
      <c r="AD139" s="194"/>
    </row>
    <row r="140" spans="17:30" x14ac:dyDescent="0.3">
      <c r="Q140" s="194"/>
      <c r="R140" s="194"/>
      <c r="S140" s="194"/>
      <c r="T140" s="194"/>
      <c r="U140" s="194"/>
      <c r="V140" s="194"/>
      <c r="W140" s="194"/>
      <c r="X140" s="194"/>
      <c r="Y140" s="194"/>
      <c r="Z140" s="194"/>
      <c r="AA140" s="194"/>
      <c r="AB140" s="194"/>
      <c r="AC140" s="194"/>
      <c r="AD140" s="194"/>
    </row>
    <row r="141" spans="17:30" x14ac:dyDescent="0.3">
      <c r="Q141" s="194"/>
      <c r="R141" s="194"/>
      <c r="S141" s="194"/>
      <c r="T141" s="194"/>
      <c r="U141" s="194"/>
      <c r="V141" s="194"/>
      <c r="W141" s="194"/>
      <c r="X141" s="194"/>
      <c r="Y141" s="194"/>
      <c r="Z141" s="194"/>
      <c r="AA141" s="194"/>
      <c r="AB141" s="194"/>
      <c r="AC141" s="194"/>
      <c r="AD141" s="194"/>
    </row>
    <row r="142" spans="17:30" x14ac:dyDescent="0.3">
      <c r="Q142" s="194"/>
      <c r="R142" s="194"/>
      <c r="S142" s="194"/>
      <c r="T142" s="194"/>
      <c r="U142" s="194"/>
      <c r="V142" s="194"/>
      <c r="W142" s="194"/>
      <c r="X142" s="194"/>
      <c r="Y142" s="194"/>
      <c r="Z142" s="194"/>
      <c r="AA142" s="194"/>
      <c r="AB142" s="194"/>
      <c r="AC142" s="194"/>
      <c r="AD142" s="194"/>
    </row>
    <row r="143" spans="17:30" x14ac:dyDescent="0.3">
      <c r="Q143" s="194"/>
      <c r="R143" s="194"/>
      <c r="S143" s="194"/>
      <c r="T143" s="194"/>
      <c r="U143" s="194"/>
      <c r="V143" s="194"/>
      <c r="W143" s="194"/>
      <c r="X143" s="194"/>
      <c r="Y143" s="194"/>
      <c r="Z143" s="194"/>
      <c r="AA143" s="194"/>
      <c r="AB143" s="194"/>
      <c r="AC143" s="194"/>
      <c r="AD143" s="194"/>
    </row>
    <row r="144" spans="17:30" x14ac:dyDescent="0.3">
      <c r="Q144" s="194"/>
      <c r="R144" s="194"/>
      <c r="S144" s="194"/>
      <c r="T144" s="194"/>
      <c r="U144" s="194"/>
      <c r="V144" s="194"/>
      <c r="W144" s="194"/>
      <c r="X144" s="194"/>
      <c r="Y144" s="194"/>
      <c r="Z144" s="194"/>
      <c r="AA144" s="194"/>
      <c r="AB144" s="194"/>
      <c r="AC144" s="194"/>
      <c r="AD144" s="194"/>
    </row>
    <row r="145" spans="17:30" x14ac:dyDescent="0.3">
      <c r="Q145" s="194"/>
      <c r="R145" s="194"/>
      <c r="S145" s="194"/>
      <c r="T145" s="194"/>
      <c r="U145" s="194"/>
      <c r="V145" s="194"/>
      <c r="W145" s="194"/>
      <c r="X145" s="194"/>
      <c r="Y145" s="194"/>
      <c r="Z145" s="194"/>
      <c r="AA145" s="194"/>
      <c r="AB145" s="194"/>
      <c r="AC145" s="194"/>
      <c r="AD145" s="194"/>
    </row>
    <row r="146" spans="17:30" x14ac:dyDescent="0.3">
      <c r="Q146" s="194"/>
      <c r="R146" s="194"/>
      <c r="S146" s="194"/>
      <c r="T146" s="194"/>
      <c r="U146" s="194"/>
      <c r="V146" s="194"/>
      <c r="W146" s="194"/>
      <c r="X146" s="194"/>
      <c r="Y146" s="194"/>
      <c r="Z146" s="194"/>
      <c r="AA146" s="194"/>
      <c r="AB146" s="194"/>
      <c r="AC146" s="194"/>
      <c r="AD146" s="194"/>
    </row>
    <row r="147" spans="17:30" x14ac:dyDescent="0.3">
      <c r="Q147" s="194"/>
      <c r="R147" s="194"/>
      <c r="S147" s="194"/>
      <c r="T147" s="194"/>
      <c r="U147" s="194"/>
      <c r="V147" s="194"/>
      <c r="W147" s="194"/>
      <c r="X147" s="194"/>
      <c r="Y147" s="194"/>
      <c r="Z147" s="194"/>
      <c r="AA147" s="194"/>
      <c r="AB147" s="194"/>
      <c r="AC147" s="194"/>
      <c r="AD147" s="194"/>
    </row>
    <row r="148" spans="17:30" x14ac:dyDescent="0.3">
      <c r="Q148" s="194"/>
      <c r="R148" s="194"/>
      <c r="S148" s="194"/>
      <c r="T148" s="194"/>
      <c r="U148" s="194"/>
      <c r="V148" s="194"/>
      <c r="W148" s="194"/>
      <c r="X148" s="194"/>
      <c r="Y148" s="194"/>
      <c r="Z148" s="194"/>
      <c r="AA148" s="194"/>
      <c r="AB148" s="194"/>
      <c r="AC148" s="194"/>
      <c r="AD148" s="194"/>
    </row>
    <row r="149" spans="17:30" x14ac:dyDescent="0.3">
      <c r="Q149" s="194"/>
      <c r="R149" s="194"/>
      <c r="S149" s="194"/>
      <c r="T149" s="194"/>
      <c r="U149" s="194"/>
      <c r="V149" s="194"/>
      <c r="W149" s="194"/>
      <c r="X149" s="194"/>
      <c r="Y149" s="194"/>
      <c r="Z149" s="194"/>
      <c r="AA149" s="194"/>
      <c r="AB149" s="194"/>
      <c r="AC149" s="194"/>
      <c r="AD149" s="194"/>
    </row>
    <row r="150" spans="17:30" x14ac:dyDescent="0.3">
      <c r="Q150" s="194"/>
      <c r="R150" s="194"/>
      <c r="S150" s="194"/>
      <c r="T150" s="194"/>
      <c r="U150" s="194"/>
      <c r="V150" s="194"/>
      <c r="W150" s="194"/>
      <c r="X150" s="194"/>
      <c r="Y150" s="194"/>
      <c r="Z150" s="194"/>
      <c r="AA150" s="194"/>
      <c r="AB150" s="194"/>
      <c r="AC150" s="194"/>
      <c r="AD150" s="194"/>
    </row>
    <row r="151" spans="17:30" x14ac:dyDescent="0.3">
      <c r="Q151" s="194"/>
      <c r="R151" s="194"/>
      <c r="S151" s="194"/>
      <c r="T151" s="194"/>
      <c r="U151" s="194"/>
      <c r="V151" s="194"/>
      <c r="W151" s="194"/>
      <c r="X151" s="194"/>
      <c r="Y151" s="194"/>
      <c r="Z151" s="194"/>
      <c r="AA151" s="194"/>
      <c r="AB151" s="194"/>
      <c r="AC151" s="194"/>
      <c r="AD151" s="194"/>
    </row>
    <row r="152" spans="17:30" x14ac:dyDescent="0.3">
      <c r="Q152" s="194"/>
      <c r="R152" s="194"/>
      <c r="S152" s="194"/>
      <c r="T152" s="194"/>
      <c r="U152" s="194"/>
      <c r="V152" s="194"/>
      <c r="W152" s="194"/>
      <c r="X152" s="194"/>
      <c r="Y152" s="194"/>
      <c r="Z152" s="194"/>
      <c r="AA152" s="194"/>
      <c r="AB152" s="194"/>
      <c r="AC152" s="194"/>
      <c r="AD152" s="194"/>
    </row>
    <row r="153" spans="17:30" x14ac:dyDescent="0.3">
      <c r="Q153" s="194"/>
      <c r="R153" s="194"/>
      <c r="S153" s="194"/>
      <c r="T153" s="194"/>
      <c r="U153" s="194"/>
      <c r="V153" s="194"/>
      <c r="W153" s="194"/>
      <c r="X153" s="194"/>
      <c r="Y153" s="194"/>
      <c r="Z153" s="194"/>
      <c r="AA153" s="194"/>
      <c r="AB153" s="194"/>
      <c r="AC153" s="194"/>
      <c r="AD153" s="194"/>
    </row>
    <row r="154" spans="17:30" x14ac:dyDescent="0.3">
      <c r="Q154" s="194"/>
      <c r="R154" s="194"/>
      <c r="S154" s="194"/>
      <c r="T154" s="194"/>
      <c r="U154" s="194"/>
      <c r="V154" s="194"/>
      <c r="W154" s="194"/>
      <c r="X154" s="194"/>
      <c r="Y154" s="194"/>
      <c r="Z154" s="194"/>
      <c r="AA154" s="194"/>
      <c r="AB154" s="194"/>
      <c r="AC154" s="194"/>
      <c r="AD154" s="194"/>
    </row>
    <row r="155" spans="17:30" x14ac:dyDescent="0.3">
      <c r="Q155" s="194"/>
      <c r="R155" s="194"/>
      <c r="S155" s="194"/>
      <c r="T155" s="194"/>
      <c r="U155" s="194"/>
      <c r="V155" s="194"/>
      <c r="W155" s="194"/>
      <c r="X155" s="194"/>
      <c r="Y155" s="194"/>
      <c r="Z155" s="194"/>
      <c r="AA155" s="194"/>
      <c r="AB155" s="194"/>
      <c r="AC155" s="194"/>
      <c r="AD155" s="194"/>
    </row>
    <row r="156" spans="17:30" x14ac:dyDescent="0.3">
      <c r="Q156" s="194"/>
      <c r="R156" s="194"/>
      <c r="S156" s="194"/>
      <c r="T156" s="194"/>
      <c r="U156" s="194"/>
      <c r="V156" s="194"/>
      <c r="W156" s="194"/>
      <c r="X156" s="194"/>
      <c r="Y156" s="194"/>
      <c r="Z156" s="194"/>
      <c r="AA156" s="194"/>
      <c r="AB156" s="194"/>
      <c r="AC156" s="194"/>
      <c r="AD156" s="194"/>
    </row>
    <row r="157" spans="17:30" x14ac:dyDescent="0.3">
      <c r="Q157" s="194"/>
      <c r="R157" s="194"/>
      <c r="S157" s="194"/>
      <c r="T157" s="194"/>
      <c r="U157" s="194"/>
      <c r="V157" s="194"/>
      <c r="W157" s="194"/>
      <c r="X157" s="194"/>
      <c r="Y157" s="194"/>
      <c r="Z157" s="194"/>
      <c r="AA157" s="194"/>
      <c r="AB157" s="194"/>
      <c r="AC157" s="194"/>
      <c r="AD157" s="194"/>
    </row>
    <row r="158" spans="17:30" x14ac:dyDescent="0.3">
      <c r="Q158" s="194"/>
      <c r="R158" s="194"/>
      <c r="S158" s="194"/>
      <c r="T158" s="194"/>
      <c r="U158" s="194"/>
      <c r="V158" s="194"/>
      <c r="W158" s="194"/>
      <c r="X158" s="194"/>
      <c r="Y158" s="194"/>
      <c r="Z158" s="194"/>
      <c r="AA158" s="194"/>
      <c r="AB158" s="194"/>
      <c r="AC158" s="194"/>
      <c r="AD158" s="194"/>
    </row>
    <row r="159" spans="17:30" x14ac:dyDescent="0.3">
      <c r="Q159" s="194"/>
      <c r="R159" s="194"/>
      <c r="S159" s="194"/>
      <c r="T159" s="194"/>
      <c r="U159" s="194"/>
      <c r="V159" s="194"/>
      <c r="W159" s="194"/>
      <c r="X159" s="194"/>
      <c r="Y159" s="194"/>
      <c r="Z159" s="194"/>
      <c r="AA159" s="194"/>
      <c r="AB159" s="194"/>
      <c r="AC159" s="194"/>
      <c r="AD159" s="194"/>
    </row>
    <row r="160" spans="17:30" x14ac:dyDescent="0.3">
      <c r="Q160" s="194"/>
      <c r="R160" s="194"/>
      <c r="S160" s="194"/>
      <c r="T160" s="194"/>
      <c r="U160" s="194"/>
      <c r="V160" s="194"/>
      <c r="W160" s="194"/>
      <c r="X160" s="194"/>
      <c r="Y160" s="194"/>
      <c r="Z160" s="194"/>
      <c r="AA160" s="194"/>
      <c r="AB160" s="194"/>
      <c r="AC160" s="194"/>
      <c r="AD160" s="194"/>
    </row>
    <row r="161" spans="17:30" x14ac:dyDescent="0.3">
      <c r="Q161" s="194"/>
      <c r="R161" s="194"/>
      <c r="S161" s="194"/>
      <c r="T161" s="194"/>
      <c r="U161" s="194"/>
      <c r="V161" s="194"/>
      <c r="W161" s="194"/>
      <c r="X161" s="194"/>
      <c r="Y161" s="194"/>
      <c r="Z161" s="194"/>
      <c r="AA161" s="194"/>
      <c r="AB161" s="194"/>
      <c r="AC161" s="194"/>
      <c r="AD161" s="194"/>
    </row>
    <row r="162" spans="17:30" x14ac:dyDescent="0.3">
      <c r="Q162" s="194"/>
      <c r="R162" s="194"/>
      <c r="S162" s="194"/>
      <c r="T162" s="194"/>
      <c r="U162" s="194"/>
      <c r="V162" s="194"/>
      <c r="W162" s="194"/>
      <c r="X162" s="194"/>
      <c r="Y162" s="194"/>
      <c r="Z162" s="194"/>
      <c r="AA162" s="194"/>
      <c r="AB162" s="194"/>
      <c r="AC162" s="194"/>
      <c r="AD162" s="194"/>
    </row>
    <row r="163" spans="17:30" x14ac:dyDescent="0.3">
      <c r="Q163" s="194"/>
      <c r="R163" s="194"/>
      <c r="S163" s="194"/>
      <c r="T163" s="194"/>
      <c r="U163" s="194"/>
      <c r="V163" s="194"/>
      <c r="W163" s="194"/>
      <c r="X163" s="194"/>
      <c r="Y163" s="194"/>
      <c r="Z163" s="194"/>
      <c r="AA163" s="194"/>
      <c r="AB163" s="194"/>
      <c r="AC163" s="194"/>
      <c r="AD163" s="194"/>
    </row>
    <row r="164" spans="17:30" x14ac:dyDescent="0.3">
      <c r="Q164" s="194"/>
      <c r="R164" s="194"/>
      <c r="S164" s="194"/>
      <c r="T164" s="194"/>
      <c r="U164" s="194"/>
      <c r="V164" s="194"/>
      <c r="W164" s="194"/>
      <c r="X164" s="194"/>
      <c r="Y164" s="194"/>
      <c r="Z164" s="194"/>
      <c r="AA164" s="194"/>
      <c r="AB164" s="194"/>
      <c r="AC164" s="194"/>
      <c r="AD164" s="194"/>
    </row>
    <row r="165" spans="17:30" x14ac:dyDescent="0.3">
      <c r="Q165" s="194"/>
      <c r="R165" s="194"/>
      <c r="S165" s="194"/>
      <c r="T165" s="194"/>
      <c r="U165" s="194"/>
      <c r="V165" s="194"/>
      <c r="W165" s="194"/>
      <c r="X165" s="194"/>
      <c r="Y165" s="194"/>
      <c r="Z165" s="194"/>
      <c r="AA165" s="194"/>
      <c r="AB165" s="194"/>
      <c r="AC165" s="194"/>
      <c r="AD165" s="194"/>
    </row>
    <row r="166" spans="17:30" x14ac:dyDescent="0.3">
      <c r="Q166" s="194"/>
      <c r="R166" s="194"/>
      <c r="S166" s="194"/>
      <c r="T166" s="194"/>
      <c r="U166" s="194"/>
      <c r="V166" s="194"/>
      <c r="W166" s="194"/>
      <c r="X166" s="194"/>
      <c r="Y166" s="194"/>
      <c r="Z166" s="194"/>
      <c r="AA166" s="194"/>
      <c r="AB166" s="194"/>
      <c r="AC166" s="194"/>
      <c r="AD166" s="194"/>
    </row>
    <row r="167" spans="17:30" x14ac:dyDescent="0.3">
      <c r="Q167" s="194"/>
      <c r="R167" s="194"/>
      <c r="S167" s="194"/>
      <c r="T167" s="194"/>
      <c r="U167" s="194"/>
      <c r="V167" s="194"/>
      <c r="W167" s="194"/>
      <c r="X167" s="194"/>
      <c r="Y167" s="194"/>
      <c r="Z167" s="194"/>
      <c r="AA167" s="194"/>
      <c r="AB167" s="194"/>
      <c r="AC167" s="194"/>
      <c r="AD167" s="194"/>
    </row>
    <row r="168" spans="17:30" x14ac:dyDescent="0.3">
      <c r="Q168" s="194"/>
      <c r="R168" s="194"/>
      <c r="S168" s="194"/>
      <c r="T168" s="194"/>
      <c r="U168" s="194"/>
      <c r="V168" s="194"/>
      <c r="W168" s="194"/>
      <c r="X168" s="194"/>
      <c r="Y168" s="194"/>
      <c r="Z168" s="194"/>
      <c r="AA168" s="194"/>
      <c r="AB168" s="194"/>
      <c r="AC168" s="194"/>
      <c r="AD168" s="194"/>
    </row>
    <row r="169" spans="17:30" x14ac:dyDescent="0.3">
      <c r="Q169" s="194"/>
      <c r="R169" s="194"/>
      <c r="S169" s="194"/>
      <c r="T169" s="194"/>
      <c r="U169" s="194"/>
      <c r="V169" s="194"/>
      <c r="W169" s="194"/>
      <c r="X169" s="194"/>
      <c r="Y169" s="194"/>
      <c r="Z169" s="194"/>
      <c r="AA169" s="194"/>
      <c r="AB169" s="194"/>
      <c r="AC169" s="194"/>
      <c r="AD169" s="194"/>
    </row>
    <row r="170" spans="17:30" x14ac:dyDescent="0.3">
      <c r="Q170" s="194"/>
      <c r="R170" s="194"/>
      <c r="S170" s="194"/>
      <c r="T170" s="194"/>
      <c r="U170" s="194"/>
      <c r="V170" s="194"/>
      <c r="W170" s="194"/>
      <c r="X170" s="194"/>
      <c r="Y170" s="194"/>
      <c r="Z170" s="194"/>
      <c r="AA170" s="194"/>
      <c r="AB170" s="194"/>
      <c r="AC170" s="194"/>
      <c r="AD170" s="194"/>
    </row>
    <row r="171" spans="17:30" x14ac:dyDescent="0.3">
      <c r="Q171" s="194"/>
      <c r="R171" s="194"/>
      <c r="S171" s="194"/>
      <c r="T171" s="194"/>
      <c r="U171" s="194"/>
      <c r="V171" s="194"/>
      <c r="W171" s="194"/>
      <c r="X171" s="194"/>
      <c r="Y171" s="194"/>
      <c r="Z171" s="194"/>
      <c r="AA171" s="194"/>
      <c r="AB171" s="194"/>
      <c r="AC171" s="194"/>
      <c r="AD171" s="194"/>
    </row>
    <row r="172" spans="17:30" x14ac:dyDescent="0.3">
      <c r="Q172" s="194"/>
      <c r="R172" s="194"/>
      <c r="S172" s="194"/>
      <c r="T172" s="194"/>
      <c r="U172" s="194"/>
      <c r="V172" s="194"/>
      <c r="W172" s="194"/>
      <c r="X172" s="194"/>
      <c r="Y172" s="194"/>
      <c r="Z172" s="194"/>
      <c r="AA172" s="194"/>
      <c r="AB172" s="194"/>
      <c r="AC172" s="194"/>
      <c r="AD172" s="194"/>
    </row>
    <row r="173" spans="17:30" x14ac:dyDescent="0.3">
      <c r="Q173" s="194"/>
      <c r="R173" s="194"/>
      <c r="S173" s="194"/>
      <c r="T173" s="194"/>
      <c r="U173" s="194"/>
      <c r="V173" s="194"/>
      <c r="W173" s="194"/>
      <c r="X173" s="194"/>
      <c r="Y173" s="194"/>
      <c r="Z173" s="194"/>
      <c r="AA173" s="194"/>
      <c r="AB173" s="194"/>
      <c r="AC173" s="194"/>
      <c r="AD173" s="194"/>
    </row>
    <row r="174" spans="17:30" x14ac:dyDescent="0.3">
      <c r="Q174" s="194"/>
      <c r="R174" s="194"/>
      <c r="S174" s="194"/>
      <c r="T174" s="194"/>
      <c r="U174" s="194"/>
      <c r="V174" s="194"/>
      <c r="W174" s="194"/>
      <c r="X174" s="194"/>
      <c r="Y174" s="194"/>
      <c r="Z174" s="194"/>
      <c r="AA174" s="194"/>
      <c r="AB174" s="194"/>
      <c r="AC174" s="194"/>
      <c r="AD174" s="194"/>
    </row>
    <row r="175" spans="17:30" x14ac:dyDescent="0.3">
      <c r="Q175" s="194"/>
      <c r="R175" s="194"/>
      <c r="S175" s="194"/>
      <c r="T175" s="194"/>
      <c r="U175" s="194"/>
      <c r="V175" s="194"/>
      <c r="W175" s="194"/>
      <c r="X175" s="194"/>
      <c r="Y175" s="194"/>
      <c r="Z175" s="194"/>
      <c r="AA175" s="194"/>
      <c r="AB175" s="194"/>
      <c r="AC175" s="194"/>
      <c r="AD175" s="194"/>
    </row>
    <row r="176" spans="17:30" x14ac:dyDescent="0.3">
      <c r="Q176" s="194"/>
      <c r="R176" s="194"/>
      <c r="S176" s="194"/>
      <c r="T176" s="194"/>
      <c r="U176" s="194"/>
      <c r="V176" s="194"/>
      <c r="W176" s="194"/>
      <c r="X176" s="194"/>
      <c r="Y176" s="194"/>
      <c r="Z176" s="194"/>
      <c r="AA176" s="194"/>
      <c r="AB176" s="194"/>
      <c r="AC176" s="194"/>
      <c r="AD176" s="194"/>
    </row>
    <row r="177" spans="17:30" x14ac:dyDescent="0.3">
      <c r="Q177" s="194"/>
      <c r="R177" s="194"/>
      <c r="S177" s="194"/>
      <c r="T177" s="194"/>
      <c r="U177" s="194"/>
      <c r="V177" s="194"/>
      <c r="W177" s="194"/>
      <c r="X177" s="194"/>
      <c r="Y177" s="194"/>
      <c r="Z177" s="194"/>
      <c r="AA177" s="194"/>
      <c r="AB177" s="194"/>
      <c r="AC177" s="194"/>
      <c r="AD177" s="194"/>
    </row>
    <row r="178" spans="17:30" x14ac:dyDescent="0.3">
      <c r="Q178" s="194"/>
      <c r="R178" s="194"/>
      <c r="S178" s="194"/>
      <c r="T178" s="194"/>
      <c r="U178" s="194"/>
      <c r="V178" s="194"/>
      <c r="W178" s="194"/>
      <c r="X178" s="194"/>
      <c r="Y178" s="194"/>
      <c r="Z178" s="194"/>
      <c r="AA178" s="194"/>
      <c r="AB178" s="194"/>
      <c r="AC178" s="194"/>
      <c r="AD178" s="194"/>
    </row>
    <row r="179" spans="17:30" x14ac:dyDescent="0.3">
      <c r="Q179" s="194"/>
      <c r="R179" s="194"/>
      <c r="S179" s="194"/>
      <c r="T179" s="194"/>
      <c r="U179" s="194"/>
      <c r="V179" s="194"/>
      <c r="W179" s="194"/>
      <c r="X179" s="194"/>
      <c r="Y179" s="194"/>
      <c r="Z179" s="194"/>
      <c r="AA179" s="194"/>
      <c r="AB179" s="194"/>
      <c r="AC179" s="194"/>
      <c r="AD179" s="194"/>
    </row>
    <row r="180" spans="17:30" x14ac:dyDescent="0.3">
      <c r="Q180" s="194"/>
      <c r="R180" s="194"/>
      <c r="S180" s="194"/>
      <c r="T180" s="194"/>
      <c r="U180" s="194"/>
      <c r="V180" s="194"/>
      <c r="W180" s="194"/>
      <c r="X180" s="194"/>
      <c r="Y180" s="194"/>
      <c r="Z180" s="194"/>
      <c r="AA180" s="194"/>
      <c r="AB180" s="194"/>
      <c r="AC180" s="194"/>
      <c r="AD180" s="194"/>
    </row>
    <row r="181" spans="17:30" x14ac:dyDescent="0.3">
      <c r="Q181" s="194"/>
      <c r="R181" s="194"/>
      <c r="S181" s="194"/>
      <c r="T181" s="194"/>
      <c r="U181" s="194"/>
      <c r="V181" s="194"/>
      <c r="W181" s="194"/>
      <c r="X181" s="194"/>
      <c r="Y181" s="194"/>
      <c r="Z181" s="194"/>
      <c r="AA181" s="194"/>
      <c r="AB181" s="194"/>
      <c r="AC181" s="194"/>
      <c r="AD181" s="194"/>
    </row>
    <row r="182" spans="17:30" x14ac:dyDescent="0.3">
      <c r="Q182" s="194"/>
      <c r="R182" s="194"/>
      <c r="S182" s="194"/>
      <c r="T182" s="194"/>
      <c r="U182" s="194"/>
      <c r="V182" s="194"/>
      <c r="W182" s="194"/>
      <c r="X182" s="194"/>
      <c r="Y182" s="194"/>
      <c r="Z182" s="194"/>
      <c r="AA182" s="194"/>
      <c r="AB182" s="194"/>
      <c r="AC182" s="194"/>
      <c r="AD182" s="194"/>
    </row>
    <row r="183" spans="17:30" x14ac:dyDescent="0.3">
      <c r="Q183" s="194"/>
      <c r="R183" s="194"/>
      <c r="S183" s="194"/>
      <c r="T183" s="194"/>
      <c r="U183" s="194"/>
      <c r="V183" s="194"/>
      <c r="W183" s="194"/>
      <c r="X183" s="194"/>
      <c r="Y183" s="194"/>
      <c r="Z183" s="194"/>
      <c r="AA183" s="194"/>
      <c r="AB183" s="194"/>
      <c r="AC183" s="194"/>
      <c r="AD183" s="194"/>
    </row>
    <row r="184" spans="17:30" x14ac:dyDescent="0.3">
      <c r="Q184" s="194"/>
      <c r="R184" s="194"/>
      <c r="S184" s="194"/>
      <c r="T184" s="194"/>
      <c r="U184" s="194"/>
      <c r="V184" s="194"/>
      <c r="W184" s="194"/>
      <c r="X184" s="194"/>
      <c r="Y184" s="194"/>
      <c r="Z184" s="194"/>
      <c r="AA184" s="194"/>
      <c r="AB184" s="194"/>
      <c r="AC184" s="194"/>
      <c r="AD184" s="194"/>
    </row>
    <row r="185" spans="17:30" x14ac:dyDescent="0.3">
      <c r="Q185" s="194"/>
      <c r="R185" s="194"/>
      <c r="S185" s="194"/>
      <c r="T185" s="194"/>
      <c r="U185" s="194"/>
      <c r="V185" s="194"/>
      <c r="W185" s="194"/>
      <c r="X185" s="194"/>
      <c r="Y185" s="194"/>
      <c r="Z185" s="194"/>
      <c r="AA185" s="194"/>
      <c r="AB185" s="194"/>
      <c r="AC185" s="194"/>
      <c r="AD185" s="194"/>
    </row>
    <row r="186" spans="17:30" x14ac:dyDescent="0.3">
      <c r="Q186" s="194"/>
      <c r="R186" s="194"/>
      <c r="S186" s="194"/>
      <c r="T186" s="194"/>
      <c r="U186" s="194"/>
      <c r="V186" s="194"/>
      <c r="W186" s="194"/>
      <c r="X186" s="194"/>
      <c r="Y186" s="194"/>
      <c r="Z186" s="194"/>
      <c r="AA186" s="194"/>
      <c r="AB186" s="194"/>
      <c r="AC186" s="194"/>
      <c r="AD186" s="194"/>
    </row>
    <row r="187" spans="17:30" x14ac:dyDescent="0.3">
      <c r="Q187" s="194"/>
      <c r="R187" s="194"/>
      <c r="S187" s="194"/>
      <c r="T187" s="194"/>
      <c r="U187" s="194"/>
      <c r="V187" s="194"/>
      <c r="W187" s="194"/>
      <c r="X187" s="194"/>
      <c r="Y187" s="194"/>
      <c r="Z187" s="194"/>
      <c r="AA187" s="194"/>
      <c r="AB187" s="194"/>
      <c r="AC187" s="194"/>
      <c r="AD187" s="194"/>
    </row>
    <row r="188" spans="17:30" x14ac:dyDescent="0.3">
      <c r="Q188" s="194"/>
      <c r="R188" s="194"/>
      <c r="S188" s="194"/>
      <c r="T188" s="194"/>
      <c r="U188" s="194"/>
      <c r="V188" s="194"/>
      <c r="W188" s="194"/>
      <c r="X188" s="194"/>
      <c r="Y188" s="194"/>
      <c r="Z188" s="194"/>
      <c r="AA188" s="194"/>
      <c r="AB188" s="194"/>
      <c r="AC188" s="194"/>
      <c r="AD188" s="194"/>
    </row>
    <row r="189" spans="17:30" x14ac:dyDescent="0.3">
      <c r="Q189" s="194"/>
      <c r="R189" s="194"/>
      <c r="S189" s="194"/>
      <c r="T189" s="194"/>
      <c r="U189" s="194"/>
      <c r="V189" s="194"/>
      <c r="W189" s="194"/>
      <c r="X189" s="194"/>
      <c r="Y189" s="194"/>
      <c r="Z189" s="194"/>
      <c r="AA189" s="194"/>
      <c r="AB189" s="194"/>
      <c r="AC189" s="194"/>
      <c r="AD189" s="194"/>
    </row>
    <row r="190" spans="17:30" x14ac:dyDescent="0.3">
      <c r="Q190" s="194"/>
      <c r="R190" s="194"/>
      <c r="S190" s="194"/>
      <c r="T190" s="194"/>
      <c r="U190" s="194"/>
      <c r="V190" s="194"/>
      <c r="W190" s="194"/>
      <c r="X190" s="194"/>
      <c r="Y190" s="194"/>
      <c r="Z190" s="194"/>
      <c r="AA190" s="194"/>
      <c r="AB190" s="194"/>
      <c r="AC190" s="194"/>
      <c r="AD190" s="194"/>
    </row>
    <row r="191" spans="17:30" x14ac:dyDescent="0.3">
      <c r="Q191" s="194"/>
      <c r="R191" s="194"/>
      <c r="S191" s="194"/>
      <c r="T191" s="194"/>
      <c r="U191" s="194"/>
      <c r="V191" s="194"/>
      <c r="W191" s="194"/>
      <c r="X191" s="194"/>
      <c r="Y191" s="194"/>
      <c r="Z191" s="194"/>
      <c r="AA191" s="194"/>
      <c r="AB191" s="194"/>
      <c r="AC191" s="194"/>
      <c r="AD191" s="194"/>
    </row>
    <row r="192" spans="17:30" x14ac:dyDescent="0.3">
      <c r="Q192" s="194"/>
      <c r="R192" s="194"/>
      <c r="S192" s="194"/>
      <c r="T192" s="194"/>
      <c r="U192" s="194"/>
      <c r="V192" s="194"/>
      <c r="W192" s="194"/>
      <c r="X192" s="194"/>
      <c r="Y192" s="194"/>
      <c r="Z192" s="194"/>
      <c r="AA192" s="194"/>
      <c r="AB192" s="194"/>
      <c r="AC192" s="194"/>
      <c r="AD192" s="194"/>
    </row>
    <row r="193" spans="17:30" x14ac:dyDescent="0.3">
      <c r="Q193" s="194"/>
      <c r="R193" s="194"/>
      <c r="S193" s="194"/>
      <c r="T193" s="194"/>
      <c r="U193" s="194"/>
      <c r="V193" s="194"/>
      <c r="W193" s="194"/>
      <c r="X193" s="194"/>
      <c r="Y193" s="194"/>
      <c r="Z193" s="194"/>
      <c r="AA193" s="194"/>
      <c r="AB193" s="194"/>
      <c r="AC193" s="194"/>
      <c r="AD193" s="194"/>
    </row>
    <row r="194" spans="17:30" x14ac:dyDescent="0.3">
      <c r="Q194" s="194"/>
      <c r="R194" s="194"/>
      <c r="S194" s="194"/>
      <c r="T194" s="194"/>
      <c r="U194" s="194"/>
      <c r="V194" s="194"/>
      <c r="W194" s="194"/>
      <c r="X194" s="194"/>
      <c r="Y194" s="194"/>
      <c r="Z194" s="194"/>
      <c r="AA194" s="194"/>
      <c r="AB194" s="194"/>
      <c r="AC194" s="194"/>
      <c r="AD194" s="194"/>
    </row>
    <row r="195" spans="17:30" x14ac:dyDescent="0.3">
      <c r="Q195" s="194"/>
      <c r="R195" s="194"/>
      <c r="S195" s="194"/>
      <c r="T195" s="194"/>
      <c r="U195" s="194"/>
      <c r="V195" s="194"/>
      <c r="W195" s="194"/>
      <c r="X195" s="194"/>
      <c r="Y195" s="194"/>
      <c r="Z195" s="194"/>
      <c r="AA195" s="194"/>
      <c r="AB195" s="194"/>
      <c r="AC195" s="194"/>
      <c r="AD195" s="194"/>
    </row>
    <row r="196" spans="17:30" x14ac:dyDescent="0.3">
      <c r="Q196" s="194"/>
      <c r="R196" s="194"/>
      <c r="S196" s="194"/>
      <c r="T196" s="194"/>
      <c r="U196" s="194"/>
      <c r="V196" s="194"/>
      <c r="W196" s="194"/>
      <c r="X196" s="194"/>
      <c r="Y196" s="194"/>
      <c r="Z196" s="194"/>
      <c r="AA196" s="194"/>
      <c r="AB196" s="194"/>
      <c r="AC196" s="194"/>
      <c r="AD196" s="194"/>
    </row>
    <row r="197" spans="17:30" x14ac:dyDescent="0.3">
      <c r="Q197" s="194"/>
      <c r="R197" s="194"/>
      <c r="S197" s="194"/>
      <c r="T197" s="194"/>
      <c r="U197" s="194"/>
      <c r="V197" s="194"/>
      <c r="W197" s="194"/>
      <c r="X197" s="194"/>
      <c r="Y197" s="194"/>
      <c r="Z197" s="194"/>
      <c r="AA197" s="194"/>
      <c r="AB197" s="194"/>
      <c r="AC197" s="194"/>
      <c r="AD197" s="194"/>
    </row>
    <row r="198" spans="17:30" x14ac:dyDescent="0.3">
      <c r="Q198" s="194"/>
      <c r="R198" s="194"/>
      <c r="S198" s="194"/>
      <c r="T198" s="194"/>
      <c r="U198" s="194"/>
      <c r="V198" s="194"/>
      <c r="W198" s="194"/>
      <c r="X198" s="194"/>
      <c r="Y198" s="194"/>
      <c r="Z198" s="194"/>
      <c r="AA198" s="194"/>
      <c r="AB198" s="194"/>
      <c r="AC198" s="194"/>
      <c r="AD198" s="194"/>
    </row>
    <row r="199" spans="17:30" x14ac:dyDescent="0.3">
      <c r="Q199" s="194"/>
      <c r="R199" s="194"/>
      <c r="S199" s="194"/>
      <c r="T199" s="194"/>
      <c r="U199" s="194"/>
      <c r="V199" s="194"/>
      <c r="W199" s="194"/>
      <c r="X199" s="194"/>
      <c r="Y199" s="194"/>
      <c r="Z199" s="194"/>
      <c r="AA199" s="194"/>
      <c r="AB199" s="194"/>
      <c r="AC199" s="194"/>
      <c r="AD199" s="194"/>
    </row>
    <row r="200" spans="17:30" x14ac:dyDescent="0.3">
      <c r="Q200" s="194"/>
      <c r="R200" s="194"/>
      <c r="S200" s="194"/>
      <c r="T200" s="194"/>
      <c r="U200" s="194"/>
      <c r="V200" s="194"/>
      <c r="W200" s="194"/>
      <c r="X200" s="194"/>
      <c r="Y200" s="194"/>
      <c r="Z200" s="194"/>
      <c r="AA200" s="194"/>
      <c r="AB200" s="194"/>
      <c r="AC200" s="194"/>
      <c r="AD200" s="194"/>
    </row>
    <row r="201" spans="17:30" x14ac:dyDescent="0.3">
      <c r="Q201" s="194"/>
      <c r="R201" s="194"/>
      <c r="S201" s="194"/>
      <c r="T201" s="194"/>
      <c r="U201" s="194"/>
      <c r="V201" s="194"/>
      <c r="W201" s="194"/>
      <c r="X201" s="194"/>
      <c r="Y201" s="194"/>
      <c r="Z201" s="194"/>
      <c r="AA201" s="194"/>
      <c r="AB201" s="194"/>
      <c r="AC201" s="194"/>
      <c r="AD201" s="194"/>
    </row>
    <row r="202" spans="17:30" x14ac:dyDescent="0.3">
      <c r="Q202" s="194"/>
      <c r="R202" s="194"/>
      <c r="S202" s="194"/>
      <c r="T202" s="194"/>
      <c r="U202" s="194"/>
      <c r="V202" s="194"/>
      <c r="W202" s="194"/>
      <c r="X202" s="194"/>
      <c r="Y202" s="194"/>
      <c r="Z202" s="194"/>
      <c r="AA202" s="194"/>
      <c r="AB202" s="194"/>
      <c r="AC202" s="194"/>
      <c r="AD202" s="194"/>
    </row>
    <row r="203" spans="17:30" x14ac:dyDescent="0.3">
      <c r="Q203" s="194"/>
      <c r="R203" s="194"/>
      <c r="S203" s="194"/>
      <c r="T203" s="194"/>
      <c r="U203" s="194"/>
      <c r="V203" s="194"/>
      <c r="W203" s="194"/>
      <c r="X203" s="194"/>
      <c r="Y203" s="194"/>
      <c r="Z203" s="194"/>
      <c r="AA203" s="194"/>
      <c r="AB203" s="194"/>
      <c r="AC203" s="194"/>
      <c r="AD203" s="194"/>
    </row>
    <row r="204" spans="17:30" x14ac:dyDescent="0.3">
      <c r="Q204" s="194"/>
      <c r="R204" s="194"/>
      <c r="S204" s="194"/>
      <c r="T204" s="194"/>
      <c r="U204" s="194"/>
      <c r="V204" s="194"/>
      <c r="W204" s="194"/>
      <c r="X204" s="194"/>
      <c r="Y204" s="194"/>
      <c r="Z204" s="194"/>
      <c r="AA204" s="194"/>
      <c r="AB204" s="194"/>
      <c r="AC204" s="194"/>
      <c r="AD204" s="194"/>
    </row>
    <row r="205" spans="17:30" x14ac:dyDescent="0.3">
      <c r="Q205" s="194"/>
      <c r="R205" s="194"/>
      <c r="S205" s="194"/>
      <c r="T205" s="194"/>
      <c r="U205" s="194"/>
      <c r="V205" s="194"/>
      <c r="W205" s="194"/>
      <c r="X205" s="194"/>
      <c r="Y205" s="194"/>
      <c r="Z205" s="194"/>
      <c r="AA205" s="194"/>
      <c r="AB205" s="194"/>
      <c r="AC205" s="194"/>
      <c r="AD205" s="194"/>
    </row>
    <row r="206" spans="17:30" x14ac:dyDescent="0.3">
      <c r="Q206" s="194"/>
      <c r="R206" s="194"/>
      <c r="S206" s="194"/>
      <c r="T206" s="194"/>
      <c r="U206" s="194"/>
      <c r="V206" s="194"/>
      <c r="W206" s="194"/>
      <c r="X206" s="194"/>
      <c r="Y206" s="194"/>
      <c r="Z206" s="194"/>
      <c r="AA206" s="194"/>
      <c r="AB206" s="194"/>
      <c r="AC206" s="194"/>
      <c r="AD206" s="194"/>
    </row>
    <row r="207" spans="17:30" x14ac:dyDescent="0.3">
      <c r="Q207" s="194"/>
      <c r="R207" s="194"/>
      <c r="S207" s="194"/>
      <c r="T207" s="194"/>
      <c r="U207" s="194"/>
      <c r="V207" s="194"/>
      <c r="W207" s="194"/>
      <c r="X207" s="194"/>
      <c r="Y207" s="194"/>
      <c r="Z207" s="194"/>
      <c r="AA207" s="194"/>
      <c r="AB207" s="194"/>
      <c r="AC207" s="194"/>
      <c r="AD207" s="194"/>
    </row>
    <row r="208" spans="17:30" x14ac:dyDescent="0.3">
      <c r="Q208" s="194"/>
      <c r="R208" s="194"/>
      <c r="S208" s="194"/>
      <c r="T208" s="194"/>
      <c r="U208" s="194"/>
      <c r="V208" s="194"/>
      <c r="W208" s="194"/>
      <c r="X208" s="194"/>
      <c r="Y208" s="194"/>
      <c r="Z208" s="194"/>
      <c r="AA208" s="194"/>
      <c r="AB208" s="194"/>
      <c r="AC208" s="194"/>
      <c r="AD208" s="194"/>
    </row>
    <row r="209" spans="17:30" x14ac:dyDescent="0.3">
      <c r="Q209" s="194"/>
      <c r="R209" s="194"/>
      <c r="S209" s="194"/>
      <c r="T209" s="194"/>
      <c r="U209" s="194"/>
      <c r="V209" s="194"/>
      <c r="W209" s="194"/>
      <c r="X209" s="194"/>
      <c r="Y209" s="194"/>
      <c r="Z209" s="194"/>
      <c r="AA209" s="194"/>
      <c r="AB209" s="194"/>
      <c r="AC209" s="194"/>
      <c r="AD209" s="194"/>
    </row>
    <row r="210" spans="17:30" x14ac:dyDescent="0.3">
      <c r="Q210" s="194"/>
      <c r="R210" s="194"/>
      <c r="S210" s="194"/>
      <c r="T210" s="194"/>
      <c r="U210" s="194"/>
      <c r="V210" s="194"/>
      <c r="W210" s="194"/>
      <c r="X210" s="194"/>
      <c r="Y210" s="194"/>
      <c r="Z210" s="194"/>
      <c r="AA210" s="194"/>
      <c r="AB210" s="194"/>
      <c r="AC210" s="194"/>
      <c r="AD210" s="194"/>
    </row>
    <row r="211" spans="17:30" x14ac:dyDescent="0.3">
      <c r="Q211" s="194"/>
      <c r="R211" s="194"/>
      <c r="S211" s="194"/>
      <c r="T211" s="194"/>
      <c r="U211" s="194"/>
      <c r="V211" s="194"/>
      <c r="W211" s="194"/>
      <c r="X211" s="194"/>
      <c r="Y211" s="194"/>
      <c r="Z211" s="194"/>
      <c r="AA211" s="194"/>
      <c r="AB211" s="194"/>
      <c r="AC211" s="194"/>
      <c r="AD211" s="194"/>
    </row>
    <row r="212" spans="17:30" x14ac:dyDescent="0.3">
      <c r="Q212" s="194"/>
      <c r="R212" s="194"/>
      <c r="S212" s="194"/>
      <c r="T212" s="194"/>
      <c r="U212" s="194"/>
      <c r="V212" s="194"/>
      <c r="W212" s="194"/>
      <c r="X212" s="194"/>
      <c r="Y212" s="194"/>
      <c r="Z212" s="194"/>
      <c r="AA212" s="194"/>
      <c r="AB212" s="194"/>
      <c r="AC212" s="194"/>
      <c r="AD212" s="194"/>
    </row>
    <row r="213" spans="17:30" x14ac:dyDescent="0.3">
      <c r="Q213" s="194"/>
      <c r="R213" s="194"/>
      <c r="S213" s="194"/>
      <c r="T213" s="194"/>
      <c r="U213" s="194"/>
      <c r="V213" s="194"/>
      <c r="W213" s="194"/>
      <c r="X213" s="194"/>
      <c r="Y213" s="194"/>
      <c r="Z213" s="194"/>
      <c r="AA213" s="194"/>
      <c r="AB213" s="194"/>
      <c r="AC213" s="194"/>
      <c r="AD213" s="194"/>
    </row>
    <row r="214" spans="17:30" x14ac:dyDescent="0.3">
      <c r="Q214" s="194"/>
      <c r="R214" s="194"/>
      <c r="S214" s="194"/>
      <c r="T214" s="194"/>
      <c r="U214" s="194"/>
      <c r="V214" s="194"/>
      <c r="W214" s="194"/>
      <c r="X214" s="194"/>
      <c r="Y214" s="194"/>
      <c r="Z214" s="194"/>
      <c r="AA214" s="194"/>
      <c r="AB214" s="194"/>
      <c r="AC214" s="194"/>
      <c r="AD214" s="194"/>
    </row>
    <row r="215" spans="17:30" x14ac:dyDescent="0.3">
      <c r="Q215" s="194"/>
      <c r="R215" s="194"/>
      <c r="S215" s="194"/>
      <c r="T215" s="194"/>
      <c r="U215" s="194"/>
      <c r="V215" s="194"/>
      <c r="W215" s="194"/>
      <c r="X215" s="194"/>
      <c r="Y215" s="194"/>
      <c r="Z215" s="194"/>
      <c r="AA215" s="194"/>
      <c r="AB215" s="194"/>
      <c r="AC215" s="194"/>
      <c r="AD215" s="194"/>
    </row>
    <row r="216" spans="17:30" x14ac:dyDescent="0.3">
      <c r="Q216" s="194"/>
      <c r="R216" s="194"/>
      <c r="S216" s="194"/>
      <c r="T216" s="194"/>
      <c r="U216" s="194"/>
      <c r="V216" s="194"/>
      <c r="W216" s="194"/>
      <c r="X216" s="194"/>
      <c r="Y216" s="194"/>
      <c r="Z216" s="194"/>
      <c r="AA216" s="194"/>
      <c r="AB216" s="194"/>
      <c r="AC216" s="194"/>
      <c r="AD216" s="194"/>
    </row>
    <row r="217" spans="17:30" x14ac:dyDescent="0.3">
      <c r="Q217" s="194"/>
      <c r="R217" s="194"/>
      <c r="S217" s="194"/>
      <c r="T217" s="194"/>
      <c r="U217" s="194"/>
      <c r="V217" s="194"/>
      <c r="W217" s="194"/>
      <c r="X217" s="194"/>
      <c r="Y217" s="194"/>
      <c r="Z217" s="194"/>
      <c r="AA217" s="194"/>
      <c r="AB217" s="194"/>
      <c r="AC217" s="194"/>
      <c r="AD217" s="194"/>
    </row>
    <row r="218" spans="17:30" x14ac:dyDescent="0.3">
      <c r="Q218" s="194"/>
      <c r="R218" s="194"/>
      <c r="S218" s="194"/>
      <c r="T218" s="194"/>
      <c r="U218" s="194"/>
      <c r="V218" s="194"/>
      <c r="W218" s="194"/>
      <c r="X218" s="194"/>
      <c r="Y218" s="194"/>
      <c r="Z218" s="194"/>
      <c r="AA218" s="194"/>
      <c r="AB218" s="194"/>
      <c r="AC218" s="194"/>
      <c r="AD218" s="194"/>
    </row>
    <row r="219" spans="17:30" x14ac:dyDescent="0.3">
      <c r="Q219" s="194"/>
      <c r="R219" s="194"/>
      <c r="S219" s="194"/>
      <c r="T219" s="194"/>
      <c r="U219" s="194"/>
      <c r="V219" s="194"/>
      <c r="W219" s="194"/>
      <c r="X219" s="194"/>
      <c r="Y219" s="194"/>
      <c r="Z219" s="194"/>
      <c r="AA219" s="194"/>
      <c r="AB219" s="194"/>
      <c r="AC219" s="194"/>
      <c r="AD219" s="194"/>
    </row>
    <row r="220" spans="17:30" x14ac:dyDescent="0.3">
      <c r="Q220" s="194"/>
      <c r="R220" s="194"/>
      <c r="S220" s="194"/>
      <c r="T220" s="194"/>
      <c r="U220" s="194"/>
      <c r="V220" s="194"/>
      <c r="W220" s="194"/>
      <c r="X220" s="194"/>
      <c r="Y220" s="194"/>
      <c r="Z220" s="194"/>
      <c r="AA220" s="194"/>
      <c r="AB220" s="194"/>
      <c r="AC220" s="194"/>
      <c r="AD220" s="194"/>
    </row>
    <row r="221" spans="17:30" x14ac:dyDescent="0.3">
      <c r="Q221" s="194"/>
      <c r="R221" s="194"/>
      <c r="S221" s="194"/>
      <c r="T221" s="194"/>
      <c r="U221" s="194"/>
      <c r="V221" s="194"/>
      <c r="W221" s="194"/>
      <c r="X221" s="194"/>
      <c r="Y221" s="194"/>
      <c r="Z221" s="194"/>
      <c r="AA221" s="194"/>
      <c r="AB221" s="194"/>
      <c r="AC221" s="194"/>
      <c r="AD221" s="194"/>
    </row>
    <row r="222" spans="17:30" x14ac:dyDescent="0.3">
      <c r="Q222" s="194"/>
      <c r="R222" s="194"/>
      <c r="S222" s="194"/>
      <c r="T222" s="194"/>
      <c r="U222" s="194"/>
      <c r="V222" s="194"/>
      <c r="W222" s="194"/>
      <c r="X222" s="194"/>
      <c r="Y222" s="194"/>
      <c r="Z222" s="194"/>
      <c r="AA222" s="194"/>
      <c r="AB222" s="194"/>
      <c r="AC222" s="194"/>
      <c r="AD222" s="194"/>
    </row>
    <row r="223" spans="17:30" x14ac:dyDescent="0.3">
      <c r="Q223" s="194"/>
      <c r="R223" s="194"/>
      <c r="S223" s="194"/>
      <c r="T223" s="194"/>
      <c r="U223" s="194"/>
      <c r="V223" s="194"/>
      <c r="W223" s="194"/>
      <c r="X223" s="194"/>
      <c r="Y223" s="194"/>
      <c r="Z223" s="194"/>
      <c r="AA223" s="194"/>
      <c r="AB223" s="194"/>
      <c r="AC223" s="194"/>
      <c r="AD223" s="194"/>
    </row>
    <row r="224" spans="17:30" x14ac:dyDescent="0.3">
      <c r="Q224" s="194"/>
      <c r="R224" s="194"/>
      <c r="S224" s="194"/>
      <c r="T224" s="194"/>
      <c r="U224" s="194"/>
      <c r="V224" s="194"/>
      <c r="W224" s="194"/>
      <c r="X224" s="194"/>
      <c r="Y224" s="194"/>
      <c r="Z224" s="194"/>
      <c r="AA224" s="194"/>
      <c r="AB224" s="194"/>
      <c r="AC224" s="194"/>
      <c r="AD224" s="194"/>
    </row>
    <row r="225" spans="17:30" x14ac:dyDescent="0.3">
      <c r="Q225" s="194"/>
      <c r="R225" s="194"/>
      <c r="S225" s="194"/>
      <c r="T225" s="194"/>
      <c r="U225" s="194"/>
      <c r="V225" s="194"/>
      <c r="W225" s="194"/>
      <c r="X225" s="194"/>
      <c r="Y225" s="194"/>
      <c r="Z225" s="194"/>
      <c r="AA225" s="194"/>
      <c r="AB225" s="194"/>
      <c r="AC225" s="194"/>
      <c r="AD225" s="194"/>
    </row>
    <row r="226" spans="17:30" x14ac:dyDescent="0.3">
      <c r="Q226" s="194"/>
      <c r="R226" s="194"/>
      <c r="S226" s="194"/>
      <c r="T226" s="194"/>
      <c r="U226" s="194"/>
      <c r="V226" s="194"/>
      <c r="W226" s="194"/>
      <c r="X226" s="194"/>
      <c r="Y226" s="194"/>
      <c r="Z226" s="194"/>
      <c r="AA226" s="194"/>
      <c r="AB226" s="194"/>
      <c r="AC226" s="194"/>
      <c r="AD226" s="194"/>
    </row>
    <row r="227" spans="17:30" x14ac:dyDescent="0.3">
      <c r="Q227" s="194"/>
      <c r="R227" s="194"/>
      <c r="S227" s="194"/>
      <c r="T227" s="194"/>
      <c r="U227" s="194"/>
      <c r="V227" s="194"/>
      <c r="W227" s="194"/>
      <c r="X227" s="194"/>
      <c r="Y227" s="194"/>
      <c r="Z227" s="194"/>
      <c r="AA227" s="194"/>
      <c r="AB227" s="194"/>
      <c r="AC227" s="194"/>
      <c r="AD227" s="194"/>
    </row>
    <row r="228" spans="17:30" x14ac:dyDescent="0.3">
      <c r="Q228" s="194"/>
      <c r="R228" s="194"/>
      <c r="S228" s="194"/>
      <c r="T228" s="194"/>
      <c r="U228" s="194"/>
      <c r="V228" s="194"/>
      <c r="W228" s="194"/>
      <c r="X228" s="194"/>
      <c r="Y228" s="194"/>
      <c r="Z228" s="194"/>
      <c r="AA228" s="194"/>
      <c r="AB228" s="194"/>
      <c r="AC228" s="194"/>
      <c r="AD228" s="194"/>
    </row>
    <row r="229" spans="17:30" x14ac:dyDescent="0.3">
      <c r="Q229" s="194"/>
      <c r="R229" s="194"/>
      <c r="S229" s="194"/>
      <c r="T229" s="194"/>
      <c r="U229" s="194"/>
      <c r="V229" s="194"/>
      <c r="W229" s="194"/>
      <c r="X229" s="194"/>
      <c r="Y229" s="194"/>
      <c r="Z229" s="194"/>
      <c r="AA229" s="194"/>
      <c r="AB229" s="194"/>
      <c r="AC229" s="194"/>
      <c r="AD229" s="194"/>
    </row>
    <row r="230" spans="17:30" x14ac:dyDescent="0.3">
      <c r="Q230" s="194"/>
      <c r="R230" s="194"/>
      <c r="S230" s="194"/>
      <c r="T230" s="194"/>
      <c r="U230" s="194"/>
      <c r="V230" s="194"/>
      <c r="W230" s="194"/>
      <c r="X230" s="194"/>
      <c r="Y230" s="194"/>
      <c r="Z230" s="194"/>
      <c r="AA230" s="194"/>
      <c r="AB230" s="194"/>
      <c r="AC230" s="194"/>
      <c r="AD230" s="194"/>
    </row>
    <row r="231" spans="17:30" x14ac:dyDescent="0.3">
      <c r="Q231" s="194"/>
      <c r="R231" s="194"/>
      <c r="S231" s="194"/>
      <c r="T231" s="194"/>
      <c r="U231" s="194"/>
      <c r="V231" s="194"/>
      <c r="W231" s="194"/>
      <c r="X231" s="194"/>
      <c r="Y231" s="194"/>
      <c r="Z231" s="194"/>
      <c r="AA231" s="194"/>
      <c r="AB231" s="194"/>
      <c r="AC231" s="194"/>
      <c r="AD231" s="194"/>
    </row>
    <row r="232" spans="17:30" x14ac:dyDescent="0.3">
      <c r="Q232" s="194"/>
      <c r="R232" s="194"/>
      <c r="S232" s="194"/>
      <c r="T232" s="194"/>
      <c r="U232" s="194"/>
      <c r="V232" s="194"/>
      <c r="W232" s="194"/>
      <c r="X232" s="194"/>
      <c r="Y232" s="194"/>
      <c r="Z232" s="194"/>
      <c r="AA232" s="194"/>
      <c r="AB232" s="194"/>
      <c r="AC232" s="194"/>
      <c r="AD232" s="194"/>
    </row>
    <row r="233" spans="17:30" x14ac:dyDescent="0.3">
      <c r="Q233" s="194"/>
      <c r="R233" s="194"/>
      <c r="S233" s="194"/>
      <c r="T233" s="194"/>
      <c r="U233" s="194"/>
      <c r="V233" s="194"/>
      <c r="W233" s="194"/>
      <c r="X233" s="194"/>
      <c r="Y233" s="194"/>
      <c r="Z233" s="194"/>
      <c r="AA233" s="194"/>
      <c r="AB233" s="194"/>
      <c r="AC233" s="194"/>
      <c r="AD233" s="194"/>
    </row>
    <row r="234" spans="17:30" x14ac:dyDescent="0.3">
      <c r="Q234" s="194"/>
      <c r="R234" s="194"/>
      <c r="S234" s="194"/>
      <c r="T234" s="194"/>
      <c r="U234" s="194"/>
      <c r="V234" s="194"/>
      <c r="W234" s="194"/>
      <c r="X234" s="194"/>
      <c r="Y234" s="194"/>
      <c r="Z234" s="194"/>
      <c r="AA234" s="194"/>
      <c r="AB234" s="194"/>
      <c r="AC234" s="194"/>
      <c r="AD234" s="194"/>
    </row>
    <row r="235" spans="17:30" x14ac:dyDescent="0.3">
      <c r="Q235" s="194"/>
      <c r="R235" s="194"/>
      <c r="S235" s="194"/>
      <c r="T235" s="194"/>
      <c r="U235" s="194"/>
      <c r="V235" s="194"/>
      <c r="W235" s="194"/>
      <c r="X235" s="194"/>
      <c r="Y235" s="194"/>
      <c r="Z235" s="194"/>
      <c r="AA235" s="194"/>
      <c r="AB235" s="194"/>
      <c r="AC235" s="194"/>
      <c r="AD235" s="194"/>
    </row>
    <row r="236" spans="17:30" x14ac:dyDescent="0.3">
      <c r="Q236" s="194"/>
      <c r="R236" s="194"/>
      <c r="S236" s="194"/>
      <c r="T236" s="194"/>
      <c r="U236" s="194"/>
      <c r="V236" s="194"/>
      <c r="W236" s="194"/>
      <c r="X236" s="194"/>
      <c r="Y236" s="194"/>
      <c r="Z236" s="194"/>
      <c r="AA236" s="194"/>
      <c r="AB236" s="194"/>
      <c r="AC236" s="194"/>
      <c r="AD236" s="194"/>
    </row>
    <row r="237" spans="17:30" x14ac:dyDescent="0.3">
      <c r="Q237" s="194"/>
      <c r="R237" s="194"/>
      <c r="S237" s="194"/>
      <c r="T237" s="194"/>
      <c r="U237" s="194"/>
      <c r="V237" s="194"/>
      <c r="W237" s="194"/>
      <c r="X237" s="194"/>
      <c r="Y237" s="194"/>
      <c r="Z237" s="194"/>
      <c r="AA237" s="194"/>
      <c r="AB237" s="194"/>
      <c r="AC237" s="194"/>
      <c r="AD237" s="194"/>
    </row>
    <row r="238" spans="17:30" x14ac:dyDescent="0.3">
      <c r="Q238" s="194"/>
      <c r="R238" s="194"/>
      <c r="S238" s="194"/>
      <c r="T238" s="194"/>
      <c r="U238" s="194"/>
      <c r="V238" s="194"/>
      <c r="W238" s="194"/>
      <c r="X238" s="194"/>
      <c r="Y238" s="194"/>
      <c r="Z238" s="194"/>
      <c r="AA238" s="194"/>
      <c r="AB238" s="194"/>
      <c r="AC238" s="194"/>
      <c r="AD238" s="194"/>
    </row>
    <row r="239" spans="17:30" x14ac:dyDescent="0.3">
      <c r="Q239" s="194"/>
      <c r="R239" s="194"/>
      <c r="S239" s="194"/>
      <c r="T239" s="194"/>
      <c r="U239" s="194"/>
      <c r="V239" s="194"/>
      <c r="W239" s="194"/>
      <c r="X239" s="194"/>
      <c r="Y239" s="194"/>
      <c r="Z239" s="194"/>
      <c r="AA239" s="194"/>
      <c r="AB239" s="194"/>
      <c r="AC239" s="194"/>
      <c r="AD239" s="194"/>
    </row>
    <row r="240" spans="17:30" x14ac:dyDescent="0.3">
      <c r="Q240" s="194"/>
      <c r="R240" s="194"/>
      <c r="S240" s="194"/>
      <c r="T240" s="194"/>
      <c r="U240" s="194"/>
      <c r="V240" s="194"/>
      <c r="W240" s="194"/>
      <c r="X240" s="194"/>
      <c r="Y240" s="194"/>
      <c r="Z240" s="194"/>
      <c r="AA240" s="194"/>
      <c r="AB240" s="194"/>
      <c r="AC240" s="194"/>
      <c r="AD240" s="194"/>
    </row>
    <row r="241" spans="17:30" x14ac:dyDescent="0.3">
      <c r="Q241" s="194"/>
      <c r="R241" s="194"/>
      <c r="S241" s="194"/>
      <c r="T241" s="194"/>
      <c r="U241" s="194"/>
      <c r="V241" s="194"/>
      <c r="W241" s="194"/>
      <c r="X241" s="194"/>
      <c r="Y241" s="194"/>
      <c r="Z241" s="194"/>
      <c r="AA241" s="194"/>
      <c r="AB241" s="194"/>
      <c r="AC241" s="194"/>
      <c r="AD241" s="194"/>
    </row>
    <row r="242" spans="17:30" x14ac:dyDescent="0.3">
      <c r="Q242" s="194"/>
      <c r="R242" s="194"/>
      <c r="S242" s="194"/>
      <c r="T242" s="194"/>
      <c r="U242" s="194"/>
      <c r="V242" s="194"/>
      <c r="W242" s="194"/>
      <c r="X242" s="194"/>
      <c r="Y242" s="194"/>
      <c r="Z242" s="194"/>
      <c r="AA242" s="194"/>
      <c r="AB242" s="194"/>
      <c r="AC242" s="194"/>
      <c r="AD242" s="194"/>
    </row>
    <row r="243" spans="17:30" x14ac:dyDescent="0.3">
      <c r="Q243" s="194"/>
      <c r="R243" s="194"/>
      <c r="S243" s="194"/>
      <c r="T243" s="194"/>
      <c r="U243" s="194"/>
      <c r="V243" s="194"/>
      <c r="W243" s="194"/>
      <c r="X243" s="194"/>
      <c r="Y243" s="194"/>
      <c r="Z243" s="194"/>
      <c r="AA243" s="194"/>
      <c r="AB243" s="194"/>
      <c r="AC243" s="194"/>
      <c r="AD243" s="194"/>
    </row>
    <row r="244" spans="17:30" x14ac:dyDescent="0.3">
      <c r="Q244" s="194"/>
      <c r="R244" s="194"/>
      <c r="S244" s="194"/>
      <c r="T244" s="194"/>
      <c r="U244" s="194"/>
      <c r="V244" s="194"/>
      <c r="W244" s="194"/>
      <c r="X244" s="194"/>
      <c r="Y244" s="194"/>
      <c r="Z244" s="194"/>
      <c r="AA244" s="194"/>
      <c r="AB244" s="194"/>
      <c r="AC244" s="194"/>
      <c r="AD244" s="194"/>
    </row>
    <row r="245" spans="17:30" x14ac:dyDescent="0.3">
      <c r="Q245" s="194"/>
      <c r="R245" s="194"/>
      <c r="S245" s="194"/>
      <c r="T245" s="194"/>
      <c r="U245" s="194"/>
      <c r="V245" s="194"/>
      <c r="W245" s="194"/>
      <c r="X245" s="194"/>
      <c r="Y245" s="194"/>
      <c r="Z245" s="194"/>
      <c r="AA245" s="194"/>
      <c r="AB245" s="194"/>
      <c r="AC245" s="194"/>
      <c r="AD245" s="194"/>
    </row>
    <row r="246" spans="17:30" x14ac:dyDescent="0.3">
      <c r="Q246" s="194"/>
      <c r="R246" s="194"/>
      <c r="S246" s="194"/>
      <c r="T246" s="194"/>
      <c r="U246" s="194"/>
      <c r="V246" s="194"/>
      <c r="W246" s="194"/>
      <c r="X246" s="194"/>
      <c r="Y246" s="194"/>
      <c r="Z246" s="194"/>
      <c r="AA246" s="194"/>
      <c r="AB246" s="194"/>
      <c r="AC246" s="194"/>
      <c r="AD246" s="194"/>
    </row>
    <row r="247" spans="17:30" x14ac:dyDescent="0.3">
      <c r="Q247" s="194"/>
      <c r="R247" s="194"/>
      <c r="S247" s="194"/>
      <c r="T247" s="194"/>
      <c r="U247" s="194"/>
      <c r="V247" s="194"/>
      <c r="W247" s="194"/>
      <c r="X247" s="194"/>
      <c r="Y247" s="194"/>
      <c r="Z247" s="194"/>
      <c r="AA247" s="194"/>
      <c r="AB247" s="194"/>
      <c r="AC247" s="194"/>
      <c r="AD247" s="194"/>
    </row>
    <row r="248" spans="17:30" x14ac:dyDescent="0.3">
      <c r="Q248" s="194"/>
      <c r="R248" s="194"/>
      <c r="S248" s="194"/>
      <c r="T248" s="194"/>
      <c r="U248" s="194"/>
      <c r="V248" s="194"/>
      <c r="W248" s="194"/>
      <c r="X248" s="194"/>
      <c r="Y248" s="194"/>
      <c r="Z248" s="194"/>
      <c r="AA248" s="194"/>
      <c r="AB248" s="194"/>
      <c r="AC248" s="194"/>
      <c r="AD248" s="194"/>
    </row>
    <row r="249" spans="17:30" x14ac:dyDescent="0.3">
      <c r="Q249" s="194"/>
      <c r="R249" s="194"/>
      <c r="S249" s="194"/>
      <c r="T249" s="194"/>
      <c r="U249" s="194"/>
      <c r="V249" s="194"/>
      <c r="W249" s="194"/>
      <c r="X249" s="194"/>
      <c r="Y249" s="194"/>
      <c r="Z249" s="194"/>
      <c r="AA249" s="194"/>
      <c r="AB249" s="194"/>
      <c r="AC249" s="194"/>
      <c r="AD249" s="194"/>
    </row>
    <row r="250" spans="17:30" x14ac:dyDescent="0.3">
      <c r="Q250" s="194"/>
      <c r="R250" s="194"/>
      <c r="S250" s="194"/>
      <c r="T250" s="194"/>
      <c r="U250" s="194"/>
      <c r="V250" s="194"/>
      <c r="W250" s="194"/>
      <c r="X250" s="194"/>
      <c r="Y250" s="194"/>
      <c r="Z250" s="194"/>
      <c r="AA250" s="194"/>
      <c r="AB250" s="194"/>
      <c r="AC250" s="194"/>
      <c r="AD250" s="194"/>
    </row>
    <row r="251" spans="17:30" x14ac:dyDescent="0.3">
      <c r="Q251" s="194"/>
      <c r="R251" s="194"/>
      <c r="S251" s="194"/>
      <c r="T251" s="194"/>
      <c r="U251" s="194"/>
      <c r="V251" s="194"/>
      <c r="W251" s="194"/>
      <c r="X251" s="194"/>
      <c r="Y251" s="194"/>
      <c r="Z251" s="194"/>
      <c r="AA251" s="194"/>
      <c r="AB251" s="194"/>
      <c r="AC251" s="194"/>
      <c r="AD251" s="194"/>
    </row>
    <row r="252" spans="17:30" x14ac:dyDescent="0.3">
      <c r="Q252" s="194"/>
      <c r="R252" s="194"/>
      <c r="S252" s="194"/>
      <c r="T252" s="194"/>
      <c r="U252" s="194"/>
      <c r="V252" s="194"/>
      <c r="W252" s="194"/>
      <c r="X252" s="194"/>
      <c r="Y252" s="194"/>
      <c r="Z252" s="194"/>
      <c r="AA252" s="194"/>
      <c r="AB252" s="194"/>
      <c r="AC252" s="194"/>
      <c r="AD252" s="194"/>
    </row>
    <row r="253" spans="17:30" x14ac:dyDescent="0.3">
      <c r="Q253" s="194"/>
      <c r="R253" s="194"/>
      <c r="S253" s="194"/>
      <c r="T253" s="194"/>
      <c r="U253" s="194"/>
      <c r="V253" s="194"/>
      <c r="W253" s="194"/>
      <c r="X253" s="194"/>
      <c r="Y253" s="194"/>
      <c r="Z253" s="194"/>
      <c r="AA253" s="194"/>
      <c r="AB253" s="194"/>
      <c r="AC253" s="194"/>
      <c r="AD253" s="194"/>
    </row>
    <row r="254" spans="17:30" x14ac:dyDescent="0.3">
      <c r="Q254" s="194"/>
      <c r="R254" s="194"/>
      <c r="S254" s="194"/>
      <c r="T254" s="194"/>
      <c r="U254" s="194"/>
      <c r="V254" s="194"/>
      <c r="W254" s="194"/>
      <c r="X254" s="194"/>
      <c r="Y254" s="194"/>
      <c r="Z254" s="194"/>
      <c r="AA254" s="194"/>
      <c r="AB254" s="194"/>
      <c r="AC254" s="194"/>
      <c r="AD254" s="194"/>
    </row>
    <row r="255" spans="17:30" x14ac:dyDescent="0.3">
      <c r="Q255" s="194"/>
      <c r="R255" s="194"/>
      <c r="S255" s="194"/>
      <c r="T255" s="194"/>
      <c r="U255" s="194"/>
      <c r="V255" s="194"/>
      <c r="W255" s="194"/>
      <c r="X255" s="194"/>
      <c r="Y255" s="194"/>
      <c r="Z255" s="194"/>
      <c r="AA255" s="194"/>
      <c r="AB255" s="194"/>
      <c r="AC255" s="194"/>
      <c r="AD255" s="194"/>
    </row>
    <row r="256" spans="17:30" x14ac:dyDescent="0.3">
      <c r="Q256" s="194"/>
      <c r="R256" s="194"/>
      <c r="S256" s="194"/>
      <c r="T256" s="194"/>
      <c r="U256" s="194"/>
      <c r="V256" s="194"/>
      <c r="W256" s="194"/>
      <c r="X256" s="194"/>
      <c r="Y256" s="194"/>
      <c r="Z256" s="194"/>
      <c r="AA256" s="194"/>
      <c r="AB256" s="194"/>
      <c r="AC256" s="194"/>
      <c r="AD256" s="194"/>
    </row>
    <row r="257" spans="17:30" x14ac:dyDescent="0.3">
      <c r="Q257" s="194"/>
      <c r="R257" s="194"/>
      <c r="S257" s="194"/>
      <c r="T257" s="194"/>
      <c r="U257" s="194"/>
      <c r="V257" s="194"/>
      <c r="W257" s="194"/>
      <c r="X257" s="194"/>
      <c r="Y257" s="194"/>
      <c r="Z257" s="194"/>
      <c r="AA257" s="194"/>
      <c r="AB257" s="194"/>
      <c r="AC257" s="194"/>
      <c r="AD257" s="194"/>
    </row>
    <row r="258" spans="17:30" x14ac:dyDescent="0.3">
      <c r="Q258" s="194"/>
      <c r="R258" s="194"/>
      <c r="S258" s="194"/>
      <c r="T258" s="194"/>
      <c r="U258" s="194"/>
      <c r="V258" s="194"/>
      <c r="W258" s="194"/>
      <c r="X258" s="194"/>
      <c r="Y258" s="194"/>
      <c r="Z258" s="194"/>
      <c r="AA258" s="194"/>
      <c r="AB258" s="194"/>
      <c r="AC258" s="194"/>
      <c r="AD258" s="194"/>
    </row>
    <row r="259" spans="17:30" x14ac:dyDescent="0.3">
      <c r="Q259" s="194"/>
      <c r="R259" s="194"/>
      <c r="S259" s="194"/>
      <c r="T259" s="194"/>
      <c r="U259" s="194"/>
      <c r="V259" s="194"/>
      <c r="W259" s="194"/>
      <c r="X259" s="194"/>
      <c r="Y259" s="194"/>
      <c r="Z259" s="194"/>
      <c r="AA259" s="194"/>
      <c r="AB259" s="194"/>
      <c r="AC259" s="194"/>
      <c r="AD259" s="194"/>
    </row>
    <row r="260" spans="17:30" x14ac:dyDescent="0.3">
      <c r="Q260" s="194"/>
      <c r="R260" s="194"/>
      <c r="S260" s="194"/>
      <c r="T260" s="194"/>
      <c r="U260" s="194"/>
      <c r="V260" s="194"/>
      <c r="W260" s="194"/>
      <c r="X260" s="194"/>
      <c r="Y260" s="194"/>
      <c r="Z260" s="194"/>
      <c r="AA260" s="194"/>
      <c r="AB260" s="194"/>
      <c r="AC260" s="194"/>
      <c r="AD260" s="194"/>
    </row>
    <row r="261" spans="17:30" x14ac:dyDescent="0.3">
      <c r="Q261" s="194"/>
      <c r="R261" s="194"/>
      <c r="S261" s="194"/>
      <c r="T261" s="194"/>
      <c r="U261" s="194"/>
      <c r="V261" s="194"/>
      <c r="W261" s="194"/>
      <c r="X261" s="194"/>
      <c r="Y261" s="194"/>
      <c r="Z261" s="194"/>
      <c r="AA261" s="194"/>
      <c r="AB261" s="194"/>
      <c r="AC261" s="194"/>
      <c r="AD261" s="194"/>
    </row>
    <row r="262" spans="17:30" x14ac:dyDescent="0.3">
      <c r="Q262" s="194"/>
      <c r="R262" s="194"/>
      <c r="S262" s="194"/>
      <c r="T262" s="194"/>
      <c r="U262" s="194"/>
      <c r="V262" s="194"/>
      <c r="W262" s="194"/>
      <c r="X262" s="194"/>
      <c r="Y262" s="194"/>
      <c r="Z262" s="194"/>
      <c r="AA262" s="194"/>
      <c r="AB262" s="194"/>
      <c r="AC262" s="194"/>
      <c r="AD262" s="194"/>
    </row>
    <row r="263" spans="17:30" x14ac:dyDescent="0.3">
      <c r="Q263" s="194"/>
      <c r="R263" s="194"/>
      <c r="S263" s="194"/>
      <c r="T263" s="194"/>
      <c r="U263" s="194"/>
      <c r="V263" s="194"/>
      <c r="W263" s="194"/>
      <c r="X263" s="194"/>
      <c r="Y263" s="194"/>
      <c r="Z263" s="194"/>
      <c r="AA263" s="194"/>
      <c r="AB263" s="194"/>
      <c r="AC263" s="194"/>
      <c r="AD263" s="194"/>
    </row>
    <row r="264" spans="17:30" x14ac:dyDescent="0.3">
      <c r="Q264" s="194"/>
      <c r="R264" s="194"/>
      <c r="S264" s="194"/>
      <c r="T264" s="194"/>
      <c r="U264" s="194"/>
      <c r="V264" s="194"/>
      <c r="W264" s="194"/>
      <c r="X264" s="194"/>
      <c r="Y264" s="194"/>
      <c r="Z264" s="194"/>
      <c r="AA264" s="194"/>
      <c r="AB264" s="194"/>
      <c r="AC264" s="194"/>
      <c r="AD264" s="194"/>
    </row>
    <row r="265" spans="17:30" x14ac:dyDescent="0.3">
      <c r="Q265" s="194"/>
      <c r="R265" s="194"/>
      <c r="S265" s="194"/>
      <c r="T265" s="194"/>
      <c r="U265" s="194"/>
      <c r="V265" s="194"/>
      <c r="W265" s="194"/>
      <c r="X265" s="194"/>
      <c r="Y265" s="194"/>
      <c r="Z265" s="194"/>
      <c r="AA265" s="194"/>
      <c r="AB265" s="194"/>
      <c r="AC265" s="194"/>
      <c r="AD265" s="194"/>
    </row>
    <row r="266" spans="17:30" x14ac:dyDescent="0.3">
      <c r="Q266" s="194"/>
      <c r="R266" s="194"/>
      <c r="S266" s="194"/>
      <c r="T266" s="194"/>
      <c r="U266" s="194"/>
      <c r="V266" s="194"/>
      <c r="W266" s="194"/>
      <c r="X266" s="194"/>
      <c r="Y266" s="194"/>
      <c r="Z266" s="194"/>
      <c r="AA266" s="194"/>
      <c r="AB266" s="194"/>
      <c r="AC266" s="194"/>
      <c r="AD266" s="194"/>
    </row>
    <row r="267" spans="17:30" x14ac:dyDescent="0.3">
      <c r="Q267" s="194"/>
      <c r="R267" s="194"/>
      <c r="S267" s="194"/>
      <c r="T267" s="194"/>
      <c r="U267" s="194"/>
      <c r="V267" s="194"/>
      <c r="W267" s="194"/>
      <c r="X267" s="194"/>
      <c r="Y267" s="194"/>
      <c r="Z267" s="194"/>
      <c r="AA267" s="194"/>
      <c r="AB267" s="194"/>
      <c r="AC267" s="194"/>
      <c r="AD267" s="194"/>
    </row>
    <row r="268" spans="17:30" x14ac:dyDescent="0.3">
      <c r="Q268" s="194"/>
      <c r="R268" s="194"/>
      <c r="S268" s="194"/>
      <c r="T268" s="194"/>
      <c r="U268" s="194"/>
      <c r="V268" s="194"/>
      <c r="W268" s="194"/>
      <c r="X268" s="194"/>
      <c r="Y268" s="194"/>
      <c r="Z268" s="194"/>
      <c r="AA268" s="194"/>
      <c r="AB268" s="194"/>
      <c r="AC268" s="194"/>
      <c r="AD268" s="194"/>
    </row>
    <row r="269" spans="17:30" x14ac:dyDescent="0.3">
      <c r="Q269" s="194"/>
      <c r="R269" s="194"/>
      <c r="S269" s="194"/>
      <c r="T269" s="194"/>
      <c r="U269" s="194"/>
      <c r="V269" s="194"/>
      <c r="W269" s="194"/>
      <c r="X269" s="194"/>
      <c r="Y269" s="194"/>
      <c r="Z269" s="194"/>
      <c r="AA269" s="194"/>
      <c r="AB269" s="194"/>
      <c r="AC269" s="194"/>
      <c r="AD269" s="194"/>
    </row>
    <row r="270" spans="17:30" x14ac:dyDescent="0.3">
      <c r="Q270" s="194"/>
      <c r="R270" s="194"/>
      <c r="S270" s="194"/>
      <c r="T270" s="194"/>
      <c r="U270" s="194"/>
      <c r="V270" s="194"/>
      <c r="W270" s="194"/>
      <c r="X270" s="194"/>
      <c r="Y270" s="194"/>
      <c r="Z270" s="194"/>
      <c r="AA270" s="194"/>
      <c r="AB270" s="194"/>
      <c r="AC270" s="194"/>
      <c r="AD270" s="194"/>
    </row>
    <row r="271" spans="17:30" x14ac:dyDescent="0.3">
      <c r="Q271" s="194"/>
      <c r="R271" s="194"/>
      <c r="S271" s="194"/>
      <c r="T271" s="194"/>
      <c r="U271" s="194"/>
      <c r="V271" s="194"/>
      <c r="W271" s="194"/>
      <c r="X271" s="194"/>
      <c r="Y271" s="194"/>
      <c r="Z271" s="194"/>
      <c r="AA271" s="194"/>
      <c r="AB271" s="194"/>
      <c r="AC271" s="194"/>
      <c r="AD271" s="194"/>
    </row>
    <row r="272" spans="17:30" x14ac:dyDescent="0.3">
      <c r="Q272" s="194"/>
      <c r="R272" s="194"/>
      <c r="S272" s="194"/>
      <c r="T272" s="194"/>
      <c r="U272" s="194"/>
      <c r="V272" s="194"/>
      <c r="W272" s="194"/>
      <c r="X272" s="194"/>
      <c r="Y272" s="194"/>
      <c r="Z272" s="194"/>
      <c r="AA272" s="194"/>
      <c r="AB272" s="194"/>
      <c r="AC272" s="194"/>
      <c r="AD272" s="194"/>
    </row>
    <row r="273" spans="17:30" x14ac:dyDescent="0.3">
      <c r="Q273" s="194"/>
      <c r="R273" s="194"/>
      <c r="S273" s="194"/>
      <c r="T273" s="194"/>
      <c r="U273" s="194"/>
      <c r="V273" s="194"/>
      <c r="W273" s="194"/>
      <c r="X273" s="194"/>
      <c r="Y273" s="194"/>
      <c r="Z273" s="194"/>
      <c r="AA273" s="194"/>
      <c r="AB273" s="194"/>
      <c r="AC273" s="194"/>
      <c r="AD273" s="194"/>
    </row>
    <row r="274" spans="17:30" x14ac:dyDescent="0.3">
      <c r="Q274" s="194"/>
      <c r="R274" s="194"/>
      <c r="S274" s="194"/>
      <c r="T274" s="194"/>
      <c r="U274" s="194"/>
      <c r="V274" s="194"/>
      <c r="W274" s="194"/>
      <c r="X274" s="194"/>
      <c r="Y274" s="194"/>
      <c r="Z274" s="194"/>
      <c r="AA274" s="194"/>
      <c r="AB274" s="194"/>
      <c r="AC274" s="194"/>
      <c r="AD274" s="194"/>
    </row>
    <row r="275" spans="17:30" x14ac:dyDescent="0.3">
      <c r="Q275" s="194"/>
      <c r="R275" s="194"/>
      <c r="S275" s="194"/>
      <c r="T275" s="194"/>
      <c r="U275" s="194"/>
      <c r="V275" s="194"/>
      <c r="W275" s="194"/>
      <c r="X275" s="194"/>
      <c r="Y275" s="194"/>
      <c r="Z275" s="194"/>
      <c r="AA275" s="194"/>
      <c r="AB275" s="194"/>
      <c r="AC275" s="194"/>
      <c r="AD275" s="194"/>
    </row>
    <row r="276" spans="17:30" x14ac:dyDescent="0.3">
      <c r="Q276" s="194"/>
      <c r="R276" s="194"/>
      <c r="S276" s="194"/>
      <c r="T276" s="194"/>
      <c r="U276" s="194"/>
      <c r="V276" s="194"/>
      <c r="W276" s="194"/>
      <c r="X276" s="194"/>
      <c r="Y276" s="194"/>
      <c r="Z276" s="194"/>
      <c r="AA276" s="194"/>
      <c r="AB276" s="194"/>
      <c r="AC276" s="194"/>
      <c r="AD276" s="194"/>
    </row>
    <row r="277" spans="17:30" x14ac:dyDescent="0.3">
      <c r="Q277" s="194"/>
      <c r="R277" s="194"/>
      <c r="S277" s="194"/>
      <c r="T277" s="194"/>
      <c r="U277" s="194"/>
      <c r="V277" s="194"/>
      <c r="W277" s="194"/>
      <c r="X277" s="194"/>
      <c r="Y277" s="194"/>
      <c r="Z277" s="194"/>
      <c r="AA277" s="194"/>
      <c r="AB277" s="194"/>
      <c r="AC277" s="194"/>
      <c r="AD277" s="194"/>
    </row>
    <row r="278" spans="17:30" x14ac:dyDescent="0.3">
      <c r="Q278" s="194"/>
      <c r="R278" s="194"/>
      <c r="S278" s="194"/>
      <c r="T278" s="194"/>
      <c r="U278" s="194"/>
      <c r="V278" s="194"/>
      <c r="W278" s="194"/>
      <c r="X278" s="194"/>
      <c r="Y278" s="194"/>
      <c r="Z278" s="194"/>
      <c r="AA278" s="194"/>
      <c r="AB278" s="194"/>
      <c r="AC278" s="194"/>
      <c r="AD278" s="194"/>
    </row>
    <row r="279" spans="17:30" x14ac:dyDescent="0.3">
      <c r="Q279" s="194"/>
      <c r="R279" s="194"/>
      <c r="S279" s="194"/>
      <c r="T279" s="194"/>
      <c r="U279" s="194"/>
      <c r="V279" s="194"/>
      <c r="W279" s="194"/>
      <c r="X279" s="194"/>
      <c r="Y279" s="194"/>
      <c r="Z279" s="194"/>
      <c r="AA279" s="194"/>
      <c r="AB279" s="194"/>
      <c r="AC279" s="194"/>
      <c r="AD279" s="194"/>
    </row>
    <row r="280" spans="17:30" x14ac:dyDescent="0.3">
      <c r="Q280" s="194"/>
      <c r="R280" s="194"/>
      <c r="S280" s="194"/>
      <c r="T280" s="194"/>
      <c r="U280" s="194"/>
      <c r="V280" s="194"/>
      <c r="W280" s="194"/>
      <c r="X280" s="194"/>
      <c r="Y280" s="194"/>
      <c r="Z280" s="194"/>
      <c r="AA280" s="194"/>
      <c r="AB280" s="194"/>
      <c r="AC280" s="194"/>
      <c r="AD280" s="194"/>
    </row>
    <row r="281" spans="17:30" x14ac:dyDescent="0.3">
      <c r="Q281" s="194"/>
      <c r="R281" s="194"/>
      <c r="S281" s="194"/>
      <c r="T281" s="194"/>
      <c r="U281" s="194"/>
      <c r="V281" s="194"/>
      <c r="W281" s="194"/>
      <c r="X281" s="194"/>
      <c r="Y281" s="194"/>
      <c r="Z281" s="194"/>
      <c r="AA281" s="194"/>
      <c r="AB281" s="194"/>
      <c r="AC281" s="194"/>
      <c r="AD281" s="194"/>
    </row>
    <row r="282" spans="17:30" x14ac:dyDescent="0.3">
      <c r="Q282" s="194"/>
      <c r="R282" s="194"/>
      <c r="S282" s="194"/>
      <c r="T282" s="194"/>
      <c r="U282" s="194"/>
      <c r="V282" s="194"/>
      <c r="W282" s="194"/>
      <c r="X282" s="194"/>
      <c r="Y282" s="194"/>
      <c r="Z282" s="194"/>
      <c r="AA282" s="194"/>
      <c r="AB282" s="194"/>
      <c r="AC282" s="194"/>
      <c r="AD282" s="194"/>
    </row>
    <row r="283" spans="17:30" x14ac:dyDescent="0.3">
      <c r="Q283" s="194"/>
      <c r="R283" s="194"/>
      <c r="S283" s="194"/>
      <c r="T283" s="194"/>
      <c r="U283" s="194"/>
      <c r="V283" s="194"/>
      <c r="W283" s="194"/>
      <c r="X283" s="194"/>
      <c r="Y283" s="194"/>
      <c r="Z283" s="194"/>
      <c r="AA283" s="194"/>
      <c r="AB283" s="194"/>
      <c r="AC283" s="194"/>
      <c r="AD283" s="194"/>
    </row>
    <row r="284" spans="17:30" x14ac:dyDescent="0.3">
      <c r="Q284" s="194"/>
      <c r="R284" s="194"/>
      <c r="S284" s="194"/>
      <c r="T284" s="194"/>
      <c r="U284" s="194"/>
      <c r="V284" s="194"/>
      <c r="W284" s="194"/>
      <c r="X284" s="194"/>
      <c r="Y284" s="194"/>
      <c r="Z284" s="194"/>
      <c r="AA284" s="194"/>
      <c r="AB284" s="194"/>
      <c r="AC284" s="194"/>
      <c r="AD284" s="194"/>
    </row>
    <row r="285" spans="17:30" x14ac:dyDescent="0.3">
      <c r="Q285" s="194"/>
      <c r="R285" s="194"/>
      <c r="S285" s="194"/>
      <c r="T285" s="194"/>
      <c r="U285" s="194"/>
      <c r="V285" s="194"/>
      <c r="W285" s="194"/>
      <c r="X285" s="194"/>
      <c r="Y285" s="194"/>
      <c r="Z285" s="194"/>
      <c r="AA285" s="194"/>
      <c r="AB285" s="194"/>
      <c r="AC285" s="194"/>
      <c r="AD285" s="194"/>
    </row>
    <row r="286" spans="17:30" x14ac:dyDescent="0.3">
      <c r="Q286" s="194"/>
      <c r="R286" s="194"/>
      <c r="S286" s="194"/>
      <c r="T286" s="194"/>
      <c r="U286" s="194"/>
      <c r="V286" s="194"/>
      <c r="W286" s="194"/>
      <c r="X286" s="194"/>
      <c r="Y286" s="194"/>
      <c r="Z286" s="194"/>
      <c r="AA286" s="194"/>
      <c r="AB286" s="194"/>
      <c r="AC286" s="194"/>
      <c r="AD286" s="194"/>
    </row>
    <row r="287" spans="17:30" x14ac:dyDescent="0.3">
      <c r="Q287" s="194"/>
      <c r="R287" s="194"/>
      <c r="S287" s="194"/>
      <c r="T287" s="194"/>
      <c r="U287" s="194"/>
      <c r="V287" s="194"/>
      <c r="W287" s="194"/>
      <c r="X287" s="194"/>
      <c r="Y287" s="194"/>
      <c r="Z287" s="194"/>
      <c r="AA287" s="194"/>
      <c r="AB287" s="194"/>
      <c r="AC287" s="194"/>
      <c r="AD287" s="194"/>
    </row>
    <row r="288" spans="17:30" x14ac:dyDescent="0.3">
      <c r="Q288" s="194"/>
      <c r="R288" s="194"/>
      <c r="S288" s="194"/>
      <c r="T288" s="194"/>
      <c r="U288" s="194"/>
      <c r="V288" s="194"/>
      <c r="W288" s="194"/>
      <c r="X288" s="194"/>
      <c r="Y288" s="194"/>
      <c r="Z288" s="194"/>
      <c r="AA288" s="194"/>
      <c r="AB288" s="194"/>
      <c r="AC288" s="194"/>
      <c r="AD288" s="194"/>
    </row>
    <row r="289" spans="17:30" x14ac:dyDescent="0.3">
      <c r="Q289" s="194"/>
      <c r="R289" s="194"/>
      <c r="S289" s="194"/>
      <c r="T289" s="194"/>
      <c r="U289" s="194"/>
      <c r="V289" s="194"/>
      <c r="W289" s="194"/>
      <c r="X289" s="194"/>
      <c r="Y289" s="194"/>
      <c r="Z289" s="194"/>
      <c r="AA289" s="194"/>
      <c r="AB289" s="194"/>
      <c r="AC289" s="194"/>
      <c r="AD289" s="194"/>
    </row>
    <row r="290" spans="17:30" x14ac:dyDescent="0.3">
      <c r="Q290" s="194"/>
      <c r="R290" s="194"/>
      <c r="S290" s="194"/>
      <c r="T290" s="194"/>
      <c r="U290" s="194"/>
      <c r="V290" s="194"/>
      <c r="W290" s="194"/>
      <c r="X290" s="194"/>
      <c r="Y290" s="194"/>
      <c r="Z290" s="194"/>
      <c r="AA290" s="194"/>
      <c r="AB290" s="194"/>
      <c r="AC290" s="194"/>
      <c r="AD290" s="194"/>
    </row>
    <row r="291" spans="17:30" x14ac:dyDescent="0.3">
      <c r="Q291" s="194"/>
      <c r="R291" s="194"/>
      <c r="S291" s="194"/>
      <c r="T291" s="194"/>
      <c r="U291" s="194"/>
      <c r="V291" s="194"/>
      <c r="W291" s="194"/>
      <c r="X291" s="194"/>
      <c r="Y291" s="194"/>
      <c r="Z291" s="194"/>
      <c r="AA291" s="194"/>
      <c r="AB291" s="194"/>
      <c r="AC291" s="194"/>
      <c r="AD291" s="194"/>
    </row>
    <row r="292" spans="17:30" x14ac:dyDescent="0.3">
      <c r="Q292" s="194"/>
      <c r="R292" s="194"/>
      <c r="S292" s="194"/>
      <c r="T292" s="194"/>
      <c r="U292" s="194"/>
      <c r="V292" s="194"/>
      <c r="W292" s="194"/>
      <c r="X292" s="194"/>
      <c r="Y292" s="194"/>
      <c r="Z292" s="194"/>
      <c r="AA292" s="194"/>
      <c r="AB292" s="194"/>
      <c r="AC292" s="194"/>
      <c r="AD292" s="194"/>
    </row>
    <row r="293" spans="17:30" x14ac:dyDescent="0.3">
      <c r="Q293" s="194"/>
      <c r="R293" s="194"/>
      <c r="S293" s="194"/>
      <c r="T293" s="194"/>
      <c r="U293" s="194"/>
      <c r="V293" s="194"/>
      <c r="W293" s="194"/>
      <c r="X293" s="194"/>
      <c r="Y293" s="194"/>
      <c r="Z293" s="194"/>
      <c r="AA293" s="194"/>
      <c r="AB293" s="194"/>
      <c r="AC293" s="194"/>
      <c r="AD293" s="194"/>
    </row>
    <row r="294" spans="17:30" x14ac:dyDescent="0.3">
      <c r="Q294" s="194"/>
      <c r="R294" s="194"/>
      <c r="S294" s="194"/>
      <c r="T294" s="194"/>
      <c r="U294" s="194"/>
      <c r="V294" s="194"/>
      <c r="W294" s="194"/>
      <c r="X294" s="194"/>
      <c r="Y294" s="194"/>
      <c r="Z294" s="194"/>
      <c r="AA294" s="194"/>
      <c r="AB294" s="194"/>
      <c r="AC294" s="194"/>
      <c r="AD294" s="194"/>
    </row>
    <row r="295" spans="17:30" x14ac:dyDescent="0.3">
      <c r="Q295" s="194"/>
      <c r="R295" s="194"/>
      <c r="S295" s="194"/>
      <c r="T295" s="194"/>
      <c r="U295" s="194"/>
      <c r="V295" s="194"/>
      <c r="W295" s="194"/>
      <c r="X295" s="194"/>
      <c r="Y295" s="194"/>
      <c r="Z295" s="194"/>
      <c r="AA295" s="194"/>
      <c r="AB295" s="194"/>
      <c r="AC295" s="194"/>
      <c r="AD295" s="194"/>
    </row>
    <row r="296" spans="17:30" x14ac:dyDescent="0.3">
      <c r="Q296" s="194"/>
      <c r="R296" s="194"/>
      <c r="S296" s="194"/>
      <c r="T296" s="194"/>
      <c r="U296" s="194"/>
      <c r="V296" s="194"/>
      <c r="W296" s="194"/>
      <c r="X296" s="194"/>
      <c r="Y296" s="194"/>
      <c r="Z296" s="194"/>
      <c r="AA296" s="194"/>
      <c r="AB296" s="194"/>
      <c r="AC296" s="194"/>
      <c r="AD296" s="194"/>
    </row>
    <row r="297" spans="17:30" x14ac:dyDescent="0.3">
      <c r="Q297" s="194"/>
      <c r="R297" s="194"/>
      <c r="S297" s="194"/>
      <c r="T297" s="194"/>
      <c r="U297" s="194"/>
      <c r="V297" s="194"/>
      <c r="W297" s="194"/>
      <c r="X297" s="194"/>
      <c r="Y297" s="194"/>
      <c r="Z297" s="194"/>
      <c r="AA297" s="194"/>
      <c r="AB297" s="194"/>
      <c r="AC297" s="194"/>
      <c r="AD297" s="194"/>
    </row>
    <row r="298" spans="17:30" x14ac:dyDescent="0.3">
      <c r="Q298" s="194"/>
      <c r="R298" s="194"/>
      <c r="S298" s="194"/>
      <c r="T298" s="194"/>
      <c r="U298" s="194"/>
      <c r="V298" s="194"/>
      <c r="W298" s="194"/>
      <c r="X298" s="194"/>
      <c r="Y298" s="194"/>
      <c r="Z298" s="194"/>
      <c r="AA298" s="194"/>
      <c r="AB298" s="194"/>
      <c r="AC298" s="194"/>
      <c r="AD298" s="194"/>
    </row>
    <row r="299" spans="17:30" x14ac:dyDescent="0.3">
      <c r="Q299" s="194"/>
      <c r="R299" s="194"/>
      <c r="S299" s="194"/>
      <c r="T299" s="194"/>
      <c r="U299" s="194"/>
      <c r="V299" s="194"/>
      <c r="W299" s="194"/>
      <c r="X299" s="194"/>
      <c r="Y299" s="194"/>
      <c r="Z299" s="194"/>
      <c r="AA299" s="194"/>
      <c r="AB299" s="194"/>
      <c r="AC299" s="194"/>
      <c r="AD299" s="194"/>
    </row>
    <row r="300" spans="17:30" x14ac:dyDescent="0.3">
      <c r="Q300" s="194"/>
      <c r="R300" s="194"/>
      <c r="S300" s="194"/>
      <c r="T300" s="194"/>
      <c r="U300" s="194"/>
      <c r="V300" s="194"/>
      <c r="W300" s="194"/>
      <c r="X300" s="194"/>
      <c r="Y300" s="194"/>
      <c r="Z300" s="194"/>
      <c r="AA300" s="194"/>
      <c r="AB300" s="194"/>
      <c r="AC300" s="194"/>
      <c r="AD300" s="194"/>
    </row>
    <row r="301" spans="17:30" x14ac:dyDescent="0.3">
      <c r="Q301" s="194"/>
      <c r="R301" s="194"/>
      <c r="S301" s="194"/>
      <c r="T301" s="194"/>
      <c r="U301" s="194"/>
      <c r="V301" s="194"/>
      <c r="W301" s="194"/>
      <c r="X301" s="194"/>
      <c r="Y301" s="194"/>
      <c r="Z301" s="194"/>
      <c r="AA301" s="194"/>
      <c r="AB301" s="194"/>
      <c r="AC301" s="194"/>
      <c r="AD301" s="194"/>
    </row>
    <row r="302" spans="17:30" x14ac:dyDescent="0.3">
      <c r="Q302" s="194"/>
      <c r="R302" s="194"/>
      <c r="S302" s="194"/>
      <c r="T302" s="194"/>
      <c r="U302" s="194"/>
      <c r="V302" s="194"/>
      <c r="W302" s="194"/>
      <c r="X302" s="194"/>
      <c r="Y302" s="194"/>
      <c r="Z302" s="194"/>
      <c r="AA302" s="194"/>
      <c r="AB302" s="194"/>
      <c r="AC302" s="194"/>
      <c r="AD302" s="194"/>
    </row>
    <row r="303" spans="17:30" x14ac:dyDescent="0.3">
      <c r="Q303" s="194"/>
      <c r="R303" s="194"/>
      <c r="S303" s="194"/>
      <c r="T303" s="194"/>
      <c r="U303" s="194"/>
      <c r="V303" s="194"/>
      <c r="W303" s="194"/>
      <c r="X303" s="194"/>
      <c r="Y303" s="194"/>
      <c r="Z303" s="194"/>
      <c r="AA303" s="194"/>
      <c r="AB303" s="194"/>
      <c r="AC303" s="194"/>
      <c r="AD303" s="194"/>
    </row>
  </sheetData>
  <mergeCells count="85">
    <mergeCell ref="A61:A62"/>
    <mergeCell ref="B61:B62"/>
    <mergeCell ref="A55:A56"/>
    <mergeCell ref="B55:B56"/>
    <mergeCell ref="C55:P55"/>
    <mergeCell ref="A57:A58"/>
    <mergeCell ref="B57:B58"/>
    <mergeCell ref="A59:A60"/>
    <mergeCell ref="B59:B60"/>
    <mergeCell ref="A40:A41"/>
    <mergeCell ref="B40:B41"/>
    <mergeCell ref="A36:A37"/>
    <mergeCell ref="B36:B37"/>
    <mergeCell ref="C36:P36"/>
    <mergeCell ref="AA34:AD35"/>
    <mergeCell ref="Q36:AD36"/>
    <mergeCell ref="Q37:AD37"/>
    <mergeCell ref="A38:A39"/>
    <mergeCell ref="B38:B39"/>
    <mergeCell ref="Q38:AD39"/>
    <mergeCell ref="A34:A35"/>
    <mergeCell ref="B34:B35"/>
    <mergeCell ref="Q34:S35"/>
    <mergeCell ref="T34:V35"/>
    <mergeCell ref="W34:Z35"/>
    <mergeCell ref="B30:C30"/>
    <mergeCell ref="Q30:AD30"/>
    <mergeCell ref="A31:AD31"/>
    <mergeCell ref="A32:A33"/>
    <mergeCell ref="B32:B33"/>
    <mergeCell ref="C32:C33"/>
    <mergeCell ref="D32:P32"/>
    <mergeCell ref="Q32:AD32"/>
    <mergeCell ref="Q33:S33"/>
    <mergeCell ref="T33:V33"/>
    <mergeCell ref="W33:Z33"/>
    <mergeCell ref="AA33:AD33"/>
    <mergeCell ref="A28:A29"/>
    <mergeCell ref="B28:C29"/>
    <mergeCell ref="D28:O28"/>
    <mergeCell ref="P28:P29"/>
    <mergeCell ref="Q28:AD29"/>
    <mergeCell ref="Q20:AD20"/>
    <mergeCell ref="A22:B22"/>
    <mergeCell ref="A23:B23"/>
    <mergeCell ref="A25:B25"/>
    <mergeCell ref="A27:AD27"/>
    <mergeCell ref="A24:B24"/>
    <mergeCell ref="A15:B15"/>
    <mergeCell ref="C15:K15"/>
    <mergeCell ref="L15:Q15"/>
    <mergeCell ref="R15:X15"/>
    <mergeCell ref="Y15:Z15"/>
    <mergeCell ref="A19:AD19"/>
    <mergeCell ref="C20:P20"/>
    <mergeCell ref="AB4:AD4"/>
    <mergeCell ref="A11:B13"/>
    <mergeCell ref="C11:AD13"/>
    <mergeCell ref="A7:B9"/>
    <mergeCell ref="C7:C9"/>
    <mergeCell ref="D7:H9"/>
    <mergeCell ref="AA15:AD15"/>
    <mergeCell ref="C16:AB16"/>
    <mergeCell ref="A17:B17"/>
    <mergeCell ref="C17:Q17"/>
    <mergeCell ref="R17:V17"/>
    <mergeCell ref="W17:X17"/>
    <mergeCell ref="Y17:AB17"/>
    <mergeCell ref="AC17:AD17"/>
    <mergeCell ref="Q40:AD41"/>
    <mergeCell ref="I7:J9"/>
    <mergeCell ref="K7:L9"/>
    <mergeCell ref="M7:N7"/>
    <mergeCell ref="A1:A4"/>
    <mergeCell ref="B1:AA1"/>
    <mergeCell ref="AB1:AD1"/>
    <mergeCell ref="B2:AA2"/>
    <mergeCell ref="AB2:AD2"/>
    <mergeCell ref="B3:AA4"/>
    <mergeCell ref="AB3:AD3"/>
    <mergeCell ref="O7:P7"/>
    <mergeCell ref="M8:N8"/>
    <mergeCell ref="O8:P8"/>
    <mergeCell ref="M9:N9"/>
    <mergeCell ref="O9:P9"/>
  </mergeCells>
  <phoneticPr fontId="66" type="noConversion"/>
  <dataValidations count="3">
    <dataValidation type="textLength" operator="lessThanOrEqual" allowBlank="1" showInputMessage="1" showErrorMessage="1" errorTitle="Máximo 2.000 caracteres" error="Máximo 2.000 caracteres" sqref="AA34 Q34 W34 Q38:AD39 Q40" xr:uid="{00000000-0002-0000-0700-000000000000}">
      <formula1>2000</formula1>
    </dataValidation>
    <dataValidation type="textLength" operator="lessThanOrEqual" allowBlank="1" showInputMessage="1" showErrorMessage="1" errorTitle="Máximo 2.000 caracteres" error="Máximo 2.000 caracteres" promptTitle="2.000 caracteres" sqref="Q30:AD30" xr:uid="{00000000-0002-0000-0700-000001000000}">
      <formula1>2000</formula1>
    </dataValidation>
    <dataValidation type="list" allowBlank="1" showInputMessage="1" showErrorMessage="1" sqref="C7:C9" xr:uid="{00000000-0002-0000-0700-000002000000}">
      <formula1>$C$21:$N$21</formula1>
    </dataValidation>
  </dataValidations>
  <printOptions horizontalCentered="1"/>
  <pageMargins left="0.39370078740157483" right="0.39370078740157483" top="0.39370078740157483" bottom="0.39370078740157483" header="0" footer="0"/>
  <pageSetup paperSize="9" scale="23" orientation="landscape" r:id="rId1"/>
  <drawing r:id="rId2"/>
  <legacyDrawing r:id="rId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filterMode="1">
    <tabColor theme="7" tint="0.39997558519241921"/>
    <pageSetUpPr fitToPage="1"/>
  </sheetPr>
  <dimension ref="A1:AY23"/>
  <sheetViews>
    <sheetView tabSelected="1" view="pageBreakPreview" topLeftCell="O12" zoomScale="60" zoomScaleNormal="60" workbookViewId="0">
      <selection activeCell="AV16" sqref="AV16"/>
    </sheetView>
  </sheetViews>
  <sheetFormatPr baseColWidth="10" defaultColWidth="10.6640625" defaultRowHeight="13.8" x14ac:dyDescent="0.3"/>
  <cols>
    <col min="1" max="1" width="10.109375" style="108" customWidth="1"/>
    <col min="2" max="2" width="10" style="108" customWidth="1"/>
    <col min="3" max="3" width="26.44140625" style="108" customWidth="1"/>
    <col min="4" max="6" width="8.33203125" style="108" customWidth="1"/>
    <col min="7" max="8" width="14.6640625" style="108" customWidth="1"/>
    <col min="9" max="9" width="32.44140625" style="108" customWidth="1"/>
    <col min="10" max="10" width="35.109375" style="108" customWidth="1"/>
    <col min="11" max="11" width="16.6640625" style="108" customWidth="1"/>
    <col min="12" max="13" width="15.33203125" style="108" customWidth="1"/>
    <col min="14" max="14" width="25.109375" style="108" customWidth="1"/>
    <col min="15" max="19" width="8.6640625" style="108" customWidth="1"/>
    <col min="20" max="20" width="22.33203125" style="108" customWidth="1"/>
    <col min="21" max="21" width="17" style="108" customWidth="1"/>
    <col min="22" max="27" width="5.6640625" style="108" customWidth="1"/>
    <col min="28" max="28" width="6" style="108" customWidth="1"/>
    <col min="29" max="45" width="5.6640625" style="108" customWidth="1"/>
    <col min="46" max="46" width="17.109375" style="108" customWidth="1"/>
    <col min="47" max="47" width="15.6640625" style="160" customWidth="1"/>
    <col min="48" max="48" width="31.33203125" style="108" customWidth="1"/>
    <col min="49" max="49" width="41" style="108" customWidth="1"/>
    <col min="50" max="51" width="24.44140625" style="108" customWidth="1"/>
    <col min="52" max="16384" width="10.6640625" style="108"/>
  </cols>
  <sheetData>
    <row r="1" spans="1:51" ht="15.75" customHeight="1" x14ac:dyDescent="0.3">
      <c r="A1" s="976" t="s">
        <v>0</v>
      </c>
      <c r="B1" s="977"/>
      <c r="C1" s="977"/>
      <c r="D1" s="977"/>
      <c r="E1" s="977"/>
      <c r="F1" s="977"/>
      <c r="G1" s="977"/>
      <c r="H1" s="977"/>
      <c r="I1" s="977"/>
      <c r="J1" s="977"/>
      <c r="K1" s="977"/>
      <c r="L1" s="977"/>
      <c r="M1" s="977"/>
      <c r="N1" s="977"/>
      <c r="O1" s="977"/>
      <c r="P1" s="977"/>
      <c r="Q1" s="977"/>
      <c r="R1" s="977"/>
      <c r="S1" s="977"/>
      <c r="T1" s="977"/>
      <c r="U1" s="977"/>
      <c r="V1" s="977"/>
      <c r="W1" s="977"/>
      <c r="X1" s="977"/>
      <c r="Y1" s="977"/>
      <c r="Z1" s="977"/>
      <c r="AA1" s="977"/>
      <c r="AB1" s="977"/>
      <c r="AC1" s="977"/>
      <c r="AD1" s="977"/>
      <c r="AE1" s="977"/>
      <c r="AF1" s="977"/>
      <c r="AG1" s="977"/>
      <c r="AH1" s="977"/>
      <c r="AI1" s="977"/>
      <c r="AJ1" s="977"/>
      <c r="AK1" s="977"/>
      <c r="AL1" s="977"/>
      <c r="AM1" s="977"/>
      <c r="AN1" s="977"/>
      <c r="AO1" s="977"/>
      <c r="AP1" s="977"/>
      <c r="AQ1" s="977"/>
      <c r="AR1" s="977"/>
      <c r="AS1" s="977"/>
      <c r="AT1" s="977"/>
      <c r="AU1" s="977"/>
      <c r="AV1" s="977"/>
      <c r="AW1" s="978"/>
      <c r="AX1" s="716" t="s">
        <v>1</v>
      </c>
      <c r="AY1" s="717"/>
    </row>
    <row r="2" spans="1:51" ht="15.75" customHeight="1" x14ac:dyDescent="0.3">
      <c r="A2" s="979" t="s">
        <v>2</v>
      </c>
      <c r="B2" s="980"/>
      <c r="C2" s="980"/>
      <c r="D2" s="980"/>
      <c r="E2" s="980"/>
      <c r="F2" s="980"/>
      <c r="G2" s="980"/>
      <c r="H2" s="980"/>
      <c r="I2" s="980"/>
      <c r="J2" s="980"/>
      <c r="K2" s="980"/>
      <c r="L2" s="980"/>
      <c r="M2" s="980"/>
      <c r="N2" s="980"/>
      <c r="O2" s="980"/>
      <c r="P2" s="980"/>
      <c r="Q2" s="980"/>
      <c r="R2" s="980"/>
      <c r="S2" s="980"/>
      <c r="T2" s="980"/>
      <c r="U2" s="980"/>
      <c r="V2" s="980"/>
      <c r="W2" s="980"/>
      <c r="X2" s="980"/>
      <c r="Y2" s="980"/>
      <c r="Z2" s="980"/>
      <c r="AA2" s="980"/>
      <c r="AB2" s="980"/>
      <c r="AC2" s="980"/>
      <c r="AD2" s="980"/>
      <c r="AE2" s="980"/>
      <c r="AF2" s="980"/>
      <c r="AG2" s="980"/>
      <c r="AH2" s="980"/>
      <c r="AI2" s="980"/>
      <c r="AJ2" s="980"/>
      <c r="AK2" s="980"/>
      <c r="AL2" s="980"/>
      <c r="AM2" s="980"/>
      <c r="AN2" s="980"/>
      <c r="AO2" s="980"/>
      <c r="AP2" s="980"/>
      <c r="AQ2" s="980"/>
      <c r="AR2" s="980"/>
      <c r="AS2" s="980"/>
      <c r="AT2" s="980"/>
      <c r="AU2" s="980"/>
      <c r="AV2" s="980"/>
      <c r="AW2" s="981"/>
      <c r="AX2" s="993" t="s">
        <v>3</v>
      </c>
      <c r="AY2" s="994"/>
    </row>
    <row r="3" spans="1:51" ht="15" customHeight="1" x14ac:dyDescent="0.3">
      <c r="A3" s="970" t="s">
        <v>158</v>
      </c>
      <c r="B3" s="971"/>
      <c r="C3" s="971"/>
      <c r="D3" s="971"/>
      <c r="E3" s="971"/>
      <c r="F3" s="971"/>
      <c r="G3" s="971"/>
      <c r="H3" s="971"/>
      <c r="I3" s="971"/>
      <c r="J3" s="971"/>
      <c r="K3" s="971"/>
      <c r="L3" s="971"/>
      <c r="M3" s="971"/>
      <c r="N3" s="971"/>
      <c r="O3" s="971"/>
      <c r="P3" s="971"/>
      <c r="Q3" s="971"/>
      <c r="R3" s="971"/>
      <c r="S3" s="971"/>
      <c r="T3" s="971"/>
      <c r="U3" s="971"/>
      <c r="V3" s="971"/>
      <c r="W3" s="971"/>
      <c r="X3" s="971"/>
      <c r="Y3" s="971"/>
      <c r="Z3" s="971"/>
      <c r="AA3" s="971"/>
      <c r="AB3" s="971"/>
      <c r="AC3" s="971"/>
      <c r="AD3" s="971"/>
      <c r="AE3" s="971"/>
      <c r="AF3" s="971"/>
      <c r="AG3" s="971"/>
      <c r="AH3" s="971"/>
      <c r="AI3" s="971"/>
      <c r="AJ3" s="971"/>
      <c r="AK3" s="971"/>
      <c r="AL3" s="971"/>
      <c r="AM3" s="971"/>
      <c r="AN3" s="971"/>
      <c r="AO3" s="971"/>
      <c r="AP3" s="971"/>
      <c r="AQ3" s="971"/>
      <c r="AR3" s="971"/>
      <c r="AS3" s="971"/>
      <c r="AT3" s="971"/>
      <c r="AU3" s="971"/>
      <c r="AV3" s="971"/>
      <c r="AW3" s="972"/>
      <c r="AX3" s="993" t="s">
        <v>5</v>
      </c>
      <c r="AY3" s="994"/>
    </row>
    <row r="4" spans="1:51" ht="15.75" customHeight="1" x14ac:dyDescent="0.3">
      <c r="A4" s="976"/>
      <c r="B4" s="977"/>
      <c r="C4" s="977"/>
      <c r="D4" s="977"/>
      <c r="E4" s="977"/>
      <c r="F4" s="977"/>
      <c r="G4" s="977"/>
      <c r="H4" s="977"/>
      <c r="I4" s="977"/>
      <c r="J4" s="977"/>
      <c r="K4" s="977"/>
      <c r="L4" s="977"/>
      <c r="M4" s="977"/>
      <c r="N4" s="977"/>
      <c r="O4" s="977"/>
      <c r="P4" s="977"/>
      <c r="Q4" s="977"/>
      <c r="R4" s="977"/>
      <c r="S4" s="977"/>
      <c r="T4" s="977"/>
      <c r="U4" s="977"/>
      <c r="V4" s="977"/>
      <c r="W4" s="977"/>
      <c r="X4" s="977"/>
      <c r="Y4" s="977"/>
      <c r="Z4" s="977"/>
      <c r="AA4" s="977"/>
      <c r="AB4" s="977"/>
      <c r="AC4" s="977"/>
      <c r="AD4" s="977"/>
      <c r="AE4" s="977"/>
      <c r="AF4" s="977"/>
      <c r="AG4" s="977"/>
      <c r="AH4" s="977"/>
      <c r="AI4" s="977"/>
      <c r="AJ4" s="977"/>
      <c r="AK4" s="977"/>
      <c r="AL4" s="977"/>
      <c r="AM4" s="977"/>
      <c r="AN4" s="977"/>
      <c r="AO4" s="977"/>
      <c r="AP4" s="977"/>
      <c r="AQ4" s="977"/>
      <c r="AR4" s="977"/>
      <c r="AS4" s="977"/>
      <c r="AT4" s="977"/>
      <c r="AU4" s="977"/>
      <c r="AV4" s="977"/>
      <c r="AW4" s="978"/>
      <c r="AX4" s="995" t="s">
        <v>159</v>
      </c>
      <c r="AY4" s="995"/>
    </row>
    <row r="5" spans="1:51" ht="15" customHeight="1" x14ac:dyDescent="0.3">
      <c r="A5" s="979" t="s">
        <v>160</v>
      </c>
      <c r="B5" s="980"/>
      <c r="C5" s="980"/>
      <c r="D5" s="980"/>
      <c r="E5" s="980"/>
      <c r="F5" s="980"/>
      <c r="G5" s="980"/>
      <c r="H5" s="980"/>
      <c r="I5" s="980"/>
      <c r="J5" s="980"/>
      <c r="K5" s="980"/>
      <c r="L5" s="980"/>
      <c r="M5" s="980"/>
      <c r="N5" s="980"/>
      <c r="O5" s="980"/>
      <c r="P5" s="980"/>
      <c r="Q5" s="980"/>
      <c r="R5" s="980"/>
      <c r="S5" s="980"/>
      <c r="T5" s="980"/>
      <c r="U5" s="980"/>
      <c r="V5" s="980"/>
      <c r="W5" s="980"/>
      <c r="X5" s="980"/>
      <c r="Y5" s="980"/>
      <c r="Z5" s="980"/>
      <c r="AA5" s="980"/>
      <c r="AB5" s="980"/>
      <c r="AC5" s="980"/>
      <c r="AD5" s="980"/>
      <c r="AE5" s="980"/>
      <c r="AF5" s="980"/>
      <c r="AG5" s="981"/>
      <c r="AH5" s="970" t="s">
        <v>13</v>
      </c>
      <c r="AI5" s="971"/>
      <c r="AJ5" s="971"/>
      <c r="AK5" s="971"/>
      <c r="AL5" s="971"/>
      <c r="AM5" s="971"/>
      <c r="AN5" s="971"/>
      <c r="AO5" s="971"/>
      <c r="AP5" s="971"/>
      <c r="AQ5" s="971"/>
      <c r="AR5" s="971"/>
      <c r="AS5" s="971"/>
      <c r="AT5" s="971"/>
      <c r="AU5" s="972"/>
      <c r="AV5" s="967" t="s">
        <v>161</v>
      </c>
      <c r="AW5" s="967" t="s">
        <v>162</v>
      </c>
      <c r="AX5" s="967" t="s">
        <v>163</v>
      </c>
      <c r="AY5" s="967" t="s">
        <v>164</v>
      </c>
    </row>
    <row r="6" spans="1:51" ht="15" customHeight="1" x14ac:dyDescent="0.3">
      <c r="A6" s="990" t="s">
        <v>9</v>
      </c>
      <c r="B6" s="990"/>
      <c r="C6" s="990"/>
      <c r="D6" s="991">
        <v>45232</v>
      </c>
      <c r="E6" s="992"/>
      <c r="F6" s="970" t="s">
        <v>10</v>
      </c>
      <c r="G6" s="972"/>
      <c r="H6" s="996" t="s">
        <v>11</v>
      </c>
      <c r="I6" s="996"/>
      <c r="J6" s="111"/>
      <c r="K6" s="970"/>
      <c r="L6" s="971"/>
      <c r="M6" s="971"/>
      <c r="N6" s="971"/>
      <c r="O6" s="971"/>
      <c r="P6" s="971"/>
      <c r="Q6" s="971"/>
      <c r="R6" s="971"/>
      <c r="S6" s="971"/>
      <c r="T6" s="971"/>
      <c r="U6" s="971"/>
      <c r="V6" s="971"/>
      <c r="W6" s="971"/>
      <c r="X6" s="971"/>
      <c r="Y6" s="971"/>
      <c r="Z6" s="971"/>
      <c r="AA6" s="971"/>
      <c r="AB6" s="971"/>
      <c r="AC6" s="971"/>
      <c r="AD6" s="971"/>
      <c r="AE6" s="971"/>
      <c r="AF6" s="971"/>
      <c r="AG6" s="972"/>
      <c r="AH6" s="973"/>
      <c r="AI6" s="974"/>
      <c r="AJ6" s="974"/>
      <c r="AK6" s="974"/>
      <c r="AL6" s="974"/>
      <c r="AM6" s="974"/>
      <c r="AN6" s="974"/>
      <c r="AO6" s="974"/>
      <c r="AP6" s="974"/>
      <c r="AQ6" s="974"/>
      <c r="AR6" s="974"/>
      <c r="AS6" s="974"/>
      <c r="AT6" s="974"/>
      <c r="AU6" s="975"/>
      <c r="AV6" s="968"/>
      <c r="AW6" s="968"/>
      <c r="AX6" s="968"/>
      <c r="AY6" s="968"/>
    </row>
    <row r="7" spans="1:51" ht="15" customHeight="1" x14ac:dyDescent="0.3">
      <c r="A7" s="990"/>
      <c r="B7" s="990"/>
      <c r="C7" s="990"/>
      <c r="D7" s="992"/>
      <c r="E7" s="992"/>
      <c r="F7" s="973"/>
      <c r="G7" s="975"/>
      <c r="H7" s="996" t="s">
        <v>12</v>
      </c>
      <c r="I7" s="996"/>
      <c r="J7" s="111"/>
      <c r="K7" s="973"/>
      <c r="L7" s="974"/>
      <c r="M7" s="974"/>
      <c r="N7" s="974"/>
      <c r="O7" s="974"/>
      <c r="P7" s="974"/>
      <c r="Q7" s="974"/>
      <c r="R7" s="974"/>
      <c r="S7" s="974"/>
      <c r="T7" s="974"/>
      <c r="U7" s="974"/>
      <c r="V7" s="974"/>
      <c r="W7" s="974"/>
      <c r="X7" s="974"/>
      <c r="Y7" s="974"/>
      <c r="Z7" s="974"/>
      <c r="AA7" s="974"/>
      <c r="AB7" s="974"/>
      <c r="AC7" s="974"/>
      <c r="AD7" s="974"/>
      <c r="AE7" s="974"/>
      <c r="AF7" s="974"/>
      <c r="AG7" s="975"/>
      <c r="AH7" s="973"/>
      <c r="AI7" s="974"/>
      <c r="AJ7" s="974"/>
      <c r="AK7" s="974"/>
      <c r="AL7" s="974"/>
      <c r="AM7" s="974"/>
      <c r="AN7" s="974"/>
      <c r="AO7" s="974"/>
      <c r="AP7" s="974"/>
      <c r="AQ7" s="974"/>
      <c r="AR7" s="974"/>
      <c r="AS7" s="974"/>
      <c r="AT7" s="974"/>
      <c r="AU7" s="975"/>
      <c r="AV7" s="968"/>
      <c r="AW7" s="968"/>
      <c r="AX7" s="968"/>
      <c r="AY7" s="968"/>
    </row>
    <row r="8" spans="1:51" ht="15" customHeight="1" x14ac:dyDescent="0.3">
      <c r="A8" s="990"/>
      <c r="B8" s="990"/>
      <c r="C8" s="990"/>
      <c r="D8" s="992"/>
      <c r="E8" s="992"/>
      <c r="F8" s="976"/>
      <c r="G8" s="978"/>
      <c r="H8" s="996" t="s">
        <v>13</v>
      </c>
      <c r="I8" s="996"/>
      <c r="J8" s="111" t="s">
        <v>14</v>
      </c>
      <c r="K8" s="976"/>
      <c r="L8" s="977"/>
      <c r="M8" s="977"/>
      <c r="N8" s="977"/>
      <c r="O8" s="977"/>
      <c r="P8" s="977"/>
      <c r="Q8" s="977"/>
      <c r="R8" s="977"/>
      <c r="S8" s="977"/>
      <c r="T8" s="977"/>
      <c r="U8" s="977"/>
      <c r="V8" s="977"/>
      <c r="W8" s="977"/>
      <c r="X8" s="977"/>
      <c r="Y8" s="977"/>
      <c r="Z8" s="977"/>
      <c r="AA8" s="977"/>
      <c r="AB8" s="977"/>
      <c r="AC8" s="977"/>
      <c r="AD8" s="977"/>
      <c r="AE8" s="977"/>
      <c r="AF8" s="977"/>
      <c r="AG8" s="978"/>
      <c r="AH8" s="973"/>
      <c r="AI8" s="974"/>
      <c r="AJ8" s="974"/>
      <c r="AK8" s="974"/>
      <c r="AL8" s="974"/>
      <c r="AM8" s="974"/>
      <c r="AN8" s="974"/>
      <c r="AO8" s="974"/>
      <c r="AP8" s="974"/>
      <c r="AQ8" s="974"/>
      <c r="AR8" s="974"/>
      <c r="AS8" s="974"/>
      <c r="AT8" s="974"/>
      <c r="AU8" s="975"/>
      <c r="AV8" s="968"/>
      <c r="AW8" s="968"/>
      <c r="AX8" s="968"/>
      <c r="AY8" s="968"/>
    </row>
    <row r="9" spans="1:51" ht="15" customHeight="1" x14ac:dyDescent="0.3">
      <c r="A9" s="1007" t="s">
        <v>165</v>
      </c>
      <c r="B9" s="1008"/>
      <c r="C9" s="1009"/>
      <c r="D9" s="984" t="s">
        <v>166</v>
      </c>
      <c r="E9" s="985"/>
      <c r="F9" s="985"/>
      <c r="G9" s="985"/>
      <c r="H9" s="985"/>
      <c r="I9" s="985"/>
      <c r="J9" s="985"/>
      <c r="K9" s="986"/>
      <c r="L9" s="986"/>
      <c r="M9" s="986"/>
      <c r="N9" s="986"/>
      <c r="O9" s="986"/>
      <c r="P9" s="986"/>
      <c r="Q9" s="986"/>
      <c r="R9" s="986"/>
      <c r="S9" s="986"/>
      <c r="T9" s="986"/>
      <c r="U9" s="986"/>
      <c r="V9" s="986"/>
      <c r="W9" s="986"/>
      <c r="X9" s="986"/>
      <c r="Y9" s="986"/>
      <c r="Z9" s="986"/>
      <c r="AA9" s="986"/>
      <c r="AB9" s="986"/>
      <c r="AC9" s="986"/>
      <c r="AD9" s="986"/>
      <c r="AE9" s="986"/>
      <c r="AF9" s="986"/>
      <c r="AG9" s="987"/>
      <c r="AH9" s="973"/>
      <c r="AI9" s="974"/>
      <c r="AJ9" s="974"/>
      <c r="AK9" s="974"/>
      <c r="AL9" s="974"/>
      <c r="AM9" s="974"/>
      <c r="AN9" s="974"/>
      <c r="AO9" s="974"/>
      <c r="AP9" s="974"/>
      <c r="AQ9" s="974"/>
      <c r="AR9" s="974"/>
      <c r="AS9" s="974"/>
      <c r="AT9" s="974"/>
      <c r="AU9" s="975"/>
      <c r="AV9" s="968"/>
      <c r="AW9" s="968"/>
      <c r="AX9" s="968"/>
      <c r="AY9" s="968"/>
    </row>
    <row r="10" spans="1:51" ht="15" customHeight="1" x14ac:dyDescent="0.3">
      <c r="A10" s="1004" t="s">
        <v>167</v>
      </c>
      <c r="B10" s="1005"/>
      <c r="C10" s="1006"/>
      <c r="D10" s="988" t="s">
        <v>168</v>
      </c>
      <c r="E10" s="986"/>
      <c r="F10" s="986"/>
      <c r="G10" s="986"/>
      <c r="H10" s="986"/>
      <c r="I10" s="986"/>
      <c r="J10" s="986"/>
      <c r="K10" s="986"/>
      <c r="L10" s="986"/>
      <c r="M10" s="986"/>
      <c r="N10" s="986"/>
      <c r="O10" s="986"/>
      <c r="P10" s="986"/>
      <c r="Q10" s="986"/>
      <c r="R10" s="986"/>
      <c r="S10" s="986"/>
      <c r="T10" s="986"/>
      <c r="U10" s="986"/>
      <c r="V10" s="986"/>
      <c r="W10" s="986"/>
      <c r="X10" s="986"/>
      <c r="Y10" s="986"/>
      <c r="Z10" s="986"/>
      <c r="AA10" s="986"/>
      <c r="AB10" s="986"/>
      <c r="AC10" s="986"/>
      <c r="AD10" s="986"/>
      <c r="AE10" s="986"/>
      <c r="AF10" s="986"/>
      <c r="AG10" s="987"/>
      <c r="AH10" s="976"/>
      <c r="AI10" s="977"/>
      <c r="AJ10" s="977"/>
      <c r="AK10" s="977"/>
      <c r="AL10" s="977"/>
      <c r="AM10" s="977"/>
      <c r="AN10" s="977"/>
      <c r="AO10" s="977"/>
      <c r="AP10" s="977"/>
      <c r="AQ10" s="977"/>
      <c r="AR10" s="977"/>
      <c r="AS10" s="977"/>
      <c r="AT10" s="977"/>
      <c r="AU10" s="978"/>
      <c r="AV10" s="968"/>
      <c r="AW10" s="968"/>
      <c r="AX10" s="968"/>
      <c r="AY10" s="968"/>
    </row>
    <row r="11" spans="1:51" ht="39.75" customHeight="1" x14ac:dyDescent="0.3">
      <c r="A11" s="982" t="s">
        <v>169</v>
      </c>
      <c r="B11" s="989"/>
      <c r="C11" s="989"/>
      <c r="D11" s="989"/>
      <c r="E11" s="989"/>
      <c r="F11" s="983"/>
      <c r="G11" s="982" t="s">
        <v>170</v>
      </c>
      <c r="H11" s="983"/>
      <c r="I11" s="967" t="s">
        <v>171</v>
      </c>
      <c r="J11" s="967" t="s">
        <v>172</v>
      </c>
      <c r="K11" s="967" t="s">
        <v>173</v>
      </c>
      <c r="L11" s="967" t="s">
        <v>174</v>
      </c>
      <c r="M11" s="967" t="s">
        <v>175</v>
      </c>
      <c r="N11" s="967" t="s">
        <v>176</v>
      </c>
      <c r="O11" s="982" t="s">
        <v>177</v>
      </c>
      <c r="P11" s="989"/>
      <c r="Q11" s="989"/>
      <c r="R11" s="989"/>
      <c r="S11" s="983"/>
      <c r="T11" s="967" t="s">
        <v>178</v>
      </c>
      <c r="U11" s="967" t="s">
        <v>179</v>
      </c>
      <c r="V11" s="979" t="s">
        <v>180</v>
      </c>
      <c r="W11" s="980"/>
      <c r="X11" s="980"/>
      <c r="Y11" s="980"/>
      <c r="Z11" s="980"/>
      <c r="AA11" s="980"/>
      <c r="AB11" s="980"/>
      <c r="AC11" s="980"/>
      <c r="AD11" s="980"/>
      <c r="AE11" s="980"/>
      <c r="AF11" s="980"/>
      <c r="AG11" s="981"/>
      <c r="AH11" s="979" t="s">
        <v>181</v>
      </c>
      <c r="AI11" s="980"/>
      <c r="AJ11" s="980"/>
      <c r="AK11" s="980"/>
      <c r="AL11" s="980"/>
      <c r="AM11" s="980"/>
      <c r="AN11" s="980"/>
      <c r="AO11" s="980"/>
      <c r="AP11" s="980"/>
      <c r="AQ11" s="980"/>
      <c r="AR11" s="980"/>
      <c r="AS11" s="981"/>
      <c r="AT11" s="982" t="s">
        <v>41</v>
      </c>
      <c r="AU11" s="983"/>
      <c r="AV11" s="968"/>
      <c r="AW11" s="968"/>
      <c r="AX11" s="968"/>
      <c r="AY11" s="968"/>
    </row>
    <row r="12" spans="1:51" ht="41.4" x14ac:dyDescent="0.3">
      <c r="A12" s="147" t="s">
        <v>182</v>
      </c>
      <c r="B12" s="147" t="s">
        <v>183</v>
      </c>
      <c r="C12" s="147" t="s">
        <v>184</v>
      </c>
      <c r="D12" s="147" t="s">
        <v>185</v>
      </c>
      <c r="E12" s="147" t="s">
        <v>186</v>
      </c>
      <c r="F12" s="147" t="s">
        <v>187</v>
      </c>
      <c r="G12" s="147" t="s">
        <v>188</v>
      </c>
      <c r="H12" s="147" t="s">
        <v>189</v>
      </c>
      <c r="I12" s="969"/>
      <c r="J12" s="969"/>
      <c r="K12" s="969"/>
      <c r="L12" s="969"/>
      <c r="M12" s="969"/>
      <c r="N12" s="969"/>
      <c r="O12" s="147">
        <v>2020</v>
      </c>
      <c r="P12" s="147">
        <v>2021</v>
      </c>
      <c r="Q12" s="147">
        <v>2022</v>
      </c>
      <c r="R12" s="147">
        <v>2023</v>
      </c>
      <c r="S12" s="147">
        <v>2024</v>
      </c>
      <c r="T12" s="969"/>
      <c r="U12" s="969"/>
      <c r="V12" s="149" t="s">
        <v>30</v>
      </c>
      <c r="W12" s="149" t="s">
        <v>31</v>
      </c>
      <c r="X12" s="149" t="s">
        <v>32</v>
      </c>
      <c r="Y12" s="149" t="s">
        <v>33</v>
      </c>
      <c r="Z12" s="149" t="s">
        <v>34</v>
      </c>
      <c r="AA12" s="149" t="s">
        <v>35</v>
      </c>
      <c r="AB12" s="149" t="s">
        <v>36</v>
      </c>
      <c r="AC12" s="149" t="s">
        <v>37</v>
      </c>
      <c r="AD12" s="149" t="s">
        <v>8</v>
      </c>
      <c r="AE12" s="149" t="s">
        <v>38</v>
      </c>
      <c r="AF12" s="149" t="s">
        <v>39</v>
      </c>
      <c r="AG12" s="149" t="s">
        <v>40</v>
      </c>
      <c r="AH12" s="149" t="s">
        <v>30</v>
      </c>
      <c r="AI12" s="149" t="s">
        <v>31</v>
      </c>
      <c r="AJ12" s="149" t="s">
        <v>32</v>
      </c>
      <c r="AK12" s="149" t="s">
        <v>33</v>
      </c>
      <c r="AL12" s="149" t="s">
        <v>34</v>
      </c>
      <c r="AM12" s="149" t="s">
        <v>35</v>
      </c>
      <c r="AN12" s="149" t="s">
        <v>36</v>
      </c>
      <c r="AO12" s="149" t="s">
        <v>37</v>
      </c>
      <c r="AP12" s="149" t="s">
        <v>8</v>
      </c>
      <c r="AQ12" s="149" t="s">
        <v>38</v>
      </c>
      <c r="AR12" s="149" t="s">
        <v>39</v>
      </c>
      <c r="AS12" s="149" t="s">
        <v>40</v>
      </c>
      <c r="AT12" s="147" t="s">
        <v>190</v>
      </c>
      <c r="AU12" s="150" t="s">
        <v>191</v>
      </c>
      <c r="AV12" s="969"/>
      <c r="AW12" s="969"/>
      <c r="AX12" s="969"/>
      <c r="AY12" s="969"/>
    </row>
    <row r="13" spans="1:51" s="178" customFormat="1" ht="127.5" hidden="1" customHeight="1" x14ac:dyDescent="0.3">
      <c r="A13" s="151">
        <v>37</v>
      </c>
      <c r="B13" s="156" t="s">
        <v>192</v>
      </c>
      <c r="C13" s="156" t="s">
        <v>192</v>
      </c>
      <c r="D13" s="156" t="s">
        <v>192</v>
      </c>
      <c r="E13" s="156" t="s">
        <v>192</v>
      </c>
      <c r="F13" s="156" t="s">
        <v>192</v>
      </c>
      <c r="G13" s="156" t="s">
        <v>192</v>
      </c>
      <c r="H13" s="156" t="s">
        <v>192</v>
      </c>
      <c r="I13" s="148" t="s">
        <v>193</v>
      </c>
      <c r="J13" s="152" t="s">
        <v>194</v>
      </c>
      <c r="K13" s="161" t="s">
        <v>195</v>
      </c>
      <c r="L13" s="154">
        <v>15</v>
      </c>
      <c r="M13" s="153" t="s">
        <v>196</v>
      </c>
      <c r="N13" s="152" t="s">
        <v>197</v>
      </c>
      <c r="O13" s="224">
        <v>15</v>
      </c>
      <c r="P13" s="224">
        <v>15</v>
      </c>
      <c r="Q13" s="224">
        <v>15</v>
      </c>
      <c r="R13" s="224">
        <v>15</v>
      </c>
      <c r="S13" s="224">
        <v>15</v>
      </c>
      <c r="T13" s="225" t="s">
        <v>198</v>
      </c>
      <c r="U13" s="226" t="s">
        <v>199</v>
      </c>
      <c r="V13" s="227">
        <v>0</v>
      </c>
      <c r="W13" s="227">
        <v>1</v>
      </c>
      <c r="X13" s="227">
        <v>1</v>
      </c>
      <c r="Y13" s="227">
        <v>1</v>
      </c>
      <c r="Z13" s="227">
        <v>2</v>
      </c>
      <c r="AA13" s="227">
        <v>2</v>
      </c>
      <c r="AB13" s="227">
        <v>2</v>
      </c>
      <c r="AC13" s="227">
        <v>2</v>
      </c>
      <c r="AD13" s="227">
        <v>1</v>
      </c>
      <c r="AE13" s="227">
        <v>1</v>
      </c>
      <c r="AF13" s="227">
        <v>1</v>
      </c>
      <c r="AG13" s="227">
        <v>1</v>
      </c>
      <c r="AH13" s="111">
        <v>0</v>
      </c>
      <c r="AI13" s="111">
        <v>1</v>
      </c>
      <c r="AJ13" s="111">
        <v>2</v>
      </c>
      <c r="AK13" s="111">
        <v>3</v>
      </c>
      <c r="AL13" s="111">
        <v>3</v>
      </c>
      <c r="AM13" s="111">
        <v>2</v>
      </c>
      <c r="AN13" s="229">
        <v>1</v>
      </c>
      <c r="AO13" s="229">
        <v>0</v>
      </c>
      <c r="AP13" s="229">
        <v>3</v>
      </c>
      <c r="AQ13" s="229">
        <v>0</v>
      </c>
      <c r="AR13" s="229"/>
      <c r="AS13" s="229"/>
      <c r="AT13" s="235">
        <f>SUM(AH13:AS13)</f>
        <v>15</v>
      </c>
      <c r="AU13" s="236">
        <f>+AT13/R13</f>
        <v>1</v>
      </c>
      <c r="AV13" s="373" t="s">
        <v>539</v>
      </c>
      <c r="AW13" s="374" t="s">
        <v>540</v>
      </c>
      <c r="AX13" s="374" t="s">
        <v>200</v>
      </c>
      <c r="AY13" s="379" t="s">
        <v>201</v>
      </c>
    </row>
    <row r="14" spans="1:51" s="178" customFormat="1" ht="183.75" customHeight="1" x14ac:dyDescent="0.3">
      <c r="A14" s="155" t="s">
        <v>192</v>
      </c>
      <c r="B14" s="156" t="s">
        <v>192</v>
      </c>
      <c r="C14" s="156" t="s">
        <v>192</v>
      </c>
      <c r="D14" s="157">
        <v>39</v>
      </c>
      <c r="E14" s="156" t="s">
        <v>192</v>
      </c>
      <c r="F14" s="156" t="s">
        <v>192</v>
      </c>
      <c r="G14" s="156" t="s">
        <v>192</v>
      </c>
      <c r="H14" s="156" t="s">
        <v>192</v>
      </c>
      <c r="I14" s="148" t="s">
        <v>202</v>
      </c>
      <c r="J14" s="148" t="s">
        <v>203</v>
      </c>
      <c r="K14" s="158" t="s">
        <v>204</v>
      </c>
      <c r="L14" s="159">
        <v>12200</v>
      </c>
      <c r="M14" s="158" t="s">
        <v>205</v>
      </c>
      <c r="N14" s="152" t="s">
        <v>206</v>
      </c>
      <c r="O14" s="227">
        <v>900</v>
      </c>
      <c r="P14" s="227">
        <v>3200</v>
      </c>
      <c r="Q14" s="227">
        <v>3900</v>
      </c>
      <c r="R14" s="227">
        <v>3300</v>
      </c>
      <c r="S14" s="227">
        <v>900</v>
      </c>
      <c r="T14" s="111" t="s">
        <v>207</v>
      </c>
      <c r="U14" s="226" t="s">
        <v>208</v>
      </c>
      <c r="V14" s="228">
        <v>20</v>
      </c>
      <c r="W14" s="228">
        <v>303</v>
      </c>
      <c r="X14" s="228">
        <v>303</v>
      </c>
      <c r="Y14" s="228">
        <v>303</v>
      </c>
      <c r="Z14" s="228">
        <v>303</v>
      </c>
      <c r="AA14" s="228">
        <v>303</v>
      </c>
      <c r="AB14" s="228">
        <v>303</v>
      </c>
      <c r="AC14" s="228">
        <v>303</v>
      </c>
      <c r="AD14" s="228">
        <v>303</v>
      </c>
      <c r="AE14" s="228">
        <v>303</v>
      </c>
      <c r="AF14" s="228">
        <v>303</v>
      </c>
      <c r="AG14" s="228">
        <v>250</v>
      </c>
      <c r="AH14" s="111">
        <v>71</v>
      </c>
      <c r="AI14" s="111">
        <v>270</v>
      </c>
      <c r="AJ14" s="229">
        <v>306</v>
      </c>
      <c r="AK14" s="229">
        <v>303</v>
      </c>
      <c r="AL14" s="229">
        <v>286</v>
      </c>
      <c r="AM14" s="110">
        <v>377</v>
      </c>
      <c r="AN14" s="235">
        <v>368</v>
      </c>
      <c r="AO14" s="235">
        <v>383</v>
      </c>
      <c r="AP14" s="235">
        <v>405</v>
      </c>
      <c r="AQ14" s="235">
        <v>429</v>
      </c>
      <c r="AR14" s="235"/>
      <c r="AS14" s="235"/>
      <c r="AT14" s="235">
        <f t="shared" ref="AT14:AT19" si="0">SUM(AH14:AS14)</f>
        <v>3198</v>
      </c>
      <c r="AU14" s="236">
        <f t="shared" ref="AU14:AU19" si="1">+AT14/R14</f>
        <v>0.96909090909090911</v>
      </c>
      <c r="AV14" s="369" t="s">
        <v>541</v>
      </c>
      <c r="AW14" s="375" t="s">
        <v>542</v>
      </c>
      <c r="AX14" s="376" t="s">
        <v>209</v>
      </c>
      <c r="AY14" s="376" t="s">
        <v>201</v>
      </c>
    </row>
    <row r="15" spans="1:51" s="178" customFormat="1" ht="167.25" customHeight="1" x14ac:dyDescent="0.3">
      <c r="A15" s="155" t="s">
        <v>192</v>
      </c>
      <c r="B15" s="156" t="s">
        <v>192</v>
      </c>
      <c r="C15" s="156" t="s">
        <v>192</v>
      </c>
      <c r="D15" s="157">
        <v>40</v>
      </c>
      <c r="E15" s="156" t="s">
        <v>192</v>
      </c>
      <c r="F15" s="156" t="s">
        <v>192</v>
      </c>
      <c r="G15" s="156" t="s">
        <v>192</v>
      </c>
      <c r="H15" s="156" t="s">
        <v>192</v>
      </c>
      <c r="I15" s="148" t="s">
        <v>210</v>
      </c>
      <c r="J15" s="148" t="s">
        <v>211</v>
      </c>
      <c r="K15" s="158" t="s">
        <v>204</v>
      </c>
      <c r="L15" s="159">
        <v>8100</v>
      </c>
      <c r="M15" s="158" t="s">
        <v>205</v>
      </c>
      <c r="N15" s="152" t="s">
        <v>212</v>
      </c>
      <c r="O15" s="227">
        <v>650</v>
      </c>
      <c r="P15" s="227">
        <v>2400</v>
      </c>
      <c r="Q15" s="227">
        <v>2200</v>
      </c>
      <c r="R15" s="227">
        <v>2200</v>
      </c>
      <c r="S15" s="227">
        <v>650</v>
      </c>
      <c r="T15" s="111" t="s">
        <v>207</v>
      </c>
      <c r="U15" s="226" t="s">
        <v>213</v>
      </c>
      <c r="V15" s="228">
        <v>10</v>
      </c>
      <c r="W15" s="228">
        <v>202</v>
      </c>
      <c r="X15" s="228">
        <v>202</v>
      </c>
      <c r="Y15" s="228">
        <v>202</v>
      </c>
      <c r="Z15" s="228">
        <v>202</v>
      </c>
      <c r="AA15" s="228">
        <v>202</v>
      </c>
      <c r="AB15" s="228">
        <v>202</v>
      </c>
      <c r="AC15" s="228">
        <v>202</v>
      </c>
      <c r="AD15" s="228">
        <v>202</v>
      </c>
      <c r="AE15" s="228">
        <v>202</v>
      </c>
      <c r="AF15" s="228">
        <v>202</v>
      </c>
      <c r="AG15" s="228">
        <v>170</v>
      </c>
      <c r="AH15" s="111">
        <v>20</v>
      </c>
      <c r="AI15" s="111">
        <v>106</v>
      </c>
      <c r="AJ15" s="229">
        <v>219</v>
      </c>
      <c r="AK15" s="229">
        <v>254</v>
      </c>
      <c r="AL15" s="229">
        <v>276</v>
      </c>
      <c r="AM15" s="110">
        <v>226</v>
      </c>
      <c r="AN15" s="235">
        <v>242</v>
      </c>
      <c r="AO15" s="235">
        <v>204</v>
      </c>
      <c r="AP15" s="235">
        <v>244</v>
      </c>
      <c r="AQ15" s="235">
        <v>197</v>
      </c>
      <c r="AR15" s="235"/>
      <c r="AS15" s="235"/>
      <c r="AT15" s="235">
        <f t="shared" si="0"/>
        <v>1988</v>
      </c>
      <c r="AU15" s="236">
        <f t="shared" si="1"/>
        <v>0.90363636363636368</v>
      </c>
      <c r="AV15" s="369" t="s">
        <v>543</v>
      </c>
      <c r="AW15" s="375" t="s">
        <v>544</v>
      </c>
      <c r="AX15" s="377" t="s">
        <v>209</v>
      </c>
      <c r="AY15" s="379" t="s">
        <v>201</v>
      </c>
    </row>
    <row r="16" spans="1:51" s="178" customFormat="1" ht="147" customHeight="1" x14ac:dyDescent="0.3">
      <c r="A16" s="155" t="s">
        <v>192</v>
      </c>
      <c r="B16" s="156" t="s">
        <v>192</v>
      </c>
      <c r="C16" s="156" t="s">
        <v>192</v>
      </c>
      <c r="D16" s="157">
        <v>41</v>
      </c>
      <c r="E16" s="156" t="s">
        <v>192</v>
      </c>
      <c r="F16" s="156" t="s">
        <v>192</v>
      </c>
      <c r="G16" s="156" t="s">
        <v>192</v>
      </c>
      <c r="H16" s="156" t="s">
        <v>192</v>
      </c>
      <c r="I16" s="148" t="s">
        <v>214</v>
      </c>
      <c r="J16" s="148" t="s">
        <v>215</v>
      </c>
      <c r="K16" s="158" t="s">
        <v>204</v>
      </c>
      <c r="L16" s="159">
        <v>19200</v>
      </c>
      <c r="M16" s="158" t="s">
        <v>205</v>
      </c>
      <c r="N16" s="152" t="s">
        <v>216</v>
      </c>
      <c r="O16" s="227">
        <v>1500</v>
      </c>
      <c r="P16" s="227">
        <v>5000</v>
      </c>
      <c r="Q16" s="227">
        <v>6200</v>
      </c>
      <c r="R16" s="227">
        <v>5000</v>
      </c>
      <c r="S16" s="227">
        <v>1500</v>
      </c>
      <c r="T16" s="111" t="s">
        <v>207</v>
      </c>
      <c r="U16" s="226" t="s">
        <v>217</v>
      </c>
      <c r="V16" s="227">
        <v>250</v>
      </c>
      <c r="W16" s="227">
        <v>432</v>
      </c>
      <c r="X16" s="227">
        <v>432</v>
      </c>
      <c r="Y16" s="227">
        <v>432</v>
      </c>
      <c r="Z16" s="227">
        <v>432</v>
      </c>
      <c r="AA16" s="227">
        <v>432</v>
      </c>
      <c r="AB16" s="227">
        <v>432</v>
      </c>
      <c r="AC16" s="227">
        <v>432</v>
      </c>
      <c r="AD16" s="227">
        <v>432</v>
      </c>
      <c r="AE16" s="227">
        <v>432</v>
      </c>
      <c r="AF16" s="227">
        <v>432</v>
      </c>
      <c r="AG16" s="227">
        <v>430</v>
      </c>
      <c r="AH16" s="111">
        <v>327</v>
      </c>
      <c r="AI16" s="111">
        <v>395</v>
      </c>
      <c r="AJ16" s="229">
        <v>408</v>
      </c>
      <c r="AK16" s="229">
        <v>326</v>
      </c>
      <c r="AL16" s="229">
        <v>323</v>
      </c>
      <c r="AM16" s="110">
        <v>389</v>
      </c>
      <c r="AN16" s="235">
        <v>460</v>
      </c>
      <c r="AO16" s="235">
        <v>463</v>
      </c>
      <c r="AP16" s="235">
        <v>476</v>
      </c>
      <c r="AQ16" s="235">
        <v>440</v>
      </c>
      <c r="AR16" s="235"/>
      <c r="AS16" s="235"/>
      <c r="AT16" s="235">
        <f t="shared" si="0"/>
        <v>4007</v>
      </c>
      <c r="AU16" s="236">
        <f t="shared" si="1"/>
        <v>0.8014</v>
      </c>
      <c r="AV16" s="378" t="s">
        <v>545</v>
      </c>
      <c r="AW16" s="377" t="s">
        <v>546</v>
      </c>
      <c r="AX16" s="378" t="s">
        <v>218</v>
      </c>
      <c r="AY16" s="380" t="s">
        <v>201</v>
      </c>
    </row>
    <row r="17" spans="1:51" s="178" customFormat="1" ht="114.75" hidden="1" customHeight="1" x14ac:dyDescent="0.3">
      <c r="A17" s="156" t="s">
        <v>192</v>
      </c>
      <c r="B17" s="156" t="s">
        <v>192</v>
      </c>
      <c r="C17" s="156" t="s">
        <v>192</v>
      </c>
      <c r="D17" s="156" t="s">
        <v>192</v>
      </c>
      <c r="E17" s="156" t="s">
        <v>192</v>
      </c>
      <c r="F17" s="156" t="s">
        <v>192</v>
      </c>
      <c r="G17" s="1000" t="s">
        <v>219</v>
      </c>
      <c r="H17" s="1000" t="s">
        <v>220</v>
      </c>
      <c r="I17" s="1002" t="s">
        <v>221</v>
      </c>
      <c r="J17" s="152" t="s">
        <v>222</v>
      </c>
      <c r="K17" s="158" t="s">
        <v>223</v>
      </c>
      <c r="L17" s="179">
        <v>132</v>
      </c>
      <c r="M17" s="180" t="s">
        <v>224</v>
      </c>
      <c r="N17" s="148" t="s">
        <v>225</v>
      </c>
      <c r="O17" s="227">
        <v>0</v>
      </c>
      <c r="P17" s="227">
        <v>48</v>
      </c>
      <c r="Q17" s="227">
        <v>48</v>
      </c>
      <c r="R17" s="227">
        <v>24</v>
      </c>
      <c r="S17" s="227">
        <v>12</v>
      </c>
      <c r="T17" s="111" t="s">
        <v>207</v>
      </c>
      <c r="U17" s="226" t="s">
        <v>226</v>
      </c>
      <c r="V17" s="227">
        <v>1</v>
      </c>
      <c r="W17" s="227">
        <v>2</v>
      </c>
      <c r="X17" s="227">
        <v>2</v>
      </c>
      <c r="Y17" s="227">
        <v>2</v>
      </c>
      <c r="Z17" s="227">
        <v>2</v>
      </c>
      <c r="AA17" s="227">
        <v>2</v>
      </c>
      <c r="AB17" s="227">
        <v>2</v>
      </c>
      <c r="AC17" s="227">
        <v>2</v>
      </c>
      <c r="AD17" s="227">
        <v>2</v>
      </c>
      <c r="AE17" s="227">
        <v>2</v>
      </c>
      <c r="AF17" s="227">
        <v>2</v>
      </c>
      <c r="AG17" s="227">
        <v>3</v>
      </c>
      <c r="AH17" s="111">
        <v>1</v>
      </c>
      <c r="AI17" s="229">
        <v>2</v>
      </c>
      <c r="AJ17" s="229">
        <v>2</v>
      </c>
      <c r="AK17" s="229">
        <v>2</v>
      </c>
      <c r="AL17" s="229">
        <v>2</v>
      </c>
      <c r="AM17" s="111">
        <v>2</v>
      </c>
      <c r="AN17" s="235">
        <v>2</v>
      </c>
      <c r="AO17" s="235">
        <v>2</v>
      </c>
      <c r="AP17" s="235">
        <v>2</v>
      </c>
      <c r="AQ17" s="235">
        <v>2</v>
      </c>
      <c r="AR17" s="235"/>
      <c r="AS17" s="235"/>
      <c r="AT17" s="235">
        <f t="shared" si="0"/>
        <v>19</v>
      </c>
      <c r="AU17" s="236">
        <f t="shared" si="1"/>
        <v>0.79166666666666663</v>
      </c>
      <c r="AV17" s="367" t="s">
        <v>566</v>
      </c>
      <c r="AW17" s="368" t="s">
        <v>567</v>
      </c>
      <c r="AX17" s="369" t="s">
        <v>227</v>
      </c>
      <c r="AY17" s="368" t="s">
        <v>201</v>
      </c>
    </row>
    <row r="18" spans="1:51" s="178" customFormat="1" ht="72.599999999999994" hidden="1" customHeight="1" x14ac:dyDescent="0.3">
      <c r="A18" s="156" t="s">
        <v>192</v>
      </c>
      <c r="B18" s="156" t="s">
        <v>192</v>
      </c>
      <c r="C18" s="156" t="s">
        <v>192</v>
      </c>
      <c r="D18" s="156" t="s">
        <v>192</v>
      </c>
      <c r="E18" s="156" t="s">
        <v>192</v>
      </c>
      <c r="F18" s="156" t="s">
        <v>192</v>
      </c>
      <c r="G18" s="1001"/>
      <c r="H18" s="1001"/>
      <c r="I18" s="1003"/>
      <c r="J18" s="152" t="s">
        <v>228</v>
      </c>
      <c r="K18" s="158" t="s">
        <v>223</v>
      </c>
      <c r="L18" s="179">
        <v>134</v>
      </c>
      <c r="M18" s="180" t="s">
        <v>224</v>
      </c>
      <c r="N18" s="148" t="s">
        <v>229</v>
      </c>
      <c r="O18" s="230">
        <v>0</v>
      </c>
      <c r="P18" s="230">
        <v>40</v>
      </c>
      <c r="Q18" s="230">
        <v>40</v>
      </c>
      <c r="R18" s="230">
        <v>36</v>
      </c>
      <c r="S18" s="230">
        <v>18</v>
      </c>
      <c r="T18" s="111" t="s">
        <v>207</v>
      </c>
      <c r="U18" s="226" t="s">
        <v>230</v>
      </c>
      <c r="V18" s="227">
        <v>0</v>
      </c>
      <c r="W18" s="227">
        <v>0</v>
      </c>
      <c r="X18" s="227">
        <v>0</v>
      </c>
      <c r="Y18" s="227">
        <v>4</v>
      </c>
      <c r="Z18" s="227">
        <v>4</v>
      </c>
      <c r="AA18" s="227">
        <v>4</v>
      </c>
      <c r="AB18" s="227">
        <v>4</v>
      </c>
      <c r="AC18" s="227">
        <v>4</v>
      </c>
      <c r="AD18" s="227">
        <v>4</v>
      </c>
      <c r="AE18" s="227">
        <v>4</v>
      </c>
      <c r="AF18" s="227">
        <v>4</v>
      </c>
      <c r="AG18" s="227">
        <v>4</v>
      </c>
      <c r="AH18" s="111">
        <v>0</v>
      </c>
      <c r="AI18" s="229">
        <v>0</v>
      </c>
      <c r="AJ18" s="229">
        <v>0</v>
      </c>
      <c r="AK18" s="229">
        <v>2</v>
      </c>
      <c r="AL18" s="229">
        <v>6</v>
      </c>
      <c r="AM18" s="111">
        <v>4</v>
      </c>
      <c r="AN18" s="235">
        <v>2</v>
      </c>
      <c r="AO18" s="235">
        <v>5</v>
      </c>
      <c r="AP18" s="235">
        <v>5</v>
      </c>
      <c r="AQ18" s="235">
        <v>4</v>
      </c>
      <c r="AR18" s="235"/>
      <c r="AS18" s="235"/>
      <c r="AT18" s="235">
        <f t="shared" si="0"/>
        <v>28</v>
      </c>
      <c r="AU18" s="236">
        <f t="shared" si="1"/>
        <v>0.77777777777777779</v>
      </c>
      <c r="AV18" s="369" t="s">
        <v>568</v>
      </c>
      <c r="AW18" s="369" t="s">
        <v>569</v>
      </c>
      <c r="AX18" s="369" t="s">
        <v>227</v>
      </c>
      <c r="AY18" s="369" t="s">
        <v>201</v>
      </c>
    </row>
    <row r="19" spans="1:51" s="178" customFormat="1" ht="101.4" hidden="1" customHeight="1" x14ac:dyDescent="0.3">
      <c r="A19" s="156" t="s">
        <v>192</v>
      </c>
      <c r="B19" s="156" t="s">
        <v>192</v>
      </c>
      <c r="C19" s="156" t="s">
        <v>192</v>
      </c>
      <c r="D19" s="156" t="s">
        <v>192</v>
      </c>
      <c r="E19" s="156" t="s">
        <v>192</v>
      </c>
      <c r="F19" s="157" t="s">
        <v>14</v>
      </c>
      <c r="G19" s="156" t="s">
        <v>192</v>
      </c>
      <c r="H19" s="156" t="s">
        <v>192</v>
      </c>
      <c r="I19" s="152" t="s">
        <v>231</v>
      </c>
      <c r="J19" s="152" t="s">
        <v>232</v>
      </c>
      <c r="K19" s="158" t="s">
        <v>204</v>
      </c>
      <c r="L19" s="159">
        <v>15738</v>
      </c>
      <c r="M19" s="148" t="s">
        <v>233</v>
      </c>
      <c r="N19" s="152" t="s">
        <v>234</v>
      </c>
      <c r="O19" s="227">
        <v>0</v>
      </c>
      <c r="P19" s="230">
        <v>1632</v>
      </c>
      <c r="Q19" s="230">
        <v>6476</v>
      </c>
      <c r="R19" s="230">
        <v>5998</v>
      </c>
      <c r="S19" s="230">
        <v>1632</v>
      </c>
      <c r="T19" s="111" t="s">
        <v>207</v>
      </c>
      <c r="U19" s="109" t="s">
        <v>235</v>
      </c>
      <c r="V19" s="227">
        <v>20</v>
      </c>
      <c r="W19" s="227">
        <v>160</v>
      </c>
      <c r="X19" s="227">
        <v>160</v>
      </c>
      <c r="Y19" s="227">
        <v>160</v>
      </c>
      <c r="Z19" s="237">
        <v>160</v>
      </c>
      <c r="AA19" s="237">
        <v>762</v>
      </c>
      <c r="AB19" s="237">
        <v>763</v>
      </c>
      <c r="AC19" s="237">
        <v>763</v>
      </c>
      <c r="AD19" s="237">
        <v>763</v>
      </c>
      <c r="AE19" s="237">
        <v>763</v>
      </c>
      <c r="AF19" s="237">
        <v>762</v>
      </c>
      <c r="AG19" s="237">
        <v>762</v>
      </c>
      <c r="AH19" s="231">
        <v>150</v>
      </c>
      <c r="AI19" s="229">
        <v>220</v>
      </c>
      <c r="AJ19" s="232">
        <v>146</v>
      </c>
      <c r="AK19" s="232">
        <v>229</v>
      </c>
      <c r="AL19" s="231">
        <v>577</v>
      </c>
      <c r="AM19" s="232">
        <v>211</v>
      </c>
      <c r="AN19" s="238">
        <v>742</v>
      </c>
      <c r="AO19" s="238">
        <v>431</v>
      </c>
      <c r="AP19" s="238">
        <v>740</v>
      </c>
      <c r="AQ19" s="238">
        <v>338</v>
      </c>
      <c r="AR19" s="238"/>
      <c r="AS19" s="238"/>
      <c r="AT19" s="238">
        <f t="shared" si="0"/>
        <v>3784</v>
      </c>
      <c r="AU19" s="371">
        <f t="shared" si="1"/>
        <v>0.63087695898632878</v>
      </c>
      <c r="AV19" s="369" t="s">
        <v>600</v>
      </c>
      <c r="AW19" s="369" t="s">
        <v>547</v>
      </c>
      <c r="AX19" s="372" t="s">
        <v>236</v>
      </c>
      <c r="AY19" s="369" t="s">
        <v>237</v>
      </c>
    </row>
    <row r="20" spans="1:51" hidden="1" x14ac:dyDescent="0.3">
      <c r="A20" s="988">
        <v>763</v>
      </c>
      <c r="B20" s="986"/>
      <c r="C20" s="986"/>
      <c r="D20" s="986"/>
      <c r="E20" s="986"/>
      <c r="F20" s="986"/>
      <c r="G20" s="986"/>
      <c r="H20" s="986"/>
      <c r="I20" s="986"/>
      <c r="J20" s="986"/>
      <c r="K20" s="986"/>
      <c r="L20" s="986"/>
      <c r="M20" s="986"/>
      <c r="N20" s="986"/>
      <c r="O20" s="986"/>
      <c r="P20" s="986"/>
      <c r="Q20" s="986"/>
      <c r="R20" s="986"/>
      <c r="S20" s="986"/>
      <c r="T20" s="986"/>
      <c r="U20" s="986"/>
      <c r="V20" s="986"/>
      <c r="W20" s="986"/>
      <c r="X20" s="986"/>
      <c r="Y20" s="986"/>
      <c r="Z20" s="986"/>
      <c r="AA20" s="986"/>
      <c r="AB20" s="986"/>
      <c r="AC20" s="986"/>
      <c r="AD20" s="986"/>
      <c r="AE20" s="986"/>
      <c r="AF20" s="986"/>
      <c r="AG20" s="986"/>
      <c r="AH20" s="986"/>
      <c r="AI20" s="986"/>
      <c r="AJ20" s="986"/>
      <c r="AK20" s="986"/>
      <c r="AL20" s="986"/>
      <c r="AM20" s="986"/>
      <c r="AN20" s="986"/>
      <c r="AO20" s="986"/>
      <c r="AP20" s="986"/>
      <c r="AQ20" s="986"/>
      <c r="AR20" s="986"/>
      <c r="AS20" s="986"/>
      <c r="AT20" s="986"/>
      <c r="AU20" s="986"/>
      <c r="AV20" s="986"/>
      <c r="AW20" s="986"/>
      <c r="AX20" s="986"/>
      <c r="AY20" s="987"/>
    </row>
    <row r="21" spans="1:51" s="370" customFormat="1" ht="131.25" hidden="1" customHeight="1" x14ac:dyDescent="0.3">
      <c r="A21" s="997" t="s">
        <v>238</v>
      </c>
      <c r="B21" s="997"/>
      <c r="C21" s="997"/>
      <c r="D21" s="999" t="s">
        <v>239</v>
      </c>
      <c r="E21" s="999"/>
      <c r="F21" s="999"/>
      <c r="G21" s="999"/>
      <c r="H21" s="999"/>
      <c r="I21" s="999"/>
      <c r="J21" s="998" t="s">
        <v>240</v>
      </c>
      <c r="K21" s="998"/>
      <c r="L21" s="998"/>
      <c r="M21" s="998"/>
      <c r="N21" s="998"/>
      <c r="O21" s="998"/>
      <c r="P21" s="999" t="s">
        <v>239</v>
      </c>
      <c r="Q21" s="999"/>
      <c r="R21" s="999"/>
      <c r="S21" s="999"/>
      <c r="T21" s="999"/>
      <c r="U21" s="999"/>
      <c r="V21" s="999" t="s">
        <v>239</v>
      </c>
      <c r="W21" s="999"/>
      <c r="X21" s="999"/>
      <c r="Y21" s="999"/>
      <c r="Z21" s="999"/>
      <c r="AA21" s="999"/>
      <c r="AB21" s="999"/>
      <c r="AC21" s="999"/>
      <c r="AD21" s="999" t="s">
        <v>239</v>
      </c>
      <c r="AE21" s="999"/>
      <c r="AF21" s="999"/>
      <c r="AG21" s="999"/>
      <c r="AH21" s="999"/>
      <c r="AI21" s="999"/>
      <c r="AJ21" s="999"/>
      <c r="AK21" s="999"/>
      <c r="AL21" s="999"/>
      <c r="AM21" s="999"/>
      <c r="AN21" s="999"/>
      <c r="AO21" s="999"/>
      <c r="AP21" s="998" t="s">
        <v>241</v>
      </c>
      <c r="AQ21" s="998"/>
      <c r="AR21" s="998"/>
      <c r="AS21" s="998"/>
      <c r="AT21" s="999" t="s">
        <v>242</v>
      </c>
      <c r="AU21" s="999"/>
      <c r="AV21" s="999"/>
      <c r="AW21" s="999"/>
      <c r="AX21" s="999"/>
      <c r="AY21" s="999"/>
    </row>
    <row r="22" spans="1:51" s="370" customFormat="1" ht="59.1" hidden="1" customHeight="1" x14ac:dyDescent="0.3">
      <c r="A22" s="997"/>
      <c r="B22" s="997"/>
      <c r="C22" s="997"/>
      <c r="D22" s="999" t="s">
        <v>243</v>
      </c>
      <c r="E22" s="999"/>
      <c r="F22" s="999"/>
      <c r="G22" s="999"/>
      <c r="H22" s="999"/>
      <c r="I22" s="999"/>
      <c r="J22" s="998"/>
      <c r="K22" s="998"/>
      <c r="L22" s="998"/>
      <c r="M22" s="998"/>
      <c r="N22" s="998"/>
      <c r="O22" s="998"/>
      <c r="P22" s="999" t="s">
        <v>244</v>
      </c>
      <c r="Q22" s="999"/>
      <c r="R22" s="999"/>
      <c r="S22" s="999"/>
      <c r="T22" s="999"/>
      <c r="U22" s="999"/>
      <c r="V22" s="999" t="s">
        <v>538</v>
      </c>
      <c r="W22" s="999"/>
      <c r="X22" s="999"/>
      <c r="Y22" s="999"/>
      <c r="Z22" s="999"/>
      <c r="AA22" s="999"/>
      <c r="AB22" s="999"/>
      <c r="AC22" s="999"/>
      <c r="AD22" s="999" t="s">
        <v>245</v>
      </c>
      <c r="AE22" s="999"/>
      <c r="AF22" s="999"/>
      <c r="AG22" s="999"/>
      <c r="AH22" s="999"/>
      <c r="AI22" s="999"/>
      <c r="AJ22" s="999"/>
      <c r="AK22" s="999"/>
      <c r="AL22" s="999"/>
      <c r="AM22" s="999"/>
      <c r="AN22" s="999"/>
      <c r="AO22" s="999"/>
      <c r="AP22" s="998"/>
      <c r="AQ22" s="998"/>
      <c r="AR22" s="998"/>
      <c r="AS22" s="998"/>
      <c r="AT22" s="999" t="s">
        <v>246</v>
      </c>
      <c r="AU22" s="999"/>
      <c r="AV22" s="999"/>
      <c r="AW22" s="999"/>
      <c r="AX22" s="999"/>
      <c r="AY22" s="999"/>
    </row>
    <row r="23" spans="1:51" s="370" customFormat="1" ht="59.1" hidden="1" customHeight="1" x14ac:dyDescent="0.3">
      <c r="A23" s="997"/>
      <c r="B23" s="997"/>
      <c r="C23" s="997"/>
      <c r="D23" s="999" t="s">
        <v>247</v>
      </c>
      <c r="E23" s="999"/>
      <c r="F23" s="999"/>
      <c r="G23" s="999"/>
      <c r="H23" s="999"/>
      <c r="I23" s="999"/>
      <c r="J23" s="998"/>
      <c r="K23" s="998"/>
      <c r="L23" s="998"/>
      <c r="M23" s="998"/>
      <c r="N23" s="998"/>
      <c r="O23" s="998"/>
      <c r="P23" s="999" t="s">
        <v>248</v>
      </c>
      <c r="Q23" s="999"/>
      <c r="R23" s="999"/>
      <c r="S23" s="999"/>
      <c r="T23" s="999"/>
      <c r="U23" s="999"/>
      <c r="V23" s="999" t="s">
        <v>537</v>
      </c>
      <c r="W23" s="999"/>
      <c r="X23" s="999"/>
      <c r="Y23" s="999"/>
      <c r="Z23" s="999"/>
      <c r="AA23" s="999"/>
      <c r="AB23" s="999"/>
      <c r="AC23" s="999"/>
      <c r="AD23" s="999" t="s">
        <v>249</v>
      </c>
      <c r="AE23" s="999"/>
      <c r="AF23" s="999"/>
      <c r="AG23" s="999"/>
      <c r="AH23" s="999"/>
      <c r="AI23" s="999"/>
      <c r="AJ23" s="999"/>
      <c r="AK23" s="999"/>
      <c r="AL23" s="999"/>
      <c r="AM23" s="999"/>
      <c r="AN23" s="999"/>
      <c r="AO23" s="999"/>
      <c r="AP23" s="998"/>
      <c r="AQ23" s="998"/>
      <c r="AR23" s="998"/>
      <c r="AS23" s="998"/>
      <c r="AT23" s="999" t="s">
        <v>250</v>
      </c>
      <c r="AU23" s="999"/>
      <c r="AV23" s="999"/>
      <c r="AW23" s="999"/>
      <c r="AX23" s="999"/>
      <c r="AY23" s="999"/>
    </row>
  </sheetData>
  <autoFilter ref="A12:AY23" xr:uid="{00000000-0001-0000-0800-000000000000}">
    <filterColumn colId="3">
      <filters>
        <filter val="39"/>
        <filter val="40"/>
        <filter val="41"/>
      </filters>
    </filterColumn>
  </autoFilter>
  <mergeCells count="60">
    <mergeCell ref="H6:I6"/>
    <mergeCell ref="A10:C10"/>
    <mergeCell ref="A9:C9"/>
    <mergeCell ref="AT23:AY23"/>
    <mergeCell ref="D21:I21"/>
    <mergeCell ref="AP21:AS23"/>
    <mergeCell ref="D22:I22"/>
    <mergeCell ref="D23:I23"/>
    <mergeCell ref="AD21:AO21"/>
    <mergeCell ref="V22:AC22"/>
    <mergeCell ref="V23:AC23"/>
    <mergeCell ref="V21:AC21"/>
    <mergeCell ref="A20:AY20"/>
    <mergeCell ref="AT22:AY22"/>
    <mergeCell ref="AT21:AY21"/>
    <mergeCell ref="AX5:AX12"/>
    <mergeCell ref="AY5:AY12"/>
    <mergeCell ref="H7:I7"/>
    <mergeCell ref="H8:I8"/>
    <mergeCell ref="A21:C23"/>
    <mergeCell ref="J21:O23"/>
    <mergeCell ref="P22:U22"/>
    <mergeCell ref="P23:U23"/>
    <mergeCell ref="AD22:AO22"/>
    <mergeCell ref="AD23:AO23"/>
    <mergeCell ref="P21:U21"/>
    <mergeCell ref="G17:G18"/>
    <mergeCell ref="H17:H18"/>
    <mergeCell ref="I17:I18"/>
    <mergeCell ref="K11:K12"/>
    <mergeCell ref="U11:U12"/>
    <mergeCell ref="O11:S11"/>
    <mergeCell ref="V11:AG11"/>
    <mergeCell ref="I11:I12"/>
    <mergeCell ref="J11:J12"/>
    <mergeCell ref="T11:T12"/>
    <mergeCell ref="N11:N12"/>
    <mergeCell ref="AX1:AY1"/>
    <mergeCell ref="AX2:AY2"/>
    <mergeCell ref="AX3:AY3"/>
    <mergeCell ref="AX4:AY4"/>
    <mergeCell ref="A1:AW1"/>
    <mergeCell ref="A2:AW2"/>
    <mergeCell ref="A3:AW4"/>
    <mergeCell ref="AW5:AW12"/>
    <mergeCell ref="AH5:AU10"/>
    <mergeCell ref="AV5:AV12"/>
    <mergeCell ref="A5:AG5"/>
    <mergeCell ref="AT11:AU11"/>
    <mergeCell ref="M11:M12"/>
    <mergeCell ref="L11:L12"/>
    <mergeCell ref="AH11:AS11"/>
    <mergeCell ref="K6:AG8"/>
    <mergeCell ref="D9:AG9"/>
    <mergeCell ref="D10:AG10"/>
    <mergeCell ref="A11:F11"/>
    <mergeCell ref="G11:H11"/>
    <mergeCell ref="A6:C8"/>
    <mergeCell ref="D6:E8"/>
    <mergeCell ref="F6:G8"/>
  </mergeCells>
  <phoneticPr fontId="66" type="noConversion"/>
  <printOptions horizontalCentered="1"/>
  <pageMargins left="0.39370078740157483" right="0.39370078740157483" top="0.39370078740157483" bottom="0.39370078740157483" header="0" footer="0"/>
  <pageSetup paperSize="9" scale="22" orientation="landscape" r:id="rId1"/>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BK58"/>
  <sheetViews>
    <sheetView topLeftCell="A34" zoomScale="60" zoomScaleNormal="60" workbookViewId="0">
      <selection activeCell="BI1" sqref="BI1:BK1"/>
    </sheetView>
  </sheetViews>
  <sheetFormatPr baseColWidth="10" defaultColWidth="19.44140625" defaultRowHeight="13.8" x14ac:dyDescent="0.3"/>
  <cols>
    <col min="1" max="1" width="29.44140625" style="108" bestFit="1" customWidth="1"/>
    <col min="2" max="17" width="11" style="108" customWidth="1"/>
    <col min="18" max="19" width="12.109375" style="108" customWidth="1"/>
    <col min="20" max="23" width="8.109375" style="108" customWidth="1"/>
    <col min="24" max="24" width="9.44140625" style="108" customWidth="1"/>
    <col min="25" max="25" width="8.109375" style="108" customWidth="1"/>
    <col min="26" max="30" width="7.6640625" style="108" customWidth="1"/>
    <col min="31" max="31" width="11.33203125" style="108" customWidth="1"/>
    <col min="32" max="32" width="2.33203125" style="108" customWidth="1"/>
    <col min="33" max="33" width="19.44140625" style="108" customWidth="1"/>
    <col min="34" max="51" width="11.33203125" style="108" customWidth="1"/>
    <col min="52" max="63" width="8.6640625" style="108" customWidth="1"/>
    <col min="64" max="16384" width="19.44140625" style="108"/>
  </cols>
  <sheetData>
    <row r="1" spans="1:63" ht="15.75" customHeight="1" x14ac:dyDescent="0.3">
      <c r="A1" s="1013" t="s">
        <v>0</v>
      </c>
      <c r="B1" s="1013"/>
      <c r="C1" s="1013"/>
      <c r="D1" s="1013"/>
      <c r="E1" s="1013"/>
      <c r="F1" s="1013"/>
      <c r="G1" s="1013"/>
      <c r="H1" s="1013"/>
      <c r="I1" s="1013"/>
      <c r="J1" s="1013"/>
      <c r="K1" s="1013"/>
      <c r="L1" s="1013"/>
      <c r="M1" s="1013"/>
      <c r="N1" s="1013"/>
      <c r="O1" s="1013"/>
      <c r="P1" s="1013"/>
      <c r="Q1" s="1013"/>
      <c r="R1" s="1013"/>
      <c r="S1" s="1013"/>
      <c r="T1" s="1013"/>
      <c r="U1" s="1013"/>
      <c r="V1" s="1013"/>
      <c r="W1" s="1013"/>
      <c r="X1" s="1013"/>
      <c r="Y1" s="1013"/>
      <c r="Z1" s="1013"/>
      <c r="AA1" s="1013"/>
      <c r="AB1" s="1013"/>
      <c r="AC1" s="1013"/>
      <c r="AD1" s="1013"/>
      <c r="AE1" s="1013"/>
      <c r="AF1" s="1013"/>
      <c r="AG1" s="1013"/>
      <c r="AH1" s="1013"/>
      <c r="AI1" s="1013"/>
      <c r="AJ1" s="1013"/>
      <c r="AK1" s="1013"/>
      <c r="AL1" s="1013"/>
      <c r="AM1" s="1013"/>
      <c r="AN1" s="1013"/>
      <c r="AO1" s="1013"/>
      <c r="AP1" s="1013"/>
      <c r="AQ1" s="1013"/>
      <c r="AR1" s="1013"/>
      <c r="AS1" s="1013"/>
      <c r="AT1" s="1013"/>
      <c r="AU1" s="1013"/>
      <c r="AV1" s="1013"/>
      <c r="AW1" s="1013"/>
      <c r="AX1" s="1013"/>
      <c r="AY1" s="1013"/>
      <c r="AZ1" s="1013"/>
      <c r="BA1" s="1013"/>
      <c r="BB1" s="1013"/>
      <c r="BC1" s="1013"/>
      <c r="BD1" s="1013"/>
      <c r="BE1" s="1013"/>
      <c r="BF1" s="1013"/>
      <c r="BG1" s="1013"/>
      <c r="BH1" s="1013"/>
      <c r="BI1" s="1014" t="s">
        <v>91</v>
      </c>
      <c r="BJ1" s="1014"/>
      <c r="BK1" s="1014"/>
    </row>
    <row r="2" spans="1:63" ht="15.75" customHeight="1" x14ac:dyDescent="0.3">
      <c r="A2" s="1013" t="s">
        <v>2</v>
      </c>
      <c r="B2" s="1013"/>
      <c r="C2" s="1013"/>
      <c r="D2" s="1013"/>
      <c r="E2" s="1013"/>
      <c r="F2" s="1013"/>
      <c r="G2" s="1013"/>
      <c r="H2" s="1013"/>
      <c r="I2" s="1013"/>
      <c r="J2" s="1013"/>
      <c r="K2" s="1013"/>
      <c r="L2" s="1013"/>
      <c r="M2" s="1013"/>
      <c r="N2" s="1013"/>
      <c r="O2" s="1013"/>
      <c r="P2" s="1013"/>
      <c r="Q2" s="1013"/>
      <c r="R2" s="1013"/>
      <c r="S2" s="1013"/>
      <c r="T2" s="1013"/>
      <c r="U2" s="1013"/>
      <c r="V2" s="1013"/>
      <c r="W2" s="1013"/>
      <c r="X2" s="1013"/>
      <c r="Y2" s="1013"/>
      <c r="Z2" s="1013"/>
      <c r="AA2" s="1013"/>
      <c r="AB2" s="1013"/>
      <c r="AC2" s="1013"/>
      <c r="AD2" s="1013"/>
      <c r="AE2" s="1013"/>
      <c r="AF2" s="1013"/>
      <c r="AG2" s="1013"/>
      <c r="AH2" s="1013"/>
      <c r="AI2" s="1013"/>
      <c r="AJ2" s="1013"/>
      <c r="AK2" s="1013"/>
      <c r="AL2" s="1013"/>
      <c r="AM2" s="1013"/>
      <c r="AN2" s="1013"/>
      <c r="AO2" s="1013"/>
      <c r="AP2" s="1013"/>
      <c r="AQ2" s="1013"/>
      <c r="AR2" s="1013"/>
      <c r="AS2" s="1013"/>
      <c r="AT2" s="1013"/>
      <c r="AU2" s="1013"/>
      <c r="AV2" s="1013"/>
      <c r="AW2" s="1013"/>
      <c r="AX2" s="1013"/>
      <c r="AY2" s="1013"/>
      <c r="AZ2" s="1013"/>
      <c r="BA2" s="1013"/>
      <c r="BB2" s="1013"/>
      <c r="BC2" s="1013"/>
      <c r="BD2" s="1013"/>
      <c r="BE2" s="1013"/>
      <c r="BF2" s="1013"/>
      <c r="BG2" s="1013"/>
      <c r="BH2" s="1013"/>
      <c r="BI2" s="1014" t="s">
        <v>3</v>
      </c>
      <c r="BJ2" s="1014"/>
      <c r="BK2" s="1014"/>
    </row>
    <row r="3" spans="1:63" ht="26.1" customHeight="1" x14ac:dyDescent="0.3">
      <c r="A3" s="1013" t="s">
        <v>251</v>
      </c>
      <c r="B3" s="1013"/>
      <c r="C3" s="1013"/>
      <c r="D3" s="1013"/>
      <c r="E3" s="1013"/>
      <c r="F3" s="1013"/>
      <c r="G3" s="1013"/>
      <c r="H3" s="1013"/>
      <c r="I3" s="1013"/>
      <c r="J3" s="1013"/>
      <c r="K3" s="1013"/>
      <c r="L3" s="1013"/>
      <c r="M3" s="1013"/>
      <c r="N3" s="1013"/>
      <c r="O3" s="1013"/>
      <c r="P3" s="1013"/>
      <c r="Q3" s="1013"/>
      <c r="R3" s="1013"/>
      <c r="S3" s="1013"/>
      <c r="T3" s="1013"/>
      <c r="U3" s="1013"/>
      <c r="V3" s="1013"/>
      <c r="W3" s="1013"/>
      <c r="X3" s="1013"/>
      <c r="Y3" s="1013"/>
      <c r="Z3" s="1013"/>
      <c r="AA3" s="1013"/>
      <c r="AB3" s="1013"/>
      <c r="AC3" s="1013"/>
      <c r="AD3" s="1013"/>
      <c r="AE3" s="1013"/>
      <c r="AF3" s="1013"/>
      <c r="AG3" s="1013"/>
      <c r="AH3" s="1013"/>
      <c r="AI3" s="1013"/>
      <c r="AJ3" s="1013"/>
      <c r="AK3" s="1013"/>
      <c r="AL3" s="1013"/>
      <c r="AM3" s="1013"/>
      <c r="AN3" s="1013"/>
      <c r="AO3" s="1013"/>
      <c r="AP3" s="1013"/>
      <c r="AQ3" s="1013"/>
      <c r="AR3" s="1013"/>
      <c r="AS3" s="1013"/>
      <c r="AT3" s="1013"/>
      <c r="AU3" s="1013"/>
      <c r="AV3" s="1013"/>
      <c r="AW3" s="1013"/>
      <c r="AX3" s="1013"/>
      <c r="AY3" s="1013"/>
      <c r="AZ3" s="1013"/>
      <c r="BA3" s="1013"/>
      <c r="BB3" s="1013"/>
      <c r="BC3" s="1013"/>
      <c r="BD3" s="1013"/>
      <c r="BE3" s="1013"/>
      <c r="BF3" s="1013"/>
      <c r="BG3" s="1013"/>
      <c r="BH3" s="1013"/>
      <c r="BI3" s="1014" t="s">
        <v>5</v>
      </c>
      <c r="BJ3" s="1014"/>
      <c r="BK3" s="1014"/>
    </row>
    <row r="4" spans="1:63" ht="15.75" customHeight="1" x14ac:dyDescent="0.3">
      <c r="A4" s="1013" t="s">
        <v>252</v>
      </c>
      <c r="B4" s="1013"/>
      <c r="C4" s="1013"/>
      <c r="D4" s="1013"/>
      <c r="E4" s="1013"/>
      <c r="F4" s="1013"/>
      <c r="G4" s="1013"/>
      <c r="H4" s="1013"/>
      <c r="I4" s="1013"/>
      <c r="J4" s="1013"/>
      <c r="K4" s="1013"/>
      <c r="L4" s="1013"/>
      <c r="M4" s="1013"/>
      <c r="N4" s="1013"/>
      <c r="O4" s="1013"/>
      <c r="P4" s="1013"/>
      <c r="Q4" s="1013"/>
      <c r="R4" s="1013"/>
      <c r="S4" s="1013"/>
      <c r="T4" s="1013"/>
      <c r="U4" s="1013"/>
      <c r="V4" s="1013"/>
      <c r="W4" s="1013"/>
      <c r="X4" s="1013"/>
      <c r="Y4" s="1013"/>
      <c r="Z4" s="1013"/>
      <c r="AA4" s="1013"/>
      <c r="AB4" s="1013"/>
      <c r="AC4" s="1013"/>
      <c r="AD4" s="1013"/>
      <c r="AE4" s="1013"/>
      <c r="AF4" s="1013"/>
      <c r="AG4" s="1013"/>
      <c r="AH4" s="1013"/>
      <c r="AI4" s="1013"/>
      <c r="AJ4" s="1013"/>
      <c r="AK4" s="1013"/>
      <c r="AL4" s="1013"/>
      <c r="AM4" s="1013"/>
      <c r="AN4" s="1013"/>
      <c r="AO4" s="1013"/>
      <c r="AP4" s="1013"/>
      <c r="AQ4" s="1013"/>
      <c r="AR4" s="1013"/>
      <c r="AS4" s="1013"/>
      <c r="AT4" s="1013"/>
      <c r="AU4" s="1013"/>
      <c r="AV4" s="1013"/>
      <c r="AW4" s="1013"/>
      <c r="AX4" s="1013"/>
      <c r="AY4" s="1013"/>
      <c r="AZ4" s="1013"/>
      <c r="BA4" s="1013"/>
      <c r="BB4" s="1013"/>
      <c r="BC4" s="1013"/>
      <c r="BD4" s="1013"/>
      <c r="BE4" s="1013"/>
      <c r="BF4" s="1013"/>
      <c r="BG4" s="1013"/>
      <c r="BH4" s="1013"/>
      <c r="BI4" s="1010" t="s">
        <v>253</v>
      </c>
      <c r="BJ4" s="1011"/>
      <c r="BK4" s="1012"/>
    </row>
    <row r="5" spans="1:63" ht="26.1" customHeight="1" x14ac:dyDescent="0.3">
      <c r="A5" s="1015" t="s">
        <v>254</v>
      </c>
      <c r="B5" s="1015"/>
      <c r="C5" s="1015"/>
      <c r="D5" s="1015"/>
      <c r="E5" s="1015"/>
      <c r="F5" s="1015"/>
      <c r="G5" s="1015"/>
      <c r="H5" s="1015"/>
      <c r="I5" s="1015"/>
      <c r="J5" s="1015"/>
      <c r="K5" s="1015"/>
      <c r="L5" s="1015"/>
      <c r="M5" s="1015"/>
      <c r="N5" s="1015"/>
      <c r="O5" s="1015"/>
      <c r="P5" s="1015"/>
      <c r="Q5" s="1015"/>
      <c r="R5" s="1015"/>
      <c r="S5" s="1015"/>
      <c r="T5" s="1015"/>
      <c r="U5" s="1015"/>
      <c r="V5" s="1015"/>
      <c r="W5" s="1015"/>
      <c r="X5" s="1015"/>
      <c r="Y5" s="1015"/>
      <c r="Z5" s="1015"/>
      <c r="AA5" s="1015"/>
      <c r="AB5" s="1015"/>
      <c r="AC5" s="1015"/>
      <c r="AD5" s="1015"/>
      <c r="AE5" s="1015"/>
      <c r="AF5" s="200"/>
      <c r="AG5" s="1015" t="s">
        <v>255</v>
      </c>
      <c r="AH5" s="1015"/>
      <c r="AI5" s="1015"/>
      <c r="AJ5" s="1015"/>
      <c r="AK5" s="1015"/>
      <c r="AL5" s="1015"/>
      <c r="AM5" s="1015"/>
      <c r="AN5" s="1015"/>
      <c r="AO5" s="1015"/>
      <c r="AP5" s="1015"/>
      <c r="AQ5" s="1015"/>
      <c r="AR5" s="1015"/>
      <c r="AS5" s="1015"/>
      <c r="AT5" s="1015"/>
      <c r="AU5" s="1015"/>
      <c r="AV5" s="1015"/>
      <c r="AW5" s="1015"/>
      <c r="AX5" s="1015"/>
      <c r="AY5" s="1015"/>
      <c r="AZ5" s="1015"/>
      <c r="BA5" s="1015"/>
      <c r="BB5" s="1015"/>
      <c r="BC5" s="1015"/>
      <c r="BD5" s="1015"/>
      <c r="BE5" s="1015"/>
      <c r="BF5" s="1015"/>
      <c r="BG5" s="1015"/>
      <c r="BH5" s="1015"/>
      <c r="BI5" s="1016"/>
      <c r="BJ5" s="1016"/>
      <c r="BK5" s="1016"/>
    </row>
    <row r="6" spans="1:63" ht="31.5" customHeight="1" x14ac:dyDescent="0.3">
      <c r="A6" s="201" t="s">
        <v>256</v>
      </c>
      <c r="B6" s="1021"/>
      <c r="C6" s="1021"/>
      <c r="D6" s="1021"/>
      <c r="E6" s="1021"/>
      <c r="F6" s="1021"/>
      <c r="G6" s="1021"/>
      <c r="H6" s="1021"/>
      <c r="I6" s="1021"/>
      <c r="J6" s="1021"/>
      <c r="K6" s="1021"/>
      <c r="L6" s="1021"/>
      <c r="M6" s="1021"/>
      <c r="N6" s="1021"/>
      <c r="O6" s="1021"/>
      <c r="P6" s="1021"/>
      <c r="Q6" s="1021"/>
      <c r="R6" s="1021"/>
      <c r="S6" s="1021"/>
      <c r="T6" s="1021"/>
      <c r="U6" s="1021"/>
      <c r="V6" s="1021"/>
      <c r="W6" s="1021"/>
      <c r="X6" s="1021"/>
      <c r="Y6" s="1021"/>
      <c r="Z6" s="1021"/>
      <c r="AA6" s="1021"/>
      <c r="AB6" s="1021"/>
      <c r="AC6" s="1021"/>
      <c r="AD6" s="1021"/>
      <c r="AE6" s="1021"/>
      <c r="AF6" s="1021"/>
      <c r="AG6" s="1021"/>
      <c r="AH6" s="1021"/>
      <c r="AI6" s="1021"/>
      <c r="AJ6" s="1021"/>
      <c r="AK6" s="1021"/>
      <c r="AL6" s="1021"/>
      <c r="AM6" s="1021"/>
      <c r="AN6" s="1021"/>
      <c r="AO6" s="1021"/>
      <c r="AP6" s="1021"/>
      <c r="AQ6" s="1021"/>
      <c r="AR6" s="1021"/>
      <c r="AS6" s="1021"/>
      <c r="AT6" s="1021"/>
      <c r="AU6" s="1021"/>
      <c r="AV6" s="1021"/>
      <c r="AW6" s="1021"/>
      <c r="AX6" s="1021"/>
      <c r="AY6" s="1021"/>
      <c r="AZ6" s="1021"/>
      <c r="BA6" s="1021"/>
      <c r="BB6" s="1021"/>
      <c r="BC6" s="1021"/>
      <c r="BD6" s="1021"/>
      <c r="BE6" s="1021"/>
      <c r="BF6" s="1021"/>
      <c r="BG6" s="1021"/>
      <c r="BH6" s="1021"/>
      <c r="BI6" s="1021"/>
      <c r="BJ6" s="1021"/>
      <c r="BK6" s="1021"/>
    </row>
    <row r="7" spans="1:63" ht="31.5" customHeight="1" x14ac:dyDescent="0.3">
      <c r="A7" s="202" t="s">
        <v>257</v>
      </c>
      <c r="B7" s="1019"/>
      <c r="C7" s="1022"/>
      <c r="D7" s="1022"/>
      <c r="E7" s="1022"/>
      <c r="F7" s="1022"/>
      <c r="G7" s="1022"/>
      <c r="H7" s="1022"/>
      <c r="I7" s="1022"/>
      <c r="J7" s="1022"/>
      <c r="K7" s="1022"/>
      <c r="L7" s="1022"/>
      <c r="M7" s="1022"/>
      <c r="N7" s="1022"/>
      <c r="O7" s="1022"/>
      <c r="P7" s="1022"/>
      <c r="Q7" s="1022"/>
      <c r="R7" s="1022"/>
      <c r="S7" s="1022"/>
      <c r="T7" s="1022"/>
      <c r="U7" s="1022"/>
      <c r="V7" s="1022"/>
      <c r="W7" s="1022"/>
      <c r="X7" s="1022"/>
      <c r="Y7" s="1022"/>
      <c r="Z7" s="1022"/>
      <c r="AA7" s="1022"/>
      <c r="AB7" s="1022"/>
      <c r="AC7" s="1022"/>
      <c r="AD7" s="1022"/>
      <c r="AE7" s="1022"/>
      <c r="AF7" s="1022"/>
      <c r="AG7" s="1022"/>
      <c r="AH7" s="1022"/>
      <c r="AI7" s="1022"/>
      <c r="AJ7" s="1022"/>
      <c r="AK7" s="1022"/>
      <c r="AL7" s="1022"/>
      <c r="AM7" s="1022"/>
      <c r="AN7" s="1022"/>
      <c r="AO7" s="1022"/>
      <c r="AP7" s="1022"/>
      <c r="AQ7" s="1022"/>
      <c r="AR7" s="1022"/>
      <c r="AS7" s="1022"/>
      <c r="AT7" s="1022"/>
      <c r="AU7" s="1022"/>
      <c r="AV7" s="1022"/>
      <c r="AW7" s="1022"/>
      <c r="AX7" s="1022"/>
      <c r="AY7" s="1022"/>
      <c r="AZ7" s="1022"/>
      <c r="BA7" s="1022"/>
      <c r="BB7" s="1022"/>
      <c r="BC7" s="1022"/>
      <c r="BD7" s="1022"/>
      <c r="BE7" s="1022"/>
      <c r="BF7" s="1022"/>
      <c r="BG7" s="1022"/>
      <c r="BH7" s="1022"/>
      <c r="BI7" s="1022"/>
      <c r="BJ7" s="1022"/>
      <c r="BK7" s="1020"/>
    </row>
    <row r="8" spans="1:63" ht="18.75" customHeight="1" x14ac:dyDescent="0.3">
      <c r="A8" s="203"/>
      <c r="B8" s="203"/>
      <c r="C8" s="203"/>
      <c r="D8" s="203"/>
      <c r="E8" s="203"/>
      <c r="F8" s="203"/>
      <c r="G8" s="203"/>
      <c r="H8" s="203"/>
      <c r="I8" s="203"/>
      <c r="J8" s="203"/>
      <c r="K8" s="204"/>
      <c r="L8" s="204"/>
      <c r="M8" s="204"/>
      <c r="N8" s="204"/>
      <c r="O8" s="204"/>
      <c r="P8" s="204"/>
      <c r="Q8" s="204"/>
      <c r="R8" s="204"/>
      <c r="S8" s="204"/>
      <c r="T8" s="204"/>
      <c r="U8" s="204"/>
      <c r="V8" s="204"/>
      <c r="W8" s="204"/>
      <c r="X8" s="204"/>
      <c r="Y8" s="204"/>
      <c r="Z8" s="204"/>
      <c r="AA8" s="204"/>
      <c r="AB8" s="204"/>
      <c r="AC8" s="204"/>
      <c r="AD8" s="204"/>
      <c r="AE8" s="204"/>
      <c r="AF8" s="200"/>
      <c r="AG8" s="203"/>
      <c r="AH8" s="204"/>
      <c r="AI8" s="204"/>
      <c r="AJ8" s="204"/>
      <c r="AK8" s="204"/>
      <c r="AL8" s="204"/>
      <c r="AM8" s="204"/>
      <c r="AN8" s="204"/>
      <c r="AO8" s="204"/>
      <c r="AP8" s="200"/>
      <c r="AQ8" s="200"/>
      <c r="AR8" s="200"/>
      <c r="AS8" s="200"/>
      <c r="AT8" s="200"/>
      <c r="AU8" s="200"/>
      <c r="AV8" s="200"/>
      <c r="AW8" s="200"/>
      <c r="AX8" s="200"/>
      <c r="AY8" s="200"/>
      <c r="AZ8" s="200"/>
      <c r="BA8" s="200"/>
      <c r="BB8" s="200"/>
      <c r="BC8" s="200"/>
      <c r="BD8" s="200"/>
      <c r="BE8" s="200"/>
      <c r="BF8" s="200"/>
      <c r="BG8" s="200"/>
      <c r="BH8" s="200"/>
      <c r="BI8" s="200"/>
      <c r="BJ8" s="200"/>
      <c r="BK8" s="200"/>
    </row>
    <row r="9" spans="1:63" ht="30" customHeight="1" x14ac:dyDescent="0.3">
      <c r="A9" s="1017" t="s">
        <v>258</v>
      </c>
      <c r="B9" s="205" t="s">
        <v>30</v>
      </c>
      <c r="C9" s="205" t="s">
        <v>31</v>
      </c>
      <c r="D9" s="1019" t="s">
        <v>32</v>
      </c>
      <c r="E9" s="1020"/>
      <c r="F9" s="205" t="s">
        <v>33</v>
      </c>
      <c r="G9" s="205" t="s">
        <v>34</v>
      </c>
      <c r="H9" s="1019" t="s">
        <v>35</v>
      </c>
      <c r="I9" s="1020"/>
      <c r="J9" s="205" t="s">
        <v>36</v>
      </c>
      <c r="K9" s="205" t="s">
        <v>37</v>
      </c>
      <c r="L9" s="1019" t="s">
        <v>8</v>
      </c>
      <c r="M9" s="1020"/>
      <c r="N9" s="205" t="s">
        <v>38</v>
      </c>
      <c r="O9" s="205" t="s">
        <v>39</v>
      </c>
      <c r="P9" s="1019" t="s">
        <v>40</v>
      </c>
      <c r="Q9" s="1020"/>
      <c r="R9" s="1019" t="s">
        <v>259</v>
      </c>
      <c r="S9" s="1020"/>
      <c r="T9" s="1019" t="s">
        <v>260</v>
      </c>
      <c r="U9" s="1022"/>
      <c r="V9" s="1022"/>
      <c r="W9" s="1022"/>
      <c r="X9" s="1022"/>
      <c r="Y9" s="1020"/>
      <c r="Z9" s="1019" t="s">
        <v>261</v>
      </c>
      <c r="AA9" s="1022"/>
      <c r="AB9" s="1022"/>
      <c r="AC9" s="1022"/>
      <c r="AD9" s="1022"/>
      <c r="AE9" s="1020"/>
      <c r="AF9" s="200"/>
      <c r="AG9" s="1017" t="s">
        <v>258</v>
      </c>
      <c r="AH9" s="205" t="s">
        <v>30</v>
      </c>
      <c r="AI9" s="205" t="s">
        <v>31</v>
      </c>
      <c r="AJ9" s="1019" t="s">
        <v>32</v>
      </c>
      <c r="AK9" s="1020"/>
      <c r="AL9" s="205" t="s">
        <v>33</v>
      </c>
      <c r="AM9" s="205" t="s">
        <v>34</v>
      </c>
      <c r="AN9" s="1019" t="s">
        <v>35</v>
      </c>
      <c r="AO9" s="1020"/>
      <c r="AP9" s="205" t="s">
        <v>36</v>
      </c>
      <c r="AQ9" s="205" t="s">
        <v>37</v>
      </c>
      <c r="AR9" s="1019" t="s">
        <v>8</v>
      </c>
      <c r="AS9" s="1020"/>
      <c r="AT9" s="205" t="s">
        <v>38</v>
      </c>
      <c r="AU9" s="205" t="s">
        <v>39</v>
      </c>
      <c r="AV9" s="1019" t="s">
        <v>40</v>
      </c>
      <c r="AW9" s="1020"/>
      <c r="AX9" s="1019" t="s">
        <v>259</v>
      </c>
      <c r="AY9" s="1020"/>
      <c r="AZ9" s="1019" t="s">
        <v>260</v>
      </c>
      <c r="BA9" s="1022"/>
      <c r="BB9" s="1022"/>
      <c r="BC9" s="1022"/>
      <c r="BD9" s="1022"/>
      <c r="BE9" s="1020"/>
      <c r="BF9" s="1019" t="s">
        <v>261</v>
      </c>
      <c r="BG9" s="1022"/>
      <c r="BH9" s="1022"/>
      <c r="BI9" s="1022"/>
      <c r="BJ9" s="1022"/>
      <c r="BK9" s="1020"/>
    </row>
    <row r="10" spans="1:63" ht="36" customHeight="1" x14ac:dyDescent="0.3">
      <c r="A10" s="1018"/>
      <c r="B10" s="206" t="s">
        <v>262</v>
      </c>
      <c r="C10" s="206" t="s">
        <v>262</v>
      </c>
      <c r="D10" s="206" t="s">
        <v>262</v>
      </c>
      <c r="E10" s="206" t="s">
        <v>263</v>
      </c>
      <c r="F10" s="206" t="s">
        <v>262</v>
      </c>
      <c r="G10" s="206" t="s">
        <v>262</v>
      </c>
      <c r="H10" s="206" t="s">
        <v>262</v>
      </c>
      <c r="I10" s="206" t="s">
        <v>263</v>
      </c>
      <c r="J10" s="206" t="s">
        <v>262</v>
      </c>
      <c r="K10" s="206" t="s">
        <v>262</v>
      </c>
      <c r="L10" s="206" t="s">
        <v>262</v>
      </c>
      <c r="M10" s="206" t="s">
        <v>263</v>
      </c>
      <c r="N10" s="206" t="s">
        <v>262</v>
      </c>
      <c r="O10" s="206" t="s">
        <v>262</v>
      </c>
      <c r="P10" s="206" t="s">
        <v>262</v>
      </c>
      <c r="Q10" s="206" t="s">
        <v>263</v>
      </c>
      <c r="R10" s="206" t="s">
        <v>262</v>
      </c>
      <c r="S10" s="206" t="s">
        <v>263</v>
      </c>
      <c r="T10" s="207" t="s">
        <v>264</v>
      </c>
      <c r="U10" s="207" t="s">
        <v>265</v>
      </c>
      <c r="V10" s="207" t="s">
        <v>266</v>
      </c>
      <c r="W10" s="207" t="s">
        <v>267</v>
      </c>
      <c r="X10" s="208" t="s">
        <v>268</v>
      </c>
      <c r="Y10" s="207" t="s">
        <v>269</v>
      </c>
      <c r="Z10" s="206" t="s">
        <v>270</v>
      </c>
      <c r="AA10" s="209" t="s">
        <v>271</v>
      </c>
      <c r="AB10" s="206" t="s">
        <v>272</v>
      </c>
      <c r="AC10" s="206" t="s">
        <v>273</v>
      </c>
      <c r="AD10" s="206" t="s">
        <v>274</v>
      </c>
      <c r="AE10" s="206" t="s">
        <v>275</v>
      </c>
      <c r="AF10" s="200"/>
      <c r="AG10" s="1018"/>
      <c r="AH10" s="206" t="s">
        <v>262</v>
      </c>
      <c r="AI10" s="206" t="s">
        <v>262</v>
      </c>
      <c r="AJ10" s="206" t="s">
        <v>262</v>
      </c>
      <c r="AK10" s="206" t="s">
        <v>263</v>
      </c>
      <c r="AL10" s="206" t="s">
        <v>262</v>
      </c>
      <c r="AM10" s="206" t="s">
        <v>262</v>
      </c>
      <c r="AN10" s="206" t="s">
        <v>262</v>
      </c>
      <c r="AO10" s="206" t="s">
        <v>263</v>
      </c>
      <c r="AP10" s="206" t="s">
        <v>262</v>
      </c>
      <c r="AQ10" s="206" t="s">
        <v>262</v>
      </c>
      <c r="AR10" s="206" t="s">
        <v>262</v>
      </c>
      <c r="AS10" s="206" t="s">
        <v>263</v>
      </c>
      <c r="AT10" s="206" t="s">
        <v>262</v>
      </c>
      <c r="AU10" s="206" t="s">
        <v>262</v>
      </c>
      <c r="AV10" s="206" t="s">
        <v>262</v>
      </c>
      <c r="AW10" s="206" t="s">
        <v>263</v>
      </c>
      <c r="AX10" s="206" t="s">
        <v>262</v>
      </c>
      <c r="AY10" s="206" t="s">
        <v>263</v>
      </c>
      <c r="AZ10" s="207" t="s">
        <v>264</v>
      </c>
      <c r="BA10" s="207" t="s">
        <v>265</v>
      </c>
      <c r="BB10" s="207" t="s">
        <v>266</v>
      </c>
      <c r="BC10" s="207" t="s">
        <v>267</v>
      </c>
      <c r="BD10" s="208" t="s">
        <v>268</v>
      </c>
      <c r="BE10" s="207" t="s">
        <v>269</v>
      </c>
      <c r="BF10" s="206" t="s">
        <v>270</v>
      </c>
      <c r="BG10" s="209" t="s">
        <v>271</v>
      </c>
      <c r="BH10" s="206" t="s">
        <v>272</v>
      </c>
      <c r="BI10" s="206" t="s">
        <v>273</v>
      </c>
      <c r="BJ10" s="206" t="s">
        <v>274</v>
      </c>
      <c r="BK10" s="206" t="s">
        <v>275</v>
      </c>
    </row>
    <row r="11" spans="1:63" ht="18" x14ac:dyDescent="0.3">
      <c r="A11" s="210" t="s">
        <v>276</v>
      </c>
      <c r="B11" s="210"/>
      <c r="C11" s="210"/>
      <c r="D11" s="210"/>
      <c r="E11" s="211"/>
      <c r="F11" s="210"/>
      <c r="G11" s="210"/>
      <c r="H11" s="210"/>
      <c r="I11" s="211"/>
      <c r="J11" s="210"/>
      <c r="K11" s="210"/>
      <c r="L11" s="210"/>
      <c r="M11" s="211"/>
      <c r="N11" s="210"/>
      <c r="O11" s="210"/>
      <c r="P11" s="210"/>
      <c r="Q11" s="211"/>
      <c r="R11" s="212">
        <f t="shared" ref="R11:R31" si="0">B11+C11+D11+F11+G11+H11+J11+K11+L11+N11+O11+P11</f>
        <v>0</v>
      </c>
      <c r="S11" s="213">
        <f>+E11+I11+M11+Q11</f>
        <v>0</v>
      </c>
      <c r="T11" s="214"/>
      <c r="U11" s="214"/>
      <c r="V11" s="214"/>
      <c r="W11" s="214"/>
      <c r="X11" s="214"/>
      <c r="Y11" s="215"/>
      <c r="Z11" s="215"/>
      <c r="AA11" s="215"/>
      <c r="AB11" s="215"/>
      <c r="AC11" s="215"/>
      <c r="AD11" s="215"/>
      <c r="AE11" s="216"/>
      <c r="AF11" s="200"/>
      <c r="AG11" s="210" t="s">
        <v>276</v>
      </c>
      <c r="AH11" s="210"/>
      <c r="AI11" s="210"/>
      <c r="AJ11" s="210"/>
      <c r="AK11" s="211"/>
      <c r="AL11" s="210"/>
      <c r="AM11" s="210"/>
      <c r="AN11" s="210"/>
      <c r="AO11" s="211"/>
      <c r="AP11" s="210"/>
      <c r="AQ11" s="210"/>
      <c r="AR11" s="210"/>
      <c r="AS11" s="211"/>
      <c r="AT11" s="210"/>
      <c r="AU11" s="210"/>
      <c r="AV11" s="210"/>
      <c r="AW11" s="211"/>
      <c r="AX11" s="212">
        <f t="shared" ref="AX11:AX31" si="1">AH11+AI11+AJ11+AL11+AM11+AN11+AP11+AQ11+AR11+AT11+AU11+AV11</f>
        <v>0</v>
      </c>
      <c r="AY11" s="213">
        <f>+AK11+AO11+AS11+AW11</f>
        <v>0</v>
      </c>
      <c r="AZ11" s="215"/>
      <c r="BA11" s="215"/>
      <c r="BB11" s="215"/>
      <c r="BC11" s="215"/>
      <c r="BD11" s="215"/>
      <c r="BE11" s="215"/>
      <c r="BF11" s="215"/>
      <c r="BG11" s="215"/>
      <c r="BH11" s="215"/>
      <c r="BI11" s="215"/>
      <c r="BJ11" s="215"/>
      <c r="BK11" s="216"/>
    </row>
    <row r="12" spans="1:63" ht="18" x14ac:dyDescent="0.3">
      <c r="A12" s="210" t="s">
        <v>277</v>
      </c>
      <c r="B12" s="210"/>
      <c r="C12" s="210"/>
      <c r="D12" s="210"/>
      <c r="E12" s="211"/>
      <c r="F12" s="210"/>
      <c r="G12" s="210"/>
      <c r="H12" s="210"/>
      <c r="I12" s="211"/>
      <c r="J12" s="210"/>
      <c r="K12" s="210"/>
      <c r="L12" s="210"/>
      <c r="M12" s="211"/>
      <c r="N12" s="210"/>
      <c r="O12" s="210"/>
      <c r="P12" s="210"/>
      <c r="Q12" s="211"/>
      <c r="R12" s="212">
        <f t="shared" si="0"/>
        <v>0</v>
      </c>
      <c r="S12" s="213">
        <f t="shared" ref="S12:S31" si="2">+E12+I12+M12+Q12</f>
        <v>0</v>
      </c>
      <c r="T12" s="214"/>
      <c r="U12" s="214"/>
      <c r="V12" s="214"/>
      <c r="W12" s="214"/>
      <c r="X12" s="214"/>
      <c r="Y12" s="215"/>
      <c r="Z12" s="215"/>
      <c r="AA12" s="215"/>
      <c r="AB12" s="215"/>
      <c r="AC12" s="215"/>
      <c r="AD12" s="215"/>
      <c r="AE12" s="215"/>
      <c r="AF12" s="200"/>
      <c r="AG12" s="210" t="s">
        <v>277</v>
      </c>
      <c r="AH12" s="210"/>
      <c r="AI12" s="210"/>
      <c r="AJ12" s="210"/>
      <c r="AK12" s="211"/>
      <c r="AL12" s="210"/>
      <c r="AM12" s="210"/>
      <c r="AN12" s="210"/>
      <c r="AO12" s="211"/>
      <c r="AP12" s="210"/>
      <c r="AQ12" s="210"/>
      <c r="AR12" s="210"/>
      <c r="AS12" s="211"/>
      <c r="AT12" s="210"/>
      <c r="AU12" s="210"/>
      <c r="AV12" s="210"/>
      <c r="AW12" s="211"/>
      <c r="AX12" s="212">
        <f t="shared" si="1"/>
        <v>0</v>
      </c>
      <c r="AY12" s="213">
        <f t="shared" ref="AY12:AY31" si="3">+AK12+AO12+AS12+AW12</f>
        <v>0</v>
      </c>
      <c r="AZ12" s="215"/>
      <c r="BA12" s="215"/>
      <c r="BB12" s="215"/>
      <c r="BC12" s="215"/>
      <c r="BD12" s="215"/>
      <c r="BE12" s="215"/>
      <c r="BF12" s="215"/>
      <c r="BG12" s="215"/>
      <c r="BH12" s="215"/>
      <c r="BI12" s="215"/>
      <c r="BJ12" s="215"/>
      <c r="BK12" s="215"/>
    </row>
    <row r="13" spans="1:63" ht="18" x14ac:dyDescent="0.3">
      <c r="A13" s="210" t="s">
        <v>278</v>
      </c>
      <c r="B13" s="210"/>
      <c r="C13" s="210"/>
      <c r="D13" s="210"/>
      <c r="E13" s="211"/>
      <c r="F13" s="210"/>
      <c r="G13" s="210"/>
      <c r="H13" s="210"/>
      <c r="I13" s="211"/>
      <c r="J13" s="210"/>
      <c r="K13" s="210"/>
      <c r="L13" s="210"/>
      <c r="M13" s="211"/>
      <c r="N13" s="210"/>
      <c r="O13" s="210"/>
      <c r="P13" s="210"/>
      <c r="Q13" s="211"/>
      <c r="R13" s="212">
        <f t="shared" si="0"/>
        <v>0</v>
      </c>
      <c r="S13" s="213">
        <f t="shared" si="2"/>
        <v>0</v>
      </c>
      <c r="T13" s="214"/>
      <c r="U13" s="214"/>
      <c r="V13" s="214"/>
      <c r="W13" s="214"/>
      <c r="X13" s="214"/>
      <c r="Y13" s="215"/>
      <c r="Z13" s="215"/>
      <c r="AA13" s="215"/>
      <c r="AB13" s="215"/>
      <c r="AC13" s="215"/>
      <c r="AD13" s="215"/>
      <c r="AE13" s="215"/>
      <c r="AF13" s="200"/>
      <c r="AG13" s="210" t="s">
        <v>278</v>
      </c>
      <c r="AH13" s="210"/>
      <c r="AI13" s="210"/>
      <c r="AJ13" s="210"/>
      <c r="AK13" s="211"/>
      <c r="AL13" s="210"/>
      <c r="AM13" s="210"/>
      <c r="AN13" s="210"/>
      <c r="AO13" s="211"/>
      <c r="AP13" s="210"/>
      <c r="AQ13" s="210"/>
      <c r="AR13" s="210"/>
      <c r="AS13" s="211"/>
      <c r="AT13" s="210"/>
      <c r="AU13" s="210"/>
      <c r="AV13" s="210"/>
      <c r="AW13" s="211"/>
      <c r="AX13" s="212">
        <f t="shared" si="1"/>
        <v>0</v>
      </c>
      <c r="AY13" s="213">
        <f t="shared" si="3"/>
        <v>0</v>
      </c>
      <c r="AZ13" s="215"/>
      <c r="BA13" s="215"/>
      <c r="BB13" s="215"/>
      <c r="BC13" s="215"/>
      <c r="BD13" s="215"/>
      <c r="BE13" s="215"/>
      <c r="BF13" s="215"/>
      <c r="BG13" s="215"/>
      <c r="BH13" s="215"/>
      <c r="BI13" s="215"/>
      <c r="BJ13" s="215"/>
      <c r="BK13" s="215"/>
    </row>
    <row r="14" spans="1:63" ht="18" x14ac:dyDescent="0.3">
      <c r="A14" s="210" t="s">
        <v>279</v>
      </c>
      <c r="B14" s="210"/>
      <c r="C14" s="210"/>
      <c r="D14" s="210"/>
      <c r="E14" s="211"/>
      <c r="F14" s="210"/>
      <c r="G14" s="210"/>
      <c r="H14" s="210"/>
      <c r="I14" s="211"/>
      <c r="J14" s="210"/>
      <c r="K14" s="210"/>
      <c r="L14" s="210"/>
      <c r="M14" s="211"/>
      <c r="N14" s="210"/>
      <c r="O14" s="210"/>
      <c r="P14" s="210"/>
      <c r="Q14" s="211"/>
      <c r="R14" s="212">
        <f t="shared" si="0"/>
        <v>0</v>
      </c>
      <c r="S14" s="213">
        <f t="shared" si="2"/>
        <v>0</v>
      </c>
      <c r="T14" s="214"/>
      <c r="U14" s="214"/>
      <c r="V14" s="214"/>
      <c r="W14" s="214"/>
      <c r="X14" s="214"/>
      <c r="Y14" s="215"/>
      <c r="Z14" s="215"/>
      <c r="AA14" s="215"/>
      <c r="AB14" s="215"/>
      <c r="AC14" s="215"/>
      <c r="AD14" s="215"/>
      <c r="AE14" s="215"/>
      <c r="AF14" s="200"/>
      <c r="AG14" s="210" t="s">
        <v>279</v>
      </c>
      <c r="AH14" s="210"/>
      <c r="AI14" s="210"/>
      <c r="AJ14" s="210"/>
      <c r="AK14" s="211"/>
      <c r="AL14" s="210"/>
      <c r="AM14" s="210"/>
      <c r="AN14" s="210"/>
      <c r="AO14" s="211"/>
      <c r="AP14" s="210"/>
      <c r="AQ14" s="210"/>
      <c r="AR14" s="210"/>
      <c r="AS14" s="211"/>
      <c r="AT14" s="210"/>
      <c r="AU14" s="210"/>
      <c r="AV14" s="210"/>
      <c r="AW14" s="211"/>
      <c r="AX14" s="212">
        <f t="shared" si="1"/>
        <v>0</v>
      </c>
      <c r="AY14" s="213">
        <f t="shared" si="3"/>
        <v>0</v>
      </c>
      <c r="AZ14" s="215"/>
      <c r="BA14" s="215"/>
      <c r="BB14" s="215"/>
      <c r="BC14" s="215"/>
      <c r="BD14" s="215"/>
      <c r="BE14" s="215"/>
      <c r="BF14" s="215"/>
      <c r="BG14" s="215"/>
      <c r="BH14" s="215"/>
      <c r="BI14" s="215"/>
      <c r="BJ14" s="215"/>
      <c r="BK14" s="215"/>
    </row>
    <row r="15" spans="1:63" ht="18" x14ac:dyDescent="0.3">
      <c r="A15" s="210" t="s">
        <v>280</v>
      </c>
      <c r="B15" s="210"/>
      <c r="C15" s="210"/>
      <c r="D15" s="210"/>
      <c r="E15" s="211"/>
      <c r="F15" s="210"/>
      <c r="G15" s="210"/>
      <c r="H15" s="210"/>
      <c r="I15" s="211"/>
      <c r="J15" s="210"/>
      <c r="K15" s="210"/>
      <c r="L15" s="210"/>
      <c r="M15" s="211"/>
      <c r="N15" s="210"/>
      <c r="O15" s="210"/>
      <c r="P15" s="210"/>
      <c r="Q15" s="211"/>
      <c r="R15" s="212">
        <f t="shared" si="0"/>
        <v>0</v>
      </c>
      <c r="S15" s="213">
        <f t="shared" si="2"/>
        <v>0</v>
      </c>
      <c r="T15" s="214"/>
      <c r="U15" s="214"/>
      <c r="V15" s="214"/>
      <c r="W15" s="214"/>
      <c r="X15" s="214"/>
      <c r="Y15" s="215"/>
      <c r="Z15" s="215"/>
      <c r="AA15" s="215"/>
      <c r="AB15" s="215"/>
      <c r="AC15" s="215"/>
      <c r="AD15" s="215"/>
      <c r="AE15" s="215"/>
      <c r="AF15" s="200"/>
      <c r="AG15" s="210" t="s">
        <v>280</v>
      </c>
      <c r="AH15" s="210"/>
      <c r="AI15" s="210"/>
      <c r="AJ15" s="210"/>
      <c r="AK15" s="211"/>
      <c r="AL15" s="210"/>
      <c r="AM15" s="210"/>
      <c r="AN15" s="210"/>
      <c r="AO15" s="211"/>
      <c r="AP15" s="210"/>
      <c r="AQ15" s="210"/>
      <c r="AR15" s="210"/>
      <c r="AS15" s="211"/>
      <c r="AT15" s="210"/>
      <c r="AU15" s="210"/>
      <c r="AV15" s="210"/>
      <c r="AW15" s="211"/>
      <c r="AX15" s="212">
        <f t="shared" si="1"/>
        <v>0</v>
      </c>
      <c r="AY15" s="213">
        <f t="shared" si="3"/>
        <v>0</v>
      </c>
      <c r="AZ15" s="215"/>
      <c r="BA15" s="215"/>
      <c r="BB15" s="215"/>
      <c r="BC15" s="215"/>
      <c r="BD15" s="215"/>
      <c r="BE15" s="215"/>
      <c r="BF15" s="215"/>
      <c r="BG15" s="215"/>
      <c r="BH15" s="215"/>
      <c r="BI15" s="215"/>
      <c r="BJ15" s="215"/>
      <c r="BK15" s="215"/>
    </row>
    <row r="16" spans="1:63" ht="18" x14ac:dyDescent="0.3">
      <c r="A16" s="210" t="s">
        <v>281</v>
      </c>
      <c r="B16" s="210"/>
      <c r="C16" s="210"/>
      <c r="D16" s="210"/>
      <c r="E16" s="211"/>
      <c r="F16" s="210"/>
      <c r="G16" s="210"/>
      <c r="H16" s="210"/>
      <c r="I16" s="211"/>
      <c r="J16" s="210"/>
      <c r="K16" s="210"/>
      <c r="L16" s="210"/>
      <c r="M16" s="211"/>
      <c r="N16" s="210"/>
      <c r="O16" s="210"/>
      <c r="P16" s="210"/>
      <c r="Q16" s="211"/>
      <c r="R16" s="212">
        <f t="shared" si="0"/>
        <v>0</v>
      </c>
      <c r="S16" s="213">
        <f t="shared" si="2"/>
        <v>0</v>
      </c>
      <c r="T16" s="214"/>
      <c r="U16" s="214"/>
      <c r="V16" s="214"/>
      <c r="W16" s="214"/>
      <c r="X16" s="214"/>
      <c r="Y16" s="215"/>
      <c r="Z16" s="215"/>
      <c r="AA16" s="215"/>
      <c r="AB16" s="215"/>
      <c r="AC16" s="215"/>
      <c r="AD16" s="215"/>
      <c r="AE16" s="215"/>
      <c r="AF16" s="200"/>
      <c r="AG16" s="210" t="s">
        <v>281</v>
      </c>
      <c r="AH16" s="210"/>
      <c r="AI16" s="210"/>
      <c r="AJ16" s="210"/>
      <c r="AK16" s="211"/>
      <c r="AL16" s="210"/>
      <c r="AM16" s="210"/>
      <c r="AN16" s="210"/>
      <c r="AO16" s="211"/>
      <c r="AP16" s="210"/>
      <c r="AQ16" s="210"/>
      <c r="AR16" s="210"/>
      <c r="AS16" s="211"/>
      <c r="AT16" s="210"/>
      <c r="AU16" s="210"/>
      <c r="AV16" s="210"/>
      <c r="AW16" s="211"/>
      <c r="AX16" s="212">
        <f t="shared" si="1"/>
        <v>0</v>
      </c>
      <c r="AY16" s="213">
        <f t="shared" si="3"/>
        <v>0</v>
      </c>
      <c r="AZ16" s="215"/>
      <c r="BA16" s="215"/>
      <c r="BB16" s="215"/>
      <c r="BC16" s="215"/>
      <c r="BD16" s="215"/>
      <c r="BE16" s="215"/>
      <c r="BF16" s="215"/>
      <c r="BG16" s="215"/>
      <c r="BH16" s="215"/>
      <c r="BI16" s="215"/>
      <c r="BJ16" s="215"/>
      <c r="BK16" s="215"/>
    </row>
    <row r="17" spans="1:63" ht="18" x14ac:dyDescent="0.3">
      <c r="A17" s="210" t="s">
        <v>282</v>
      </c>
      <c r="B17" s="210"/>
      <c r="C17" s="210"/>
      <c r="D17" s="210"/>
      <c r="E17" s="211"/>
      <c r="F17" s="210"/>
      <c r="G17" s="210"/>
      <c r="H17" s="210"/>
      <c r="I17" s="211"/>
      <c r="J17" s="210"/>
      <c r="K17" s="210"/>
      <c r="L17" s="210"/>
      <c r="M17" s="211"/>
      <c r="N17" s="210"/>
      <c r="O17" s="210"/>
      <c r="P17" s="210"/>
      <c r="Q17" s="211"/>
      <c r="R17" s="212">
        <f t="shared" si="0"/>
        <v>0</v>
      </c>
      <c r="S17" s="213">
        <f t="shared" si="2"/>
        <v>0</v>
      </c>
      <c r="T17" s="214"/>
      <c r="U17" s="214"/>
      <c r="V17" s="214"/>
      <c r="W17" s="214"/>
      <c r="X17" s="214"/>
      <c r="Y17" s="215"/>
      <c r="Z17" s="215"/>
      <c r="AA17" s="215"/>
      <c r="AB17" s="215"/>
      <c r="AC17" s="215"/>
      <c r="AD17" s="215"/>
      <c r="AE17" s="215"/>
      <c r="AF17" s="200"/>
      <c r="AG17" s="210" t="s">
        <v>282</v>
      </c>
      <c r="AH17" s="210"/>
      <c r="AI17" s="210"/>
      <c r="AJ17" s="210"/>
      <c r="AK17" s="211"/>
      <c r="AL17" s="210"/>
      <c r="AM17" s="210"/>
      <c r="AN17" s="210"/>
      <c r="AO17" s="211"/>
      <c r="AP17" s="210"/>
      <c r="AQ17" s="210"/>
      <c r="AR17" s="210"/>
      <c r="AS17" s="211"/>
      <c r="AT17" s="210"/>
      <c r="AU17" s="210"/>
      <c r="AV17" s="210"/>
      <c r="AW17" s="211"/>
      <c r="AX17" s="212">
        <f t="shared" si="1"/>
        <v>0</v>
      </c>
      <c r="AY17" s="213">
        <f t="shared" si="3"/>
        <v>0</v>
      </c>
      <c r="AZ17" s="215"/>
      <c r="BA17" s="215"/>
      <c r="BB17" s="215"/>
      <c r="BC17" s="215"/>
      <c r="BD17" s="215"/>
      <c r="BE17" s="215"/>
      <c r="BF17" s="215"/>
      <c r="BG17" s="215"/>
      <c r="BH17" s="215"/>
      <c r="BI17" s="215"/>
      <c r="BJ17" s="215"/>
      <c r="BK17" s="215"/>
    </row>
    <row r="18" spans="1:63" ht="18" x14ac:dyDescent="0.3">
      <c r="A18" s="210" t="s">
        <v>283</v>
      </c>
      <c r="B18" s="210"/>
      <c r="C18" s="210"/>
      <c r="D18" s="210"/>
      <c r="E18" s="211"/>
      <c r="F18" s="210"/>
      <c r="G18" s="210"/>
      <c r="H18" s="210"/>
      <c r="I18" s="211"/>
      <c r="J18" s="210"/>
      <c r="K18" s="210"/>
      <c r="L18" s="210"/>
      <c r="M18" s="211"/>
      <c r="N18" s="210"/>
      <c r="O18" s="210"/>
      <c r="P18" s="210"/>
      <c r="Q18" s="211"/>
      <c r="R18" s="212">
        <f t="shared" si="0"/>
        <v>0</v>
      </c>
      <c r="S18" s="213">
        <f t="shared" si="2"/>
        <v>0</v>
      </c>
      <c r="T18" s="214"/>
      <c r="U18" s="214"/>
      <c r="V18" s="214"/>
      <c r="W18" s="214"/>
      <c r="X18" s="214"/>
      <c r="Y18" s="215"/>
      <c r="Z18" s="215"/>
      <c r="AA18" s="215"/>
      <c r="AB18" s="215"/>
      <c r="AC18" s="215"/>
      <c r="AD18" s="215"/>
      <c r="AE18" s="215"/>
      <c r="AF18" s="200"/>
      <c r="AG18" s="210" t="s">
        <v>283</v>
      </c>
      <c r="AH18" s="210"/>
      <c r="AI18" s="210"/>
      <c r="AJ18" s="210"/>
      <c r="AK18" s="211"/>
      <c r="AL18" s="210"/>
      <c r="AM18" s="210"/>
      <c r="AN18" s="210"/>
      <c r="AO18" s="211"/>
      <c r="AP18" s="210"/>
      <c r="AQ18" s="210"/>
      <c r="AR18" s="210"/>
      <c r="AS18" s="211"/>
      <c r="AT18" s="210"/>
      <c r="AU18" s="210"/>
      <c r="AV18" s="210"/>
      <c r="AW18" s="211"/>
      <c r="AX18" s="212">
        <f t="shared" si="1"/>
        <v>0</v>
      </c>
      <c r="AY18" s="213">
        <f t="shared" si="3"/>
        <v>0</v>
      </c>
      <c r="AZ18" s="215"/>
      <c r="BA18" s="215"/>
      <c r="BB18" s="215"/>
      <c r="BC18" s="215"/>
      <c r="BD18" s="215"/>
      <c r="BE18" s="215"/>
      <c r="BF18" s="215"/>
      <c r="BG18" s="215"/>
      <c r="BH18" s="215"/>
      <c r="BI18" s="215"/>
      <c r="BJ18" s="215"/>
      <c r="BK18" s="215"/>
    </row>
    <row r="19" spans="1:63" ht="18" x14ac:dyDescent="0.3">
      <c r="A19" s="210" t="s">
        <v>284</v>
      </c>
      <c r="B19" s="210"/>
      <c r="C19" s="210"/>
      <c r="D19" s="210"/>
      <c r="E19" s="211"/>
      <c r="F19" s="210"/>
      <c r="G19" s="210"/>
      <c r="H19" s="210"/>
      <c r="I19" s="211"/>
      <c r="J19" s="210"/>
      <c r="K19" s="210"/>
      <c r="L19" s="210"/>
      <c r="M19" s="211"/>
      <c r="N19" s="210"/>
      <c r="O19" s="210"/>
      <c r="P19" s="210"/>
      <c r="Q19" s="211"/>
      <c r="R19" s="212">
        <f t="shared" si="0"/>
        <v>0</v>
      </c>
      <c r="S19" s="213">
        <f t="shared" si="2"/>
        <v>0</v>
      </c>
      <c r="T19" s="214"/>
      <c r="U19" s="214"/>
      <c r="V19" s="214"/>
      <c r="W19" s="214"/>
      <c r="X19" s="214"/>
      <c r="Y19" s="215"/>
      <c r="Z19" s="215"/>
      <c r="AA19" s="215"/>
      <c r="AB19" s="215"/>
      <c r="AC19" s="215"/>
      <c r="AD19" s="215"/>
      <c r="AE19" s="215"/>
      <c r="AF19" s="200"/>
      <c r="AG19" s="210" t="s">
        <v>284</v>
      </c>
      <c r="AH19" s="210"/>
      <c r="AI19" s="210"/>
      <c r="AJ19" s="210"/>
      <c r="AK19" s="211"/>
      <c r="AL19" s="210"/>
      <c r="AM19" s="210"/>
      <c r="AN19" s="210"/>
      <c r="AO19" s="211"/>
      <c r="AP19" s="210"/>
      <c r="AQ19" s="210"/>
      <c r="AR19" s="210"/>
      <c r="AS19" s="211"/>
      <c r="AT19" s="210"/>
      <c r="AU19" s="210"/>
      <c r="AV19" s="210"/>
      <c r="AW19" s="211"/>
      <c r="AX19" s="212">
        <f t="shared" si="1"/>
        <v>0</v>
      </c>
      <c r="AY19" s="213">
        <f t="shared" si="3"/>
        <v>0</v>
      </c>
      <c r="AZ19" s="215"/>
      <c r="BA19" s="215"/>
      <c r="BB19" s="215"/>
      <c r="BC19" s="215"/>
      <c r="BD19" s="215"/>
      <c r="BE19" s="215"/>
      <c r="BF19" s="215"/>
      <c r="BG19" s="215"/>
      <c r="BH19" s="215"/>
      <c r="BI19" s="210"/>
      <c r="BJ19" s="210"/>
      <c r="BK19" s="210"/>
    </row>
    <row r="20" spans="1:63" ht="18" x14ac:dyDescent="0.3">
      <c r="A20" s="210" t="s">
        <v>285</v>
      </c>
      <c r="B20" s="210"/>
      <c r="C20" s="210"/>
      <c r="D20" s="210"/>
      <c r="E20" s="211"/>
      <c r="F20" s="210"/>
      <c r="G20" s="210"/>
      <c r="H20" s="210"/>
      <c r="I20" s="211"/>
      <c r="J20" s="210"/>
      <c r="K20" s="210"/>
      <c r="L20" s="210"/>
      <c r="M20" s="211"/>
      <c r="N20" s="210"/>
      <c r="O20" s="210"/>
      <c r="P20" s="210"/>
      <c r="Q20" s="211"/>
      <c r="R20" s="212">
        <f t="shared" si="0"/>
        <v>0</v>
      </c>
      <c r="S20" s="213">
        <f t="shared" si="2"/>
        <v>0</v>
      </c>
      <c r="T20" s="214"/>
      <c r="U20" s="214"/>
      <c r="V20" s="214"/>
      <c r="W20" s="214"/>
      <c r="X20" s="214"/>
      <c r="Y20" s="215"/>
      <c r="Z20" s="215"/>
      <c r="AA20" s="215"/>
      <c r="AB20" s="215"/>
      <c r="AC20" s="215"/>
      <c r="AD20" s="215"/>
      <c r="AE20" s="215"/>
      <c r="AF20" s="200"/>
      <c r="AG20" s="210" t="s">
        <v>285</v>
      </c>
      <c r="AH20" s="210"/>
      <c r="AI20" s="210"/>
      <c r="AJ20" s="210"/>
      <c r="AK20" s="211"/>
      <c r="AL20" s="210"/>
      <c r="AM20" s="210"/>
      <c r="AN20" s="210"/>
      <c r="AO20" s="211"/>
      <c r="AP20" s="210"/>
      <c r="AQ20" s="210"/>
      <c r="AR20" s="210"/>
      <c r="AS20" s="211"/>
      <c r="AT20" s="210"/>
      <c r="AU20" s="210"/>
      <c r="AV20" s="210"/>
      <c r="AW20" s="211"/>
      <c r="AX20" s="212">
        <f t="shared" si="1"/>
        <v>0</v>
      </c>
      <c r="AY20" s="213">
        <f t="shared" si="3"/>
        <v>0</v>
      </c>
      <c r="AZ20" s="215"/>
      <c r="BA20" s="215"/>
      <c r="BB20" s="215"/>
      <c r="BC20" s="215"/>
      <c r="BD20" s="215"/>
      <c r="BE20" s="215"/>
      <c r="BF20" s="215"/>
      <c r="BG20" s="215"/>
      <c r="BH20" s="215"/>
      <c r="BI20" s="210"/>
      <c r="BJ20" s="210"/>
      <c r="BK20" s="210"/>
    </row>
    <row r="21" spans="1:63" ht="18" x14ac:dyDescent="0.3">
      <c r="A21" s="210" t="s">
        <v>286</v>
      </c>
      <c r="B21" s="210"/>
      <c r="C21" s="210"/>
      <c r="D21" s="210"/>
      <c r="E21" s="211"/>
      <c r="F21" s="210"/>
      <c r="G21" s="210"/>
      <c r="H21" s="210"/>
      <c r="I21" s="211"/>
      <c r="J21" s="210"/>
      <c r="K21" s="210"/>
      <c r="L21" s="210"/>
      <c r="M21" s="211"/>
      <c r="N21" s="210"/>
      <c r="O21" s="210"/>
      <c r="P21" s="210"/>
      <c r="Q21" s="211"/>
      <c r="R21" s="212">
        <f t="shared" si="0"/>
        <v>0</v>
      </c>
      <c r="S21" s="213">
        <f t="shared" si="2"/>
        <v>0</v>
      </c>
      <c r="T21" s="214"/>
      <c r="U21" s="214"/>
      <c r="V21" s="214"/>
      <c r="W21" s="214"/>
      <c r="X21" s="214"/>
      <c r="Y21" s="215"/>
      <c r="Z21" s="215"/>
      <c r="AA21" s="215"/>
      <c r="AB21" s="215"/>
      <c r="AC21" s="215"/>
      <c r="AD21" s="215"/>
      <c r="AE21" s="215"/>
      <c r="AF21" s="200"/>
      <c r="AG21" s="210" t="s">
        <v>286</v>
      </c>
      <c r="AH21" s="210"/>
      <c r="AI21" s="210"/>
      <c r="AJ21" s="210"/>
      <c r="AK21" s="211"/>
      <c r="AL21" s="210"/>
      <c r="AM21" s="210"/>
      <c r="AN21" s="210"/>
      <c r="AO21" s="211"/>
      <c r="AP21" s="210"/>
      <c r="AQ21" s="210"/>
      <c r="AR21" s="210"/>
      <c r="AS21" s="211"/>
      <c r="AT21" s="210"/>
      <c r="AU21" s="210"/>
      <c r="AV21" s="210"/>
      <c r="AW21" s="211"/>
      <c r="AX21" s="212">
        <f t="shared" si="1"/>
        <v>0</v>
      </c>
      <c r="AY21" s="213">
        <f t="shared" si="3"/>
        <v>0</v>
      </c>
      <c r="AZ21" s="215"/>
      <c r="BA21" s="215"/>
      <c r="BB21" s="215"/>
      <c r="BC21" s="215"/>
      <c r="BD21" s="215"/>
      <c r="BE21" s="215"/>
      <c r="BF21" s="215"/>
      <c r="BG21" s="215"/>
      <c r="BH21" s="215"/>
      <c r="BI21" s="210"/>
      <c r="BJ21" s="210"/>
      <c r="BK21" s="210"/>
    </row>
    <row r="22" spans="1:63" ht="18" x14ac:dyDescent="0.3">
      <c r="A22" s="210" t="s">
        <v>287</v>
      </c>
      <c r="B22" s="210"/>
      <c r="C22" s="210"/>
      <c r="D22" s="210"/>
      <c r="E22" s="211"/>
      <c r="F22" s="210"/>
      <c r="G22" s="210"/>
      <c r="H22" s="210"/>
      <c r="I22" s="211"/>
      <c r="J22" s="210"/>
      <c r="K22" s="210"/>
      <c r="L22" s="210"/>
      <c r="M22" s="211"/>
      <c r="N22" s="210"/>
      <c r="O22" s="210"/>
      <c r="P22" s="210"/>
      <c r="Q22" s="211"/>
      <c r="R22" s="212">
        <f t="shared" si="0"/>
        <v>0</v>
      </c>
      <c r="S22" s="213">
        <f t="shared" si="2"/>
        <v>0</v>
      </c>
      <c r="T22" s="214"/>
      <c r="U22" s="214"/>
      <c r="V22" s="214"/>
      <c r="W22" s="214"/>
      <c r="X22" s="214"/>
      <c r="Y22" s="215"/>
      <c r="Z22" s="215"/>
      <c r="AA22" s="215"/>
      <c r="AB22" s="215"/>
      <c r="AC22" s="215"/>
      <c r="AD22" s="215"/>
      <c r="AE22" s="215"/>
      <c r="AF22" s="200"/>
      <c r="AG22" s="210" t="s">
        <v>287</v>
      </c>
      <c r="AH22" s="210"/>
      <c r="AI22" s="210"/>
      <c r="AJ22" s="210"/>
      <c r="AK22" s="211"/>
      <c r="AL22" s="210"/>
      <c r="AM22" s="210"/>
      <c r="AN22" s="210"/>
      <c r="AO22" s="211"/>
      <c r="AP22" s="210"/>
      <c r="AQ22" s="210"/>
      <c r="AR22" s="210"/>
      <c r="AS22" s="211"/>
      <c r="AT22" s="210"/>
      <c r="AU22" s="210"/>
      <c r="AV22" s="210"/>
      <c r="AW22" s="211"/>
      <c r="AX22" s="212">
        <f t="shared" si="1"/>
        <v>0</v>
      </c>
      <c r="AY22" s="213">
        <f t="shared" si="3"/>
        <v>0</v>
      </c>
      <c r="AZ22" s="215"/>
      <c r="BA22" s="215"/>
      <c r="BB22" s="215"/>
      <c r="BC22" s="215"/>
      <c r="BD22" s="215"/>
      <c r="BE22" s="215"/>
      <c r="BF22" s="215"/>
      <c r="BG22" s="215"/>
      <c r="BH22" s="215"/>
      <c r="BI22" s="215"/>
      <c r="BJ22" s="215"/>
      <c r="BK22" s="215"/>
    </row>
    <row r="23" spans="1:63" ht="18" x14ac:dyDescent="0.3">
      <c r="A23" s="210" t="s">
        <v>288</v>
      </c>
      <c r="B23" s="210"/>
      <c r="C23" s="210"/>
      <c r="D23" s="210"/>
      <c r="E23" s="211"/>
      <c r="F23" s="210"/>
      <c r="G23" s="210"/>
      <c r="H23" s="210"/>
      <c r="I23" s="211"/>
      <c r="J23" s="210"/>
      <c r="K23" s="210"/>
      <c r="L23" s="210"/>
      <c r="M23" s="211"/>
      <c r="N23" s="210"/>
      <c r="O23" s="210"/>
      <c r="P23" s="210"/>
      <c r="Q23" s="211"/>
      <c r="R23" s="212">
        <f t="shared" si="0"/>
        <v>0</v>
      </c>
      <c r="S23" s="213">
        <f t="shared" si="2"/>
        <v>0</v>
      </c>
      <c r="T23" s="214"/>
      <c r="U23" s="214"/>
      <c r="V23" s="214"/>
      <c r="W23" s="214"/>
      <c r="X23" s="214"/>
      <c r="Y23" s="215"/>
      <c r="Z23" s="215"/>
      <c r="AA23" s="215"/>
      <c r="AB23" s="215"/>
      <c r="AC23" s="215"/>
      <c r="AD23" s="215"/>
      <c r="AE23" s="215"/>
      <c r="AF23" s="200"/>
      <c r="AG23" s="210" t="s">
        <v>288</v>
      </c>
      <c r="AH23" s="210"/>
      <c r="AI23" s="210"/>
      <c r="AJ23" s="210"/>
      <c r="AK23" s="211"/>
      <c r="AL23" s="210"/>
      <c r="AM23" s="210"/>
      <c r="AN23" s="210"/>
      <c r="AO23" s="211"/>
      <c r="AP23" s="210"/>
      <c r="AQ23" s="210"/>
      <c r="AR23" s="210"/>
      <c r="AS23" s="211"/>
      <c r="AT23" s="210"/>
      <c r="AU23" s="210"/>
      <c r="AV23" s="210"/>
      <c r="AW23" s="211"/>
      <c r="AX23" s="212">
        <f t="shared" si="1"/>
        <v>0</v>
      </c>
      <c r="AY23" s="213">
        <f t="shared" si="3"/>
        <v>0</v>
      </c>
      <c r="AZ23" s="215"/>
      <c r="BA23" s="215"/>
      <c r="BB23" s="215"/>
      <c r="BC23" s="215"/>
      <c r="BD23" s="215"/>
      <c r="BE23" s="215"/>
      <c r="BF23" s="215"/>
      <c r="BG23" s="215"/>
      <c r="BH23" s="215"/>
      <c r="BI23" s="215"/>
      <c r="BJ23" s="215"/>
      <c r="BK23" s="215"/>
    </row>
    <row r="24" spans="1:63" ht="18" x14ac:dyDescent="0.3">
      <c r="A24" s="210" t="s">
        <v>289</v>
      </c>
      <c r="B24" s="210"/>
      <c r="C24" s="210"/>
      <c r="D24" s="210"/>
      <c r="E24" s="211"/>
      <c r="F24" s="210"/>
      <c r="G24" s="210"/>
      <c r="H24" s="210"/>
      <c r="I24" s="211"/>
      <c r="J24" s="210"/>
      <c r="K24" s="210"/>
      <c r="L24" s="210"/>
      <c r="M24" s="211"/>
      <c r="N24" s="210"/>
      <c r="O24" s="210"/>
      <c r="P24" s="210"/>
      <c r="Q24" s="211"/>
      <c r="R24" s="212">
        <f t="shared" si="0"/>
        <v>0</v>
      </c>
      <c r="S24" s="213">
        <f t="shared" si="2"/>
        <v>0</v>
      </c>
      <c r="T24" s="214"/>
      <c r="U24" s="214"/>
      <c r="V24" s="214"/>
      <c r="W24" s="214"/>
      <c r="X24" s="214"/>
      <c r="Y24" s="215"/>
      <c r="Z24" s="215"/>
      <c r="AA24" s="215"/>
      <c r="AB24" s="215"/>
      <c r="AC24" s="215"/>
      <c r="AD24" s="215"/>
      <c r="AE24" s="215"/>
      <c r="AF24" s="200"/>
      <c r="AG24" s="210" t="s">
        <v>289</v>
      </c>
      <c r="AH24" s="210"/>
      <c r="AI24" s="210"/>
      <c r="AJ24" s="210"/>
      <c r="AK24" s="211"/>
      <c r="AL24" s="210"/>
      <c r="AM24" s="210"/>
      <c r="AN24" s="210"/>
      <c r="AO24" s="211"/>
      <c r="AP24" s="210"/>
      <c r="AQ24" s="210"/>
      <c r="AR24" s="210"/>
      <c r="AS24" s="211"/>
      <c r="AT24" s="210"/>
      <c r="AU24" s="210"/>
      <c r="AV24" s="210"/>
      <c r="AW24" s="211"/>
      <c r="AX24" s="212">
        <f t="shared" si="1"/>
        <v>0</v>
      </c>
      <c r="AY24" s="213">
        <f t="shared" si="3"/>
        <v>0</v>
      </c>
      <c r="AZ24" s="215"/>
      <c r="BA24" s="215"/>
      <c r="BB24" s="215"/>
      <c r="BC24" s="215"/>
      <c r="BD24" s="215"/>
      <c r="BE24" s="215"/>
      <c r="BF24" s="215"/>
      <c r="BG24" s="215"/>
      <c r="BH24" s="215"/>
      <c r="BI24" s="215"/>
      <c r="BJ24" s="215"/>
      <c r="BK24" s="215"/>
    </row>
    <row r="25" spans="1:63" ht="18" x14ac:dyDescent="0.3">
      <c r="A25" s="210" t="s">
        <v>290</v>
      </c>
      <c r="B25" s="210"/>
      <c r="C25" s="210"/>
      <c r="D25" s="210"/>
      <c r="E25" s="211"/>
      <c r="F25" s="210"/>
      <c r="G25" s="210"/>
      <c r="H25" s="210"/>
      <c r="I25" s="211"/>
      <c r="J25" s="210"/>
      <c r="K25" s="210"/>
      <c r="L25" s="210"/>
      <c r="M25" s="211"/>
      <c r="N25" s="210"/>
      <c r="O25" s="210"/>
      <c r="P25" s="210"/>
      <c r="Q25" s="211"/>
      <c r="R25" s="212">
        <f t="shared" si="0"/>
        <v>0</v>
      </c>
      <c r="S25" s="213">
        <f t="shared" si="2"/>
        <v>0</v>
      </c>
      <c r="T25" s="214"/>
      <c r="U25" s="214"/>
      <c r="V25" s="214"/>
      <c r="W25" s="214"/>
      <c r="X25" s="214"/>
      <c r="Y25" s="215"/>
      <c r="Z25" s="215"/>
      <c r="AA25" s="215"/>
      <c r="AB25" s="215"/>
      <c r="AC25" s="215"/>
      <c r="AD25" s="215"/>
      <c r="AE25" s="215"/>
      <c r="AF25" s="200"/>
      <c r="AG25" s="210" t="s">
        <v>290</v>
      </c>
      <c r="AH25" s="210"/>
      <c r="AI25" s="210"/>
      <c r="AJ25" s="210"/>
      <c r="AK25" s="211"/>
      <c r="AL25" s="210"/>
      <c r="AM25" s="210"/>
      <c r="AN25" s="210"/>
      <c r="AO25" s="211"/>
      <c r="AP25" s="210"/>
      <c r="AQ25" s="210"/>
      <c r="AR25" s="210"/>
      <c r="AS25" s="211"/>
      <c r="AT25" s="210"/>
      <c r="AU25" s="210"/>
      <c r="AV25" s="210"/>
      <c r="AW25" s="211"/>
      <c r="AX25" s="212">
        <f t="shared" si="1"/>
        <v>0</v>
      </c>
      <c r="AY25" s="213">
        <f t="shared" si="3"/>
        <v>0</v>
      </c>
      <c r="AZ25" s="215"/>
      <c r="BA25" s="215"/>
      <c r="BB25" s="215"/>
      <c r="BC25" s="215"/>
      <c r="BD25" s="215"/>
      <c r="BE25" s="215"/>
      <c r="BF25" s="215"/>
      <c r="BG25" s="215"/>
      <c r="BH25" s="215"/>
      <c r="BI25" s="215"/>
      <c r="BJ25" s="215"/>
      <c r="BK25" s="215"/>
    </row>
    <row r="26" spans="1:63" ht="18" x14ac:dyDescent="0.3">
      <c r="A26" s="210" t="s">
        <v>291</v>
      </c>
      <c r="B26" s="210"/>
      <c r="C26" s="210"/>
      <c r="D26" s="210"/>
      <c r="E26" s="211"/>
      <c r="F26" s="210"/>
      <c r="G26" s="210"/>
      <c r="H26" s="210"/>
      <c r="I26" s="211"/>
      <c r="J26" s="210"/>
      <c r="K26" s="210"/>
      <c r="L26" s="210"/>
      <c r="M26" s="211"/>
      <c r="N26" s="210"/>
      <c r="O26" s="210"/>
      <c r="P26" s="210"/>
      <c r="Q26" s="211"/>
      <c r="R26" s="212">
        <f t="shared" si="0"/>
        <v>0</v>
      </c>
      <c r="S26" s="213">
        <f t="shared" si="2"/>
        <v>0</v>
      </c>
      <c r="T26" s="214"/>
      <c r="U26" s="214"/>
      <c r="V26" s="214"/>
      <c r="W26" s="214"/>
      <c r="X26" s="214"/>
      <c r="Y26" s="215"/>
      <c r="Z26" s="215"/>
      <c r="AA26" s="215"/>
      <c r="AB26" s="215"/>
      <c r="AC26" s="215"/>
      <c r="AD26" s="215"/>
      <c r="AE26" s="215"/>
      <c r="AF26" s="200"/>
      <c r="AG26" s="210" t="s">
        <v>291</v>
      </c>
      <c r="AH26" s="210"/>
      <c r="AI26" s="210"/>
      <c r="AJ26" s="210"/>
      <c r="AK26" s="211"/>
      <c r="AL26" s="210"/>
      <c r="AM26" s="210"/>
      <c r="AN26" s="210"/>
      <c r="AO26" s="211"/>
      <c r="AP26" s="210"/>
      <c r="AQ26" s="210"/>
      <c r="AR26" s="210"/>
      <c r="AS26" s="211"/>
      <c r="AT26" s="210"/>
      <c r="AU26" s="210"/>
      <c r="AV26" s="210"/>
      <c r="AW26" s="211"/>
      <c r="AX26" s="212">
        <f t="shared" si="1"/>
        <v>0</v>
      </c>
      <c r="AY26" s="213">
        <f t="shared" si="3"/>
        <v>0</v>
      </c>
      <c r="AZ26" s="215"/>
      <c r="BA26" s="215"/>
      <c r="BB26" s="215"/>
      <c r="BC26" s="215"/>
      <c r="BD26" s="215"/>
      <c r="BE26" s="215"/>
      <c r="BF26" s="215"/>
      <c r="BG26" s="215"/>
      <c r="BH26" s="215"/>
      <c r="BI26" s="215"/>
      <c r="BJ26" s="215"/>
      <c r="BK26" s="215"/>
    </row>
    <row r="27" spans="1:63" ht="18" x14ac:dyDescent="0.3">
      <c r="A27" s="210" t="s">
        <v>292</v>
      </c>
      <c r="B27" s="210"/>
      <c r="C27" s="210"/>
      <c r="D27" s="210"/>
      <c r="E27" s="211"/>
      <c r="F27" s="210"/>
      <c r="G27" s="210"/>
      <c r="H27" s="210"/>
      <c r="I27" s="211"/>
      <c r="J27" s="210"/>
      <c r="K27" s="210"/>
      <c r="L27" s="210"/>
      <c r="M27" s="211"/>
      <c r="N27" s="210"/>
      <c r="O27" s="210"/>
      <c r="P27" s="210"/>
      <c r="Q27" s="211"/>
      <c r="R27" s="212">
        <f t="shared" si="0"/>
        <v>0</v>
      </c>
      <c r="S27" s="213">
        <f t="shared" si="2"/>
        <v>0</v>
      </c>
      <c r="T27" s="214"/>
      <c r="U27" s="214"/>
      <c r="V27" s="214"/>
      <c r="W27" s="214"/>
      <c r="X27" s="214"/>
      <c r="Y27" s="215"/>
      <c r="Z27" s="215"/>
      <c r="AA27" s="215"/>
      <c r="AB27" s="215"/>
      <c r="AC27" s="215"/>
      <c r="AD27" s="215"/>
      <c r="AE27" s="215"/>
      <c r="AF27" s="200"/>
      <c r="AG27" s="210" t="s">
        <v>292</v>
      </c>
      <c r="AH27" s="210"/>
      <c r="AI27" s="210"/>
      <c r="AJ27" s="210"/>
      <c r="AK27" s="211"/>
      <c r="AL27" s="210"/>
      <c r="AM27" s="210"/>
      <c r="AN27" s="210"/>
      <c r="AO27" s="211"/>
      <c r="AP27" s="210"/>
      <c r="AQ27" s="210"/>
      <c r="AR27" s="210"/>
      <c r="AS27" s="211"/>
      <c r="AT27" s="210"/>
      <c r="AU27" s="210"/>
      <c r="AV27" s="210"/>
      <c r="AW27" s="211"/>
      <c r="AX27" s="212">
        <f t="shared" si="1"/>
        <v>0</v>
      </c>
      <c r="AY27" s="213">
        <f t="shared" si="3"/>
        <v>0</v>
      </c>
      <c r="AZ27" s="215"/>
      <c r="BA27" s="215"/>
      <c r="BB27" s="215"/>
      <c r="BC27" s="215"/>
      <c r="BD27" s="215"/>
      <c r="BE27" s="215"/>
      <c r="BF27" s="215"/>
      <c r="BG27" s="215"/>
      <c r="BH27" s="215"/>
      <c r="BI27" s="215"/>
      <c r="BJ27" s="215"/>
      <c r="BK27" s="215"/>
    </row>
    <row r="28" spans="1:63" ht="18" x14ac:dyDescent="0.3">
      <c r="A28" s="210" t="s">
        <v>293</v>
      </c>
      <c r="B28" s="210"/>
      <c r="C28" s="210"/>
      <c r="D28" s="210"/>
      <c r="E28" s="211"/>
      <c r="F28" s="210"/>
      <c r="G28" s="210"/>
      <c r="H28" s="210"/>
      <c r="I28" s="211"/>
      <c r="J28" s="210"/>
      <c r="K28" s="210"/>
      <c r="L28" s="210"/>
      <c r="M28" s="211"/>
      <c r="N28" s="210"/>
      <c r="O28" s="210"/>
      <c r="P28" s="210"/>
      <c r="Q28" s="211"/>
      <c r="R28" s="212">
        <f t="shared" si="0"/>
        <v>0</v>
      </c>
      <c r="S28" s="213">
        <f t="shared" si="2"/>
        <v>0</v>
      </c>
      <c r="T28" s="214"/>
      <c r="U28" s="214"/>
      <c r="V28" s="214"/>
      <c r="W28" s="214"/>
      <c r="X28" s="214"/>
      <c r="Y28" s="215"/>
      <c r="Z28" s="215"/>
      <c r="AA28" s="215"/>
      <c r="AB28" s="215"/>
      <c r="AC28" s="215"/>
      <c r="AD28" s="215"/>
      <c r="AE28" s="215"/>
      <c r="AF28" s="200"/>
      <c r="AG28" s="210" t="s">
        <v>293</v>
      </c>
      <c r="AH28" s="210"/>
      <c r="AI28" s="210"/>
      <c r="AJ28" s="210"/>
      <c r="AK28" s="211"/>
      <c r="AL28" s="210"/>
      <c r="AM28" s="210"/>
      <c r="AN28" s="210"/>
      <c r="AO28" s="211"/>
      <c r="AP28" s="210"/>
      <c r="AQ28" s="210"/>
      <c r="AR28" s="210"/>
      <c r="AS28" s="211"/>
      <c r="AT28" s="210"/>
      <c r="AU28" s="210"/>
      <c r="AV28" s="210"/>
      <c r="AW28" s="211"/>
      <c r="AX28" s="212">
        <f t="shared" si="1"/>
        <v>0</v>
      </c>
      <c r="AY28" s="213">
        <f t="shared" si="3"/>
        <v>0</v>
      </c>
      <c r="AZ28" s="215"/>
      <c r="BA28" s="215"/>
      <c r="BB28" s="215"/>
      <c r="BC28" s="215"/>
      <c r="BD28" s="215"/>
      <c r="BE28" s="215"/>
      <c r="BF28" s="215"/>
      <c r="BG28" s="215"/>
      <c r="BH28" s="215"/>
      <c r="BI28" s="215"/>
      <c r="BJ28" s="215"/>
      <c r="BK28" s="215"/>
    </row>
    <row r="29" spans="1:63" ht="18" x14ac:dyDescent="0.3">
      <c r="A29" s="210" t="s">
        <v>294</v>
      </c>
      <c r="B29" s="210"/>
      <c r="C29" s="210"/>
      <c r="D29" s="210"/>
      <c r="E29" s="211"/>
      <c r="F29" s="210"/>
      <c r="G29" s="210"/>
      <c r="H29" s="210"/>
      <c r="I29" s="211"/>
      <c r="J29" s="210"/>
      <c r="K29" s="210"/>
      <c r="L29" s="210"/>
      <c r="M29" s="211"/>
      <c r="N29" s="210"/>
      <c r="O29" s="210"/>
      <c r="P29" s="210"/>
      <c r="Q29" s="211"/>
      <c r="R29" s="212">
        <f t="shared" si="0"/>
        <v>0</v>
      </c>
      <c r="S29" s="213">
        <f t="shared" si="2"/>
        <v>0</v>
      </c>
      <c r="T29" s="214"/>
      <c r="U29" s="214"/>
      <c r="V29" s="214"/>
      <c r="W29" s="214"/>
      <c r="X29" s="214"/>
      <c r="Y29" s="215"/>
      <c r="Z29" s="215"/>
      <c r="AA29" s="215"/>
      <c r="AB29" s="215"/>
      <c r="AC29" s="215"/>
      <c r="AD29" s="215"/>
      <c r="AE29" s="215"/>
      <c r="AF29" s="200"/>
      <c r="AG29" s="210" t="s">
        <v>294</v>
      </c>
      <c r="AH29" s="210"/>
      <c r="AI29" s="210"/>
      <c r="AJ29" s="210"/>
      <c r="AK29" s="211"/>
      <c r="AL29" s="210"/>
      <c r="AM29" s="210"/>
      <c r="AN29" s="210"/>
      <c r="AO29" s="211"/>
      <c r="AP29" s="210"/>
      <c r="AQ29" s="210"/>
      <c r="AR29" s="210"/>
      <c r="AS29" s="211"/>
      <c r="AT29" s="210"/>
      <c r="AU29" s="210"/>
      <c r="AV29" s="210"/>
      <c r="AW29" s="211"/>
      <c r="AX29" s="212">
        <f t="shared" si="1"/>
        <v>0</v>
      </c>
      <c r="AY29" s="213">
        <f t="shared" si="3"/>
        <v>0</v>
      </c>
      <c r="AZ29" s="215"/>
      <c r="BA29" s="215"/>
      <c r="BB29" s="215"/>
      <c r="BC29" s="215"/>
      <c r="BD29" s="215"/>
      <c r="BE29" s="215"/>
      <c r="BF29" s="215"/>
      <c r="BG29" s="215"/>
      <c r="BH29" s="215"/>
      <c r="BI29" s="215"/>
      <c r="BJ29" s="215"/>
      <c r="BK29" s="215"/>
    </row>
    <row r="30" spans="1:63" ht="18" x14ac:dyDescent="0.3">
      <c r="A30" s="210" t="s">
        <v>295</v>
      </c>
      <c r="B30" s="210"/>
      <c r="C30" s="210"/>
      <c r="D30" s="210"/>
      <c r="E30" s="211"/>
      <c r="F30" s="210"/>
      <c r="G30" s="210"/>
      <c r="H30" s="210"/>
      <c r="I30" s="211"/>
      <c r="J30" s="210"/>
      <c r="K30" s="210"/>
      <c r="L30" s="210"/>
      <c r="M30" s="211"/>
      <c r="N30" s="210"/>
      <c r="O30" s="210"/>
      <c r="P30" s="210"/>
      <c r="Q30" s="211"/>
      <c r="R30" s="212">
        <f t="shared" si="0"/>
        <v>0</v>
      </c>
      <c r="S30" s="213">
        <f t="shared" si="2"/>
        <v>0</v>
      </c>
      <c r="T30" s="214"/>
      <c r="U30" s="214"/>
      <c r="V30" s="214"/>
      <c r="W30" s="214"/>
      <c r="X30" s="214"/>
      <c r="Y30" s="215"/>
      <c r="Z30" s="215"/>
      <c r="AA30" s="215"/>
      <c r="AB30" s="215"/>
      <c r="AC30" s="215"/>
      <c r="AD30" s="215"/>
      <c r="AE30" s="215"/>
      <c r="AF30" s="200"/>
      <c r="AG30" s="210" t="s">
        <v>295</v>
      </c>
      <c r="AH30" s="210"/>
      <c r="AI30" s="210"/>
      <c r="AJ30" s="210"/>
      <c r="AK30" s="211"/>
      <c r="AL30" s="210"/>
      <c r="AM30" s="210"/>
      <c r="AN30" s="210"/>
      <c r="AO30" s="211"/>
      <c r="AP30" s="210"/>
      <c r="AQ30" s="210"/>
      <c r="AR30" s="210"/>
      <c r="AS30" s="211"/>
      <c r="AT30" s="210"/>
      <c r="AU30" s="210"/>
      <c r="AV30" s="210"/>
      <c r="AW30" s="211"/>
      <c r="AX30" s="212">
        <f t="shared" si="1"/>
        <v>0</v>
      </c>
      <c r="AY30" s="213">
        <f t="shared" si="3"/>
        <v>0</v>
      </c>
      <c r="AZ30" s="215"/>
      <c r="BA30" s="215"/>
      <c r="BB30" s="215"/>
      <c r="BC30" s="215"/>
      <c r="BD30" s="215"/>
      <c r="BE30" s="215"/>
      <c r="BF30" s="215"/>
      <c r="BG30" s="215"/>
      <c r="BH30" s="215"/>
      <c r="BI30" s="215"/>
      <c r="BJ30" s="215"/>
      <c r="BK30" s="215"/>
    </row>
    <row r="31" spans="1:63" ht="18" x14ac:dyDescent="0.3">
      <c r="A31" s="210" t="s">
        <v>296</v>
      </c>
      <c r="B31" s="210"/>
      <c r="C31" s="210"/>
      <c r="D31" s="210"/>
      <c r="E31" s="211"/>
      <c r="F31" s="210"/>
      <c r="G31" s="210"/>
      <c r="H31" s="210"/>
      <c r="I31" s="211"/>
      <c r="J31" s="210"/>
      <c r="K31" s="210"/>
      <c r="L31" s="210"/>
      <c r="M31" s="211"/>
      <c r="N31" s="210"/>
      <c r="O31" s="210"/>
      <c r="P31" s="210"/>
      <c r="Q31" s="211"/>
      <c r="R31" s="212">
        <f t="shared" si="0"/>
        <v>0</v>
      </c>
      <c r="S31" s="213">
        <f t="shared" si="2"/>
        <v>0</v>
      </c>
      <c r="T31" s="214"/>
      <c r="U31" s="214"/>
      <c r="V31" s="214"/>
      <c r="W31" s="214"/>
      <c r="X31" s="214"/>
      <c r="Y31" s="215"/>
      <c r="Z31" s="215"/>
      <c r="AA31" s="215"/>
      <c r="AB31" s="215"/>
      <c r="AC31" s="215"/>
      <c r="AD31" s="215"/>
      <c r="AE31" s="215"/>
      <c r="AF31" s="200"/>
      <c r="AG31" s="210" t="s">
        <v>296</v>
      </c>
      <c r="AH31" s="210"/>
      <c r="AI31" s="210"/>
      <c r="AJ31" s="210"/>
      <c r="AK31" s="211"/>
      <c r="AL31" s="210"/>
      <c r="AM31" s="210"/>
      <c r="AN31" s="210"/>
      <c r="AO31" s="211"/>
      <c r="AP31" s="210"/>
      <c r="AQ31" s="210"/>
      <c r="AR31" s="210"/>
      <c r="AS31" s="211"/>
      <c r="AT31" s="210"/>
      <c r="AU31" s="210"/>
      <c r="AV31" s="210"/>
      <c r="AW31" s="211"/>
      <c r="AX31" s="212">
        <f t="shared" si="1"/>
        <v>0</v>
      </c>
      <c r="AY31" s="213">
        <f t="shared" si="3"/>
        <v>0</v>
      </c>
      <c r="AZ31" s="215"/>
      <c r="BA31" s="215"/>
      <c r="BB31" s="215"/>
      <c r="BC31" s="215"/>
      <c r="BD31" s="215"/>
      <c r="BE31" s="215"/>
      <c r="BF31" s="215"/>
      <c r="BG31" s="215"/>
      <c r="BH31" s="215"/>
      <c r="BI31" s="215"/>
      <c r="BJ31" s="215"/>
      <c r="BK31" s="215"/>
    </row>
    <row r="32" spans="1:63" ht="18" x14ac:dyDescent="0.3">
      <c r="A32" s="217" t="s">
        <v>297</v>
      </c>
      <c r="B32" s="218">
        <f>SUM(B11:B31)</f>
        <v>0</v>
      </c>
      <c r="C32" s="218">
        <f t="shared" ref="C32:AE32" si="4">SUM(C11:C31)</f>
        <v>0</v>
      </c>
      <c r="D32" s="218">
        <f t="shared" si="4"/>
        <v>0</v>
      </c>
      <c r="E32" s="219">
        <f>SUM(E11:E31)</f>
        <v>0</v>
      </c>
      <c r="F32" s="218">
        <f t="shared" si="4"/>
        <v>0</v>
      </c>
      <c r="G32" s="218">
        <f t="shared" si="4"/>
        <v>0</v>
      </c>
      <c r="H32" s="218">
        <f t="shared" si="4"/>
        <v>0</v>
      </c>
      <c r="I32" s="219">
        <f>SUM(I11:I31)</f>
        <v>0</v>
      </c>
      <c r="J32" s="218">
        <f t="shared" si="4"/>
        <v>0</v>
      </c>
      <c r="K32" s="218">
        <f t="shared" si="4"/>
        <v>0</v>
      </c>
      <c r="L32" s="218">
        <f t="shared" si="4"/>
        <v>0</v>
      </c>
      <c r="M32" s="219">
        <f>SUM(M11:M31)</f>
        <v>0</v>
      </c>
      <c r="N32" s="218">
        <f t="shared" si="4"/>
        <v>0</v>
      </c>
      <c r="O32" s="218">
        <f t="shared" si="4"/>
        <v>0</v>
      </c>
      <c r="P32" s="218">
        <f t="shared" si="4"/>
        <v>0</v>
      </c>
      <c r="Q32" s="219">
        <f>SUM(Q11:Q31)</f>
        <v>0</v>
      </c>
      <c r="R32" s="218">
        <f t="shared" si="4"/>
        <v>0</v>
      </c>
      <c r="S32" s="213">
        <f t="shared" si="4"/>
        <v>0</v>
      </c>
      <c r="T32" s="218">
        <f t="shared" si="4"/>
        <v>0</v>
      </c>
      <c r="U32" s="218">
        <f t="shared" si="4"/>
        <v>0</v>
      </c>
      <c r="V32" s="218">
        <f t="shared" si="4"/>
        <v>0</v>
      </c>
      <c r="W32" s="218">
        <f t="shared" si="4"/>
        <v>0</v>
      </c>
      <c r="X32" s="218">
        <f t="shared" si="4"/>
        <v>0</v>
      </c>
      <c r="Y32" s="218">
        <f t="shared" si="4"/>
        <v>0</v>
      </c>
      <c r="Z32" s="218">
        <f t="shared" si="4"/>
        <v>0</v>
      </c>
      <c r="AA32" s="218">
        <f t="shared" si="4"/>
        <v>0</v>
      </c>
      <c r="AB32" s="218">
        <f t="shared" si="4"/>
        <v>0</v>
      </c>
      <c r="AC32" s="218">
        <f t="shared" si="4"/>
        <v>0</v>
      </c>
      <c r="AD32" s="218">
        <f t="shared" si="4"/>
        <v>0</v>
      </c>
      <c r="AE32" s="218">
        <f t="shared" si="4"/>
        <v>0</v>
      </c>
      <c r="AF32" s="200"/>
      <c r="AG32" s="217" t="s">
        <v>297</v>
      </c>
      <c r="AH32" s="218">
        <f t="shared" ref="AH32:AW32" si="5">SUM(AH11:AH31)</f>
        <v>0</v>
      </c>
      <c r="AI32" s="218">
        <f t="shared" si="5"/>
        <v>0</v>
      </c>
      <c r="AJ32" s="218">
        <f t="shared" si="5"/>
        <v>0</v>
      </c>
      <c r="AK32" s="219">
        <f t="shared" si="5"/>
        <v>0</v>
      </c>
      <c r="AL32" s="218">
        <f t="shared" si="5"/>
        <v>0</v>
      </c>
      <c r="AM32" s="218">
        <f t="shared" si="5"/>
        <v>0</v>
      </c>
      <c r="AN32" s="218">
        <f t="shared" si="5"/>
        <v>0</v>
      </c>
      <c r="AO32" s="219">
        <f t="shared" si="5"/>
        <v>0</v>
      </c>
      <c r="AP32" s="218">
        <f t="shared" si="5"/>
        <v>0</v>
      </c>
      <c r="AQ32" s="218">
        <f t="shared" si="5"/>
        <v>0</v>
      </c>
      <c r="AR32" s="218">
        <f t="shared" si="5"/>
        <v>0</v>
      </c>
      <c r="AS32" s="219">
        <f t="shared" si="5"/>
        <v>0</v>
      </c>
      <c r="AT32" s="218">
        <f t="shared" si="5"/>
        <v>0</v>
      </c>
      <c r="AU32" s="218">
        <f t="shared" si="5"/>
        <v>0</v>
      </c>
      <c r="AV32" s="218">
        <f t="shared" si="5"/>
        <v>0</v>
      </c>
      <c r="AW32" s="219">
        <f t="shared" si="5"/>
        <v>0</v>
      </c>
      <c r="AX32" s="220">
        <f t="shared" ref="AX32:BK32" si="6">SUM(AX11:AX31)</f>
        <v>0</v>
      </c>
      <c r="AY32" s="221">
        <f t="shared" si="6"/>
        <v>0</v>
      </c>
      <c r="AZ32" s="218">
        <f t="shared" si="6"/>
        <v>0</v>
      </c>
      <c r="BA32" s="218">
        <f t="shared" si="6"/>
        <v>0</v>
      </c>
      <c r="BB32" s="218">
        <f t="shared" si="6"/>
        <v>0</v>
      </c>
      <c r="BC32" s="218">
        <f t="shared" si="6"/>
        <v>0</v>
      </c>
      <c r="BD32" s="218">
        <f t="shared" si="6"/>
        <v>0</v>
      </c>
      <c r="BE32" s="218">
        <f t="shared" si="6"/>
        <v>0</v>
      </c>
      <c r="BF32" s="218">
        <f t="shared" si="6"/>
        <v>0</v>
      </c>
      <c r="BG32" s="218">
        <f t="shared" si="6"/>
        <v>0</v>
      </c>
      <c r="BH32" s="218">
        <f t="shared" si="6"/>
        <v>0</v>
      </c>
      <c r="BI32" s="218">
        <f t="shared" si="6"/>
        <v>0</v>
      </c>
      <c r="BJ32" s="218">
        <f t="shared" si="6"/>
        <v>0</v>
      </c>
      <c r="BK32" s="218">
        <f t="shared" si="6"/>
        <v>0</v>
      </c>
    </row>
    <row r="33" spans="1:63" ht="18" x14ac:dyDescent="0.3">
      <c r="A33" s="200"/>
      <c r="B33" s="200"/>
      <c r="C33" s="200"/>
      <c r="D33" s="200"/>
      <c r="E33" s="200"/>
      <c r="F33" s="200"/>
      <c r="G33" s="200"/>
      <c r="H33" s="200"/>
      <c r="I33" s="200"/>
      <c r="J33" s="200"/>
      <c r="K33" s="200"/>
      <c r="L33" s="200"/>
      <c r="M33" s="200"/>
      <c r="N33" s="200"/>
      <c r="O33" s="200"/>
      <c r="P33" s="200"/>
      <c r="Q33" s="200"/>
      <c r="R33" s="200"/>
      <c r="S33" s="200"/>
      <c r="T33" s="200"/>
      <c r="U33" s="200"/>
      <c r="V33" s="200"/>
      <c r="W33" s="200"/>
      <c r="X33" s="200"/>
      <c r="Y33" s="200"/>
      <c r="Z33" s="200"/>
      <c r="AA33" s="200"/>
      <c r="AB33" s="200"/>
      <c r="AC33" s="200"/>
      <c r="AD33" s="200"/>
      <c r="AE33" s="200"/>
      <c r="AF33" s="200"/>
      <c r="AG33" s="200"/>
      <c r="AH33" s="200"/>
      <c r="AI33" s="200"/>
      <c r="AJ33" s="200"/>
      <c r="AK33" s="200"/>
      <c r="AL33" s="200"/>
      <c r="AM33" s="200"/>
      <c r="AN33" s="200"/>
      <c r="AO33" s="200"/>
      <c r="AP33" s="200"/>
      <c r="AQ33" s="200"/>
      <c r="AR33" s="200"/>
      <c r="AS33" s="200"/>
      <c r="AT33" s="200"/>
      <c r="AU33" s="200"/>
      <c r="AV33" s="200"/>
      <c r="AW33" s="200"/>
      <c r="AX33" s="200"/>
      <c r="AY33" s="200"/>
      <c r="AZ33" s="200"/>
      <c r="BA33" s="200"/>
      <c r="BB33" s="200"/>
      <c r="BC33" s="200"/>
      <c r="BD33" s="200"/>
      <c r="BE33" s="200"/>
      <c r="BF33" s="200"/>
      <c r="BG33" s="200"/>
      <c r="BH33" s="200"/>
      <c r="BI33" s="200"/>
      <c r="BJ33" s="200"/>
      <c r="BK33" s="200"/>
    </row>
    <row r="34" spans="1:63" ht="18" x14ac:dyDescent="0.3">
      <c r="A34" s="200"/>
      <c r="B34" s="200"/>
      <c r="C34" s="200"/>
      <c r="D34" s="200"/>
      <c r="E34" s="200"/>
      <c r="F34" s="200"/>
      <c r="G34" s="200"/>
      <c r="H34" s="200"/>
      <c r="I34" s="200"/>
      <c r="J34" s="200"/>
      <c r="K34" s="200"/>
      <c r="L34" s="200"/>
      <c r="M34" s="200"/>
      <c r="N34" s="200"/>
      <c r="O34" s="200"/>
      <c r="P34" s="200"/>
      <c r="Q34" s="200"/>
      <c r="R34" s="200"/>
      <c r="S34" s="200"/>
      <c r="T34" s="200"/>
      <c r="U34" s="200"/>
      <c r="V34" s="200"/>
      <c r="W34" s="200"/>
      <c r="X34" s="200"/>
      <c r="Y34" s="200"/>
      <c r="Z34" s="200"/>
      <c r="AA34" s="200"/>
      <c r="AB34" s="200"/>
      <c r="AC34" s="200"/>
      <c r="AD34" s="200"/>
      <c r="AE34" s="200"/>
      <c r="AF34" s="200"/>
      <c r="AG34" s="200"/>
      <c r="AH34" s="200"/>
      <c r="AI34" s="200"/>
      <c r="AJ34" s="200"/>
      <c r="AK34" s="200"/>
      <c r="AL34" s="200"/>
      <c r="AM34" s="200"/>
      <c r="AN34" s="200"/>
      <c r="AO34" s="200"/>
      <c r="AP34" s="200"/>
      <c r="AQ34" s="200"/>
      <c r="AR34" s="200"/>
      <c r="AS34" s="200"/>
      <c r="AT34" s="200"/>
      <c r="AU34" s="200"/>
      <c r="AV34" s="200"/>
      <c r="AW34" s="200"/>
      <c r="AX34" s="200"/>
      <c r="AY34" s="200"/>
      <c r="AZ34" s="200"/>
      <c r="BA34" s="200"/>
      <c r="BB34" s="200"/>
      <c r="BC34" s="200"/>
      <c r="BD34" s="200"/>
      <c r="BE34" s="200"/>
      <c r="BF34" s="200"/>
      <c r="BG34" s="200"/>
      <c r="BH34" s="200"/>
      <c r="BI34" s="200"/>
      <c r="BJ34" s="200"/>
      <c r="BK34" s="200"/>
    </row>
    <row r="35" spans="1:63" ht="30" customHeight="1" x14ac:dyDescent="0.3">
      <c r="A35" s="1017" t="s">
        <v>258</v>
      </c>
      <c r="B35" s="205" t="s">
        <v>30</v>
      </c>
      <c r="C35" s="205" t="s">
        <v>31</v>
      </c>
      <c r="D35" s="1019" t="s">
        <v>32</v>
      </c>
      <c r="E35" s="1020"/>
      <c r="F35" s="205" t="s">
        <v>33</v>
      </c>
      <c r="G35" s="205" t="s">
        <v>34</v>
      </c>
      <c r="H35" s="1019" t="s">
        <v>35</v>
      </c>
      <c r="I35" s="1020"/>
      <c r="J35" s="205" t="s">
        <v>36</v>
      </c>
      <c r="K35" s="205" t="s">
        <v>37</v>
      </c>
      <c r="L35" s="1019" t="s">
        <v>8</v>
      </c>
      <c r="M35" s="1020"/>
      <c r="N35" s="205" t="s">
        <v>38</v>
      </c>
      <c r="O35" s="205" t="s">
        <v>39</v>
      </c>
      <c r="P35" s="1019" t="s">
        <v>40</v>
      </c>
      <c r="Q35" s="1020"/>
      <c r="R35" s="1019" t="s">
        <v>259</v>
      </c>
      <c r="S35" s="1020"/>
      <c r="T35" s="1019" t="s">
        <v>260</v>
      </c>
      <c r="U35" s="1022"/>
      <c r="V35" s="1022"/>
      <c r="W35" s="1022"/>
      <c r="X35" s="1022"/>
      <c r="Y35" s="1020"/>
      <c r="Z35" s="1019" t="s">
        <v>261</v>
      </c>
      <c r="AA35" s="1022"/>
      <c r="AB35" s="1022"/>
      <c r="AC35" s="1022"/>
      <c r="AD35" s="1022"/>
      <c r="AE35" s="1020"/>
      <c r="AF35" s="200"/>
      <c r="AG35" s="1017" t="s">
        <v>258</v>
      </c>
      <c r="AH35" s="205" t="s">
        <v>30</v>
      </c>
      <c r="AI35" s="205" t="s">
        <v>31</v>
      </c>
      <c r="AJ35" s="1019" t="s">
        <v>32</v>
      </c>
      <c r="AK35" s="1020"/>
      <c r="AL35" s="205" t="s">
        <v>33</v>
      </c>
      <c r="AM35" s="205" t="s">
        <v>34</v>
      </c>
      <c r="AN35" s="1019" t="s">
        <v>35</v>
      </c>
      <c r="AO35" s="1020"/>
      <c r="AP35" s="205" t="s">
        <v>36</v>
      </c>
      <c r="AQ35" s="205" t="s">
        <v>37</v>
      </c>
      <c r="AR35" s="1019" t="s">
        <v>8</v>
      </c>
      <c r="AS35" s="1020"/>
      <c r="AT35" s="205" t="s">
        <v>38</v>
      </c>
      <c r="AU35" s="205" t="s">
        <v>39</v>
      </c>
      <c r="AV35" s="1019" t="s">
        <v>40</v>
      </c>
      <c r="AW35" s="1020"/>
      <c r="AX35" s="1019" t="s">
        <v>259</v>
      </c>
      <c r="AY35" s="1020"/>
      <c r="AZ35" s="1019" t="s">
        <v>260</v>
      </c>
      <c r="BA35" s="1022"/>
      <c r="BB35" s="1022"/>
      <c r="BC35" s="1022"/>
      <c r="BD35" s="1022"/>
      <c r="BE35" s="1020"/>
      <c r="BF35" s="1019" t="s">
        <v>261</v>
      </c>
      <c r="BG35" s="1022"/>
      <c r="BH35" s="1022"/>
      <c r="BI35" s="1022"/>
      <c r="BJ35" s="1022"/>
      <c r="BK35" s="1020"/>
    </row>
    <row r="36" spans="1:63" ht="36" customHeight="1" x14ac:dyDescent="0.3">
      <c r="A36" s="1018"/>
      <c r="B36" s="206" t="s">
        <v>262</v>
      </c>
      <c r="C36" s="206" t="s">
        <v>262</v>
      </c>
      <c r="D36" s="206" t="s">
        <v>262</v>
      </c>
      <c r="E36" s="206" t="s">
        <v>263</v>
      </c>
      <c r="F36" s="206" t="s">
        <v>262</v>
      </c>
      <c r="G36" s="206" t="s">
        <v>262</v>
      </c>
      <c r="H36" s="206" t="s">
        <v>262</v>
      </c>
      <c r="I36" s="206" t="s">
        <v>263</v>
      </c>
      <c r="J36" s="206" t="s">
        <v>262</v>
      </c>
      <c r="K36" s="206" t="s">
        <v>262</v>
      </c>
      <c r="L36" s="206" t="s">
        <v>262</v>
      </c>
      <c r="M36" s="206" t="s">
        <v>263</v>
      </c>
      <c r="N36" s="206" t="s">
        <v>262</v>
      </c>
      <c r="O36" s="206" t="s">
        <v>262</v>
      </c>
      <c r="P36" s="206" t="s">
        <v>262</v>
      </c>
      <c r="Q36" s="206" t="s">
        <v>263</v>
      </c>
      <c r="R36" s="206" t="s">
        <v>262</v>
      </c>
      <c r="S36" s="206" t="s">
        <v>263</v>
      </c>
      <c r="T36" s="207" t="s">
        <v>264</v>
      </c>
      <c r="U36" s="207" t="s">
        <v>265</v>
      </c>
      <c r="V36" s="207" t="s">
        <v>266</v>
      </c>
      <c r="W36" s="207" t="s">
        <v>267</v>
      </c>
      <c r="X36" s="208" t="s">
        <v>268</v>
      </c>
      <c r="Y36" s="207" t="s">
        <v>269</v>
      </c>
      <c r="Z36" s="206" t="s">
        <v>270</v>
      </c>
      <c r="AA36" s="209" t="s">
        <v>271</v>
      </c>
      <c r="AB36" s="206" t="s">
        <v>272</v>
      </c>
      <c r="AC36" s="206" t="s">
        <v>273</v>
      </c>
      <c r="AD36" s="206" t="s">
        <v>274</v>
      </c>
      <c r="AE36" s="206" t="s">
        <v>275</v>
      </c>
      <c r="AF36" s="200"/>
      <c r="AG36" s="1018"/>
      <c r="AH36" s="206" t="s">
        <v>262</v>
      </c>
      <c r="AI36" s="206" t="s">
        <v>262</v>
      </c>
      <c r="AJ36" s="206" t="s">
        <v>262</v>
      </c>
      <c r="AK36" s="206" t="s">
        <v>263</v>
      </c>
      <c r="AL36" s="206" t="s">
        <v>262</v>
      </c>
      <c r="AM36" s="206" t="s">
        <v>262</v>
      </c>
      <c r="AN36" s="206" t="s">
        <v>262</v>
      </c>
      <c r="AO36" s="206" t="s">
        <v>263</v>
      </c>
      <c r="AP36" s="206" t="s">
        <v>262</v>
      </c>
      <c r="AQ36" s="206" t="s">
        <v>262</v>
      </c>
      <c r="AR36" s="206" t="s">
        <v>262</v>
      </c>
      <c r="AS36" s="206" t="s">
        <v>263</v>
      </c>
      <c r="AT36" s="206" t="s">
        <v>262</v>
      </c>
      <c r="AU36" s="206" t="s">
        <v>262</v>
      </c>
      <c r="AV36" s="206" t="s">
        <v>262</v>
      </c>
      <c r="AW36" s="206" t="s">
        <v>263</v>
      </c>
      <c r="AX36" s="206" t="s">
        <v>262</v>
      </c>
      <c r="AY36" s="206" t="s">
        <v>263</v>
      </c>
      <c r="AZ36" s="207" t="s">
        <v>264</v>
      </c>
      <c r="BA36" s="207" t="s">
        <v>265</v>
      </c>
      <c r="BB36" s="207" t="s">
        <v>266</v>
      </c>
      <c r="BC36" s="207" t="s">
        <v>267</v>
      </c>
      <c r="BD36" s="208" t="s">
        <v>268</v>
      </c>
      <c r="BE36" s="207" t="s">
        <v>269</v>
      </c>
      <c r="BF36" s="206" t="s">
        <v>270</v>
      </c>
      <c r="BG36" s="209" t="s">
        <v>271</v>
      </c>
      <c r="BH36" s="206" t="s">
        <v>272</v>
      </c>
      <c r="BI36" s="206" t="s">
        <v>273</v>
      </c>
      <c r="BJ36" s="206" t="s">
        <v>274</v>
      </c>
      <c r="BK36" s="206" t="s">
        <v>275</v>
      </c>
    </row>
    <row r="37" spans="1:63" ht="18" x14ac:dyDescent="0.3">
      <c r="A37" s="210" t="s">
        <v>276</v>
      </c>
      <c r="B37" s="210"/>
      <c r="C37" s="210"/>
      <c r="D37" s="210"/>
      <c r="E37" s="211"/>
      <c r="F37" s="210"/>
      <c r="G37" s="210"/>
      <c r="H37" s="210"/>
      <c r="I37" s="211"/>
      <c r="J37" s="210"/>
      <c r="K37" s="210"/>
      <c r="L37" s="210"/>
      <c r="M37" s="211"/>
      <c r="N37" s="210"/>
      <c r="O37" s="210"/>
      <c r="P37" s="210"/>
      <c r="Q37" s="211"/>
      <c r="R37" s="212">
        <f t="shared" ref="R37:R57" si="7">B37+C37+D37+F37+G37+H37+J37+K37+L37+N37+O37+P37</f>
        <v>0</v>
      </c>
      <c r="S37" s="213">
        <f>+E37+I37+M37+Q37</f>
        <v>0</v>
      </c>
      <c r="T37" s="214"/>
      <c r="U37" s="214"/>
      <c r="V37" s="214"/>
      <c r="W37" s="214"/>
      <c r="X37" s="214"/>
      <c r="Y37" s="215"/>
      <c r="Z37" s="215"/>
      <c r="AA37" s="215"/>
      <c r="AB37" s="215"/>
      <c r="AC37" s="215"/>
      <c r="AD37" s="215"/>
      <c r="AE37" s="216"/>
      <c r="AF37" s="200"/>
      <c r="AG37" s="210" t="s">
        <v>276</v>
      </c>
      <c r="AH37" s="210"/>
      <c r="AI37" s="210"/>
      <c r="AJ37" s="210"/>
      <c r="AK37" s="211"/>
      <c r="AL37" s="210"/>
      <c r="AM37" s="210"/>
      <c r="AN37" s="210"/>
      <c r="AO37" s="211"/>
      <c r="AP37" s="210"/>
      <c r="AQ37" s="210"/>
      <c r="AR37" s="210"/>
      <c r="AS37" s="211"/>
      <c r="AT37" s="210"/>
      <c r="AU37" s="210"/>
      <c r="AV37" s="210"/>
      <c r="AW37" s="211"/>
      <c r="AX37" s="212">
        <f t="shared" ref="AX37:AX57" si="8">AH37+AI37+AJ37+AL37+AM37+AN37+AP37+AQ37+AR37+AT37+AU37+AV37</f>
        <v>0</v>
      </c>
      <c r="AY37" s="213">
        <f>+AK37+AO37+AS37+AW37</f>
        <v>0</v>
      </c>
      <c r="AZ37" s="215"/>
      <c r="BA37" s="215"/>
      <c r="BB37" s="215"/>
      <c r="BC37" s="215"/>
      <c r="BD37" s="215"/>
      <c r="BE37" s="215"/>
      <c r="BF37" s="215"/>
      <c r="BG37" s="215"/>
      <c r="BH37" s="215"/>
      <c r="BI37" s="215"/>
      <c r="BJ37" s="215"/>
      <c r="BK37" s="216"/>
    </row>
    <row r="38" spans="1:63" ht="18" x14ac:dyDescent="0.3">
      <c r="A38" s="210" t="s">
        <v>277</v>
      </c>
      <c r="B38" s="210"/>
      <c r="C38" s="210"/>
      <c r="D38" s="210"/>
      <c r="E38" s="211"/>
      <c r="F38" s="210"/>
      <c r="G38" s="210"/>
      <c r="H38" s="210"/>
      <c r="I38" s="211"/>
      <c r="J38" s="210"/>
      <c r="K38" s="210"/>
      <c r="L38" s="210"/>
      <c r="M38" s="211"/>
      <c r="N38" s="210"/>
      <c r="O38" s="210"/>
      <c r="P38" s="210"/>
      <c r="Q38" s="211"/>
      <c r="R38" s="212">
        <f t="shared" si="7"/>
        <v>0</v>
      </c>
      <c r="S38" s="213">
        <f t="shared" ref="S38:S57" si="9">+E38+I38+M38+Q38</f>
        <v>0</v>
      </c>
      <c r="T38" s="214"/>
      <c r="U38" s="214"/>
      <c r="V38" s="214"/>
      <c r="W38" s="214"/>
      <c r="X38" s="214"/>
      <c r="Y38" s="215"/>
      <c r="Z38" s="215"/>
      <c r="AA38" s="215"/>
      <c r="AB38" s="215"/>
      <c r="AC38" s="215"/>
      <c r="AD38" s="215"/>
      <c r="AE38" s="215"/>
      <c r="AF38" s="200"/>
      <c r="AG38" s="210" t="s">
        <v>277</v>
      </c>
      <c r="AH38" s="210"/>
      <c r="AI38" s="210"/>
      <c r="AJ38" s="210"/>
      <c r="AK38" s="211"/>
      <c r="AL38" s="210"/>
      <c r="AM38" s="210"/>
      <c r="AN38" s="210"/>
      <c r="AO38" s="211"/>
      <c r="AP38" s="210"/>
      <c r="AQ38" s="210"/>
      <c r="AR38" s="210"/>
      <c r="AS38" s="211"/>
      <c r="AT38" s="210"/>
      <c r="AU38" s="210"/>
      <c r="AV38" s="210"/>
      <c r="AW38" s="211"/>
      <c r="AX38" s="212">
        <f t="shared" si="8"/>
        <v>0</v>
      </c>
      <c r="AY38" s="213">
        <f t="shared" ref="AY38:AY57" si="10">+AK38+AO38+AS38+AW38</f>
        <v>0</v>
      </c>
      <c r="AZ38" s="215"/>
      <c r="BA38" s="215"/>
      <c r="BB38" s="215"/>
      <c r="BC38" s="215"/>
      <c r="BD38" s="215"/>
      <c r="BE38" s="215"/>
      <c r="BF38" s="215"/>
      <c r="BG38" s="215"/>
      <c r="BH38" s="215"/>
      <c r="BI38" s="215"/>
      <c r="BJ38" s="215"/>
      <c r="BK38" s="215"/>
    </row>
    <row r="39" spans="1:63" ht="18" x14ac:dyDescent="0.3">
      <c r="A39" s="210" t="s">
        <v>278</v>
      </c>
      <c r="B39" s="210"/>
      <c r="C39" s="210"/>
      <c r="D39" s="210"/>
      <c r="E39" s="211"/>
      <c r="F39" s="210"/>
      <c r="G39" s="210"/>
      <c r="H39" s="210"/>
      <c r="I39" s="211"/>
      <c r="J39" s="210"/>
      <c r="K39" s="210"/>
      <c r="L39" s="210"/>
      <c r="M39" s="211"/>
      <c r="N39" s="210"/>
      <c r="O39" s="210"/>
      <c r="P39" s="210"/>
      <c r="Q39" s="211"/>
      <c r="R39" s="212">
        <f t="shared" si="7"/>
        <v>0</v>
      </c>
      <c r="S39" s="213">
        <f t="shared" si="9"/>
        <v>0</v>
      </c>
      <c r="T39" s="214"/>
      <c r="U39" s="214"/>
      <c r="V39" s="214"/>
      <c r="W39" s="214"/>
      <c r="X39" s="214"/>
      <c r="Y39" s="215"/>
      <c r="Z39" s="215"/>
      <c r="AA39" s="215"/>
      <c r="AB39" s="215"/>
      <c r="AC39" s="215"/>
      <c r="AD39" s="215"/>
      <c r="AE39" s="215"/>
      <c r="AF39" s="200"/>
      <c r="AG39" s="210" t="s">
        <v>278</v>
      </c>
      <c r="AH39" s="210"/>
      <c r="AI39" s="210"/>
      <c r="AJ39" s="210"/>
      <c r="AK39" s="211"/>
      <c r="AL39" s="210"/>
      <c r="AM39" s="210"/>
      <c r="AN39" s="210"/>
      <c r="AO39" s="211"/>
      <c r="AP39" s="210"/>
      <c r="AQ39" s="210"/>
      <c r="AR39" s="210"/>
      <c r="AS39" s="211"/>
      <c r="AT39" s="210"/>
      <c r="AU39" s="210"/>
      <c r="AV39" s="210"/>
      <c r="AW39" s="211"/>
      <c r="AX39" s="212">
        <f t="shared" si="8"/>
        <v>0</v>
      </c>
      <c r="AY39" s="213">
        <f t="shared" si="10"/>
        <v>0</v>
      </c>
      <c r="AZ39" s="215"/>
      <c r="BA39" s="215"/>
      <c r="BB39" s="215"/>
      <c r="BC39" s="215"/>
      <c r="BD39" s="215"/>
      <c r="BE39" s="215"/>
      <c r="BF39" s="215"/>
      <c r="BG39" s="215"/>
      <c r="BH39" s="215"/>
      <c r="BI39" s="215"/>
      <c r="BJ39" s="215"/>
      <c r="BK39" s="215"/>
    </row>
    <row r="40" spans="1:63" ht="18" x14ac:dyDescent="0.3">
      <c r="A40" s="210" t="s">
        <v>279</v>
      </c>
      <c r="B40" s="210"/>
      <c r="C40" s="210"/>
      <c r="D40" s="210"/>
      <c r="E40" s="211"/>
      <c r="F40" s="210"/>
      <c r="G40" s="210"/>
      <c r="H40" s="210"/>
      <c r="I40" s="211"/>
      <c r="J40" s="210"/>
      <c r="K40" s="210"/>
      <c r="L40" s="210"/>
      <c r="M40" s="211"/>
      <c r="N40" s="210"/>
      <c r="O40" s="210"/>
      <c r="P40" s="210"/>
      <c r="Q40" s="211"/>
      <c r="R40" s="212">
        <f t="shared" si="7"/>
        <v>0</v>
      </c>
      <c r="S40" s="213">
        <f t="shared" si="9"/>
        <v>0</v>
      </c>
      <c r="T40" s="214"/>
      <c r="U40" s="214"/>
      <c r="V40" s="214"/>
      <c r="W40" s="214"/>
      <c r="X40" s="214"/>
      <c r="Y40" s="215"/>
      <c r="Z40" s="215"/>
      <c r="AA40" s="215"/>
      <c r="AB40" s="215"/>
      <c r="AC40" s="215"/>
      <c r="AD40" s="215"/>
      <c r="AE40" s="215"/>
      <c r="AF40" s="200"/>
      <c r="AG40" s="210" t="s">
        <v>279</v>
      </c>
      <c r="AH40" s="210"/>
      <c r="AI40" s="210"/>
      <c r="AJ40" s="210"/>
      <c r="AK40" s="211"/>
      <c r="AL40" s="210"/>
      <c r="AM40" s="210"/>
      <c r="AN40" s="210"/>
      <c r="AO40" s="211"/>
      <c r="AP40" s="210"/>
      <c r="AQ40" s="210"/>
      <c r="AR40" s="210"/>
      <c r="AS40" s="211"/>
      <c r="AT40" s="210"/>
      <c r="AU40" s="210"/>
      <c r="AV40" s="210"/>
      <c r="AW40" s="211"/>
      <c r="AX40" s="212">
        <f t="shared" si="8"/>
        <v>0</v>
      </c>
      <c r="AY40" s="213">
        <f t="shared" si="10"/>
        <v>0</v>
      </c>
      <c r="AZ40" s="215"/>
      <c r="BA40" s="215"/>
      <c r="BB40" s="215"/>
      <c r="BC40" s="215"/>
      <c r="BD40" s="215"/>
      <c r="BE40" s="215"/>
      <c r="BF40" s="215"/>
      <c r="BG40" s="215"/>
      <c r="BH40" s="215"/>
      <c r="BI40" s="215"/>
      <c r="BJ40" s="215"/>
      <c r="BK40" s="215"/>
    </row>
    <row r="41" spans="1:63" ht="18" x14ac:dyDescent="0.3">
      <c r="A41" s="210" t="s">
        <v>280</v>
      </c>
      <c r="B41" s="210"/>
      <c r="C41" s="210"/>
      <c r="D41" s="210"/>
      <c r="E41" s="211"/>
      <c r="F41" s="210"/>
      <c r="G41" s="210"/>
      <c r="H41" s="210"/>
      <c r="I41" s="211"/>
      <c r="J41" s="210"/>
      <c r="K41" s="210"/>
      <c r="L41" s="210"/>
      <c r="M41" s="211"/>
      <c r="N41" s="210"/>
      <c r="O41" s="210"/>
      <c r="P41" s="210"/>
      <c r="Q41" s="211"/>
      <c r="R41" s="212">
        <f t="shared" si="7"/>
        <v>0</v>
      </c>
      <c r="S41" s="213">
        <f t="shared" si="9"/>
        <v>0</v>
      </c>
      <c r="T41" s="214"/>
      <c r="U41" s="214"/>
      <c r="V41" s="214"/>
      <c r="W41" s="214"/>
      <c r="X41" s="214"/>
      <c r="Y41" s="215"/>
      <c r="Z41" s="215"/>
      <c r="AA41" s="215"/>
      <c r="AB41" s="215"/>
      <c r="AC41" s="215"/>
      <c r="AD41" s="215"/>
      <c r="AE41" s="215"/>
      <c r="AF41" s="200"/>
      <c r="AG41" s="210" t="s">
        <v>280</v>
      </c>
      <c r="AH41" s="210"/>
      <c r="AI41" s="210"/>
      <c r="AJ41" s="210"/>
      <c r="AK41" s="211"/>
      <c r="AL41" s="210"/>
      <c r="AM41" s="210"/>
      <c r="AN41" s="210"/>
      <c r="AO41" s="211"/>
      <c r="AP41" s="210"/>
      <c r="AQ41" s="210"/>
      <c r="AR41" s="210"/>
      <c r="AS41" s="211"/>
      <c r="AT41" s="210"/>
      <c r="AU41" s="210"/>
      <c r="AV41" s="210"/>
      <c r="AW41" s="211"/>
      <c r="AX41" s="212">
        <f t="shared" si="8"/>
        <v>0</v>
      </c>
      <c r="AY41" s="213">
        <f t="shared" si="10"/>
        <v>0</v>
      </c>
      <c r="AZ41" s="215"/>
      <c r="BA41" s="215"/>
      <c r="BB41" s="215"/>
      <c r="BC41" s="215"/>
      <c r="BD41" s="215"/>
      <c r="BE41" s="215"/>
      <c r="BF41" s="215"/>
      <c r="BG41" s="215"/>
      <c r="BH41" s="215"/>
      <c r="BI41" s="215"/>
      <c r="BJ41" s="215"/>
      <c r="BK41" s="215"/>
    </row>
    <row r="42" spans="1:63" ht="18" x14ac:dyDescent="0.3">
      <c r="A42" s="210" t="s">
        <v>281</v>
      </c>
      <c r="B42" s="210"/>
      <c r="C42" s="210"/>
      <c r="D42" s="210"/>
      <c r="E42" s="211"/>
      <c r="F42" s="210"/>
      <c r="G42" s="210"/>
      <c r="H42" s="210"/>
      <c r="I42" s="211"/>
      <c r="J42" s="210"/>
      <c r="K42" s="210"/>
      <c r="L42" s="210"/>
      <c r="M42" s="211"/>
      <c r="N42" s="210"/>
      <c r="O42" s="210"/>
      <c r="P42" s="210"/>
      <c r="Q42" s="211"/>
      <c r="R42" s="212">
        <f t="shared" si="7"/>
        <v>0</v>
      </c>
      <c r="S42" s="213">
        <f t="shared" si="9"/>
        <v>0</v>
      </c>
      <c r="T42" s="214"/>
      <c r="U42" s="214"/>
      <c r="V42" s="214"/>
      <c r="W42" s="214"/>
      <c r="X42" s="214"/>
      <c r="Y42" s="215"/>
      <c r="Z42" s="215"/>
      <c r="AA42" s="215"/>
      <c r="AB42" s="215"/>
      <c r="AC42" s="215"/>
      <c r="AD42" s="215"/>
      <c r="AE42" s="215"/>
      <c r="AF42" s="200"/>
      <c r="AG42" s="210" t="s">
        <v>281</v>
      </c>
      <c r="AH42" s="210"/>
      <c r="AI42" s="210"/>
      <c r="AJ42" s="210"/>
      <c r="AK42" s="211"/>
      <c r="AL42" s="210"/>
      <c r="AM42" s="210"/>
      <c r="AN42" s="210"/>
      <c r="AO42" s="211"/>
      <c r="AP42" s="210"/>
      <c r="AQ42" s="210"/>
      <c r="AR42" s="210"/>
      <c r="AS42" s="211"/>
      <c r="AT42" s="210"/>
      <c r="AU42" s="210"/>
      <c r="AV42" s="210"/>
      <c r="AW42" s="211"/>
      <c r="AX42" s="212">
        <f t="shared" si="8"/>
        <v>0</v>
      </c>
      <c r="AY42" s="213">
        <f t="shared" si="10"/>
        <v>0</v>
      </c>
      <c r="AZ42" s="215"/>
      <c r="BA42" s="215"/>
      <c r="BB42" s="215"/>
      <c r="BC42" s="215"/>
      <c r="BD42" s="215"/>
      <c r="BE42" s="215"/>
      <c r="BF42" s="215"/>
      <c r="BG42" s="215"/>
      <c r="BH42" s="215"/>
      <c r="BI42" s="215"/>
      <c r="BJ42" s="215"/>
      <c r="BK42" s="215"/>
    </row>
    <row r="43" spans="1:63" ht="18" x14ac:dyDescent="0.3">
      <c r="A43" s="210" t="s">
        <v>282</v>
      </c>
      <c r="B43" s="210"/>
      <c r="C43" s="210"/>
      <c r="D43" s="210"/>
      <c r="E43" s="211"/>
      <c r="F43" s="210"/>
      <c r="G43" s="210"/>
      <c r="H43" s="210"/>
      <c r="I43" s="211"/>
      <c r="J43" s="210"/>
      <c r="K43" s="210"/>
      <c r="L43" s="210"/>
      <c r="M43" s="211"/>
      <c r="N43" s="210"/>
      <c r="O43" s="210"/>
      <c r="P43" s="210"/>
      <c r="Q43" s="211"/>
      <c r="R43" s="212">
        <f t="shared" si="7"/>
        <v>0</v>
      </c>
      <c r="S43" s="213">
        <f t="shared" si="9"/>
        <v>0</v>
      </c>
      <c r="T43" s="214"/>
      <c r="U43" s="214"/>
      <c r="V43" s="214"/>
      <c r="W43" s="214"/>
      <c r="X43" s="214"/>
      <c r="Y43" s="215"/>
      <c r="Z43" s="215"/>
      <c r="AA43" s="215"/>
      <c r="AB43" s="215"/>
      <c r="AC43" s="215"/>
      <c r="AD43" s="215"/>
      <c r="AE43" s="215"/>
      <c r="AF43" s="200"/>
      <c r="AG43" s="210" t="s">
        <v>282</v>
      </c>
      <c r="AH43" s="210"/>
      <c r="AI43" s="210"/>
      <c r="AJ43" s="210"/>
      <c r="AK43" s="211"/>
      <c r="AL43" s="210"/>
      <c r="AM43" s="210"/>
      <c r="AN43" s="210"/>
      <c r="AO43" s="211"/>
      <c r="AP43" s="210"/>
      <c r="AQ43" s="210"/>
      <c r="AR43" s="210"/>
      <c r="AS43" s="211"/>
      <c r="AT43" s="210"/>
      <c r="AU43" s="210"/>
      <c r="AV43" s="210"/>
      <c r="AW43" s="211"/>
      <c r="AX43" s="212">
        <f t="shared" si="8"/>
        <v>0</v>
      </c>
      <c r="AY43" s="213">
        <f t="shared" si="10"/>
        <v>0</v>
      </c>
      <c r="AZ43" s="215"/>
      <c r="BA43" s="215"/>
      <c r="BB43" s="215"/>
      <c r="BC43" s="215"/>
      <c r="BD43" s="215"/>
      <c r="BE43" s="215"/>
      <c r="BF43" s="215"/>
      <c r="BG43" s="215"/>
      <c r="BH43" s="215"/>
      <c r="BI43" s="215"/>
      <c r="BJ43" s="215"/>
      <c r="BK43" s="215"/>
    </row>
    <row r="44" spans="1:63" ht="18" x14ac:dyDescent="0.3">
      <c r="A44" s="210" t="s">
        <v>283</v>
      </c>
      <c r="B44" s="210"/>
      <c r="C44" s="210"/>
      <c r="D44" s="210"/>
      <c r="E44" s="211"/>
      <c r="F44" s="210"/>
      <c r="G44" s="210"/>
      <c r="H44" s="210"/>
      <c r="I44" s="211"/>
      <c r="J44" s="210"/>
      <c r="K44" s="210"/>
      <c r="L44" s="210"/>
      <c r="M44" s="211"/>
      <c r="N44" s="210"/>
      <c r="O44" s="210"/>
      <c r="P44" s="210"/>
      <c r="Q44" s="211"/>
      <c r="R44" s="212">
        <f t="shared" si="7"/>
        <v>0</v>
      </c>
      <c r="S44" s="213">
        <f t="shared" si="9"/>
        <v>0</v>
      </c>
      <c r="T44" s="214"/>
      <c r="U44" s="214"/>
      <c r="V44" s="214"/>
      <c r="W44" s="214"/>
      <c r="X44" s="214"/>
      <c r="Y44" s="215"/>
      <c r="Z44" s="215"/>
      <c r="AA44" s="215"/>
      <c r="AB44" s="215"/>
      <c r="AC44" s="215"/>
      <c r="AD44" s="215"/>
      <c r="AE44" s="215"/>
      <c r="AF44" s="200"/>
      <c r="AG44" s="210" t="s">
        <v>283</v>
      </c>
      <c r="AH44" s="210"/>
      <c r="AI44" s="210"/>
      <c r="AJ44" s="210"/>
      <c r="AK44" s="211"/>
      <c r="AL44" s="210"/>
      <c r="AM44" s="210"/>
      <c r="AN44" s="210"/>
      <c r="AO44" s="211"/>
      <c r="AP44" s="210"/>
      <c r="AQ44" s="210"/>
      <c r="AR44" s="210"/>
      <c r="AS44" s="211"/>
      <c r="AT44" s="210"/>
      <c r="AU44" s="210"/>
      <c r="AV44" s="210"/>
      <c r="AW44" s="211"/>
      <c r="AX44" s="212">
        <f t="shared" si="8"/>
        <v>0</v>
      </c>
      <c r="AY44" s="213">
        <f t="shared" si="10"/>
        <v>0</v>
      </c>
      <c r="AZ44" s="215"/>
      <c r="BA44" s="215"/>
      <c r="BB44" s="215"/>
      <c r="BC44" s="215"/>
      <c r="BD44" s="215"/>
      <c r="BE44" s="215"/>
      <c r="BF44" s="215"/>
      <c r="BG44" s="215"/>
      <c r="BH44" s="215"/>
      <c r="BI44" s="215"/>
      <c r="BJ44" s="215"/>
      <c r="BK44" s="215"/>
    </row>
    <row r="45" spans="1:63" ht="18" x14ac:dyDescent="0.3">
      <c r="A45" s="210" t="s">
        <v>284</v>
      </c>
      <c r="B45" s="210"/>
      <c r="C45" s="210"/>
      <c r="D45" s="210"/>
      <c r="E45" s="211"/>
      <c r="F45" s="210"/>
      <c r="G45" s="210"/>
      <c r="H45" s="210"/>
      <c r="I45" s="211"/>
      <c r="J45" s="210"/>
      <c r="K45" s="210"/>
      <c r="L45" s="210"/>
      <c r="M45" s="211"/>
      <c r="N45" s="210"/>
      <c r="O45" s="210"/>
      <c r="P45" s="210"/>
      <c r="Q45" s="211"/>
      <c r="R45" s="212">
        <f t="shared" si="7"/>
        <v>0</v>
      </c>
      <c r="S45" s="213">
        <f t="shared" si="9"/>
        <v>0</v>
      </c>
      <c r="T45" s="214"/>
      <c r="U45" s="214"/>
      <c r="V45" s="214"/>
      <c r="W45" s="214"/>
      <c r="X45" s="214"/>
      <c r="Y45" s="215"/>
      <c r="Z45" s="215"/>
      <c r="AA45" s="215"/>
      <c r="AB45" s="215"/>
      <c r="AC45" s="215"/>
      <c r="AD45" s="215"/>
      <c r="AE45" s="215"/>
      <c r="AF45" s="200"/>
      <c r="AG45" s="210" t="s">
        <v>284</v>
      </c>
      <c r="AH45" s="210"/>
      <c r="AI45" s="210"/>
      <c r="AJ45" s="210"/>
      <c r="AK45" s="211"/>
      <c r="AL45" s="210"/>
      <c r="AM45" s="210"/>
      <c r="AN45" s="210"/>
      <c r="AO45" s="211"/>
      <c r="AP45" s="210"/>
      <c r="AQ45" s="210"/>
      <c r="AR45" s="210"/>
      <c r="AS45" s="211"/>
      <c r="AT45" s="210"/>
      <c r="AU45" s="210"/>
      <c r="AV45" s="210"/>
      <c r="AW45" s="211"/>
      <c r="AX45" s="212">
        <f t="shared" si="8"/>
        <v>0</v>
      </c>
      <c r="AY45" s="213">
        <f t="shared" si="10"/>
        <v>0</v>
      </c>
      <c r="AZ45" s="215"/>
      <c r="BA45" s="215"/>
      <c r="BB45" s="215"/>
      <c r="BC45" s="215"/>
      <c r="BD45" s="215"/>
      <c r="BE45" s="215"/>
      <c r="BF45" s="215"/>
      <c r="BG45" s="215"/>
      <c r="BH45" s="215"/>
      <c r="BI45" s="210"/>
      <c r="BJ45" s="210"/>
      <c r="BK45" s="210"/>
    </row>
    <row r="46" spans="1:63" ht="18" x14ac:dyDescent="0.3">
      <c r="A46" s="210" t="s">
        <v>285</v>
      </c>
      <c r="B46" s="210"/>
      <c r="C46" s="210"/>
      <c r="D46" s="210"/>
      <c r="E46" s="211"/>
      <c r="F46" s="210"/>
      <c r="G46" s="210"/>
      <c r="H46" s="210"/>
      <c r="I46" s="211"/>
      <c r="J46" s="210"/>
      <c r="K46" s="210"/>
      <c r="L46" s="210"/>
      <c r="M46" s="211"/>
      <c r="N46" s="210"/>
      <c r="O46" s="210"/>
      <c r="P46" s="210"/>
      <c r="Q46" s="211"/>
      <c r="R46" s="212">
        <f t="shared" si="7"/>
        <v>0</v>
      </c>
      <c r="S46" s="213">
        <f t="shared" si="9"/>
        <v>0</v>
      </c>
      <c r="T46" s="214"/>
      <c r="U46" s="214"/>
      <c r="V46" s="214"/>
      <c r="W46" s="214"/>
      <c r="X46" s="214"/>
      <c r="Y46" s="215"/>
      <c r="Z46" s="215"/>
      <c r="AA46" s="215"/>
      <c r="AB46" s="215"/>
      <c r="AC46" s="215"/>
      <c r="AD46" s="215"/>
      <c r="AE46" s="215"/>
      <c r="AF46" s="200"/>
      <c r="AG46" s="210" t="s">
        <v>285</v>
      </c>
      <c r="AH46" s="210"/>
      <c r="AI46" s="210"/>
      <c r="AJ46" s="210"/>
      <c r="AK46" s="211"/>
      <c r="AL46" s="210"/>
      <c r="AM46" s="210"/>
      <c r="AN46" s="210"/>
      <c r="AO46" s="211"/>
      <c r="AP46" s="210"/>
      <c r="AQ46" s="210"/>
      <c r="AR46" s="210"/>
      <c r="AS46" s="211"/>
      <c r="AT46" s="210"/>
      <c r="AU46" s="210"/>
      <c r="AV46" s="210"/>
      <c r="AW46" s="211"/>
      <c r="AX46" s="212">
        <f t="shared" si="8"/>
        <v>0</v>
      </c>
      <c r="AY46" s="213">
        <f t="shared" si="10"/>
        <v>0</v>
      </c>
      <c r="AZ46" s="215"/>
      <c r="BA46" s="215"/>
      <c r="BB46" s="215"/>
      <c r="BC46" s="215"/>
      <c r="BD46" s="215"/>
      <c r="BE46" s="215"/>
      <c r="BF46" s="215"/>
      <c r="BG46" s="215"/>
      <c r="BH46" s="215"/>
      <c r="BI46" s="210"/>
      <c r="BJ46" s="210"/>
      <c r="BK46" s="210"/>
    </row>
    <row r="47" spans="1:63" ht="18" x14ac:dyDescent="0.3">
      <c r="A47" s="210" t="s">
        <v>286</v>
      </c>
      <c r="B47" s="210"/>
      <c r="C47" s="210"/>
      <c r="D47" s="210"/>
      <c r="E47" s="211"/>
      <c r="F47" s="210"/>
      <c r="G47" s="210"/>
      <c r="H47" s="210"/>
      <c r="I47" s="211"/>
      <c r="J47" s="210"/>
      <c r="K47" s="210"/>
      <c r="L47" s="210"/>
      <c r="M47" s="211"/>
      <c r="N47" s="210"/>
      <c r="O47" s="210"/>
      <c r="P47" s="210"/>
      <c r="Q47" s="211"/>
      <c r="R47" s="212">
        <f t="shared" si="7"/>
        <v>0</v>
      </c>
      <c r="S47" s="213">
        <f t="shared" si="9"/>
        <v>0</v>
      </c>
      <c r="T47" s="214"/>
      <c r="U47" s="214"/>
      <c r="V47" s="214"/>
      <c r="W47" s="214"/>
      <c r="X47" s="214"/>
      <c r="Y47" s="215"/>
      <c r="Z47" s="215"/>
      <c r="AA47" s="215"/>
      <c r="AB47" s="215"/>
      <c r="AC47" s="215"/>
      <c r="AD47" s="215"/>
      <c r="AE47" s="215"/>
      <c r="AF47" s="200"/>
      <c r="AG47" s="210" t="s">
        <v>286</v>
      </c>
      <c r="AH47" s="210"/>
      <c r="AI47" s="210"/>
      <c r="AJ47" s="210"/>
      <c r="AK47" s="211"/>
      <c r="AL47" s="210"/>
      <c r="AM47" s="210"/>
      <c r="AN47" s="210"/>
      <c r="AO47" s="211"/>
      <c r="AP47" s="210"/>
      <c r="AQ47" s="210"/>
      <c r="AR47" s="210"/>
      <c r="AS47" s="211"/>
      <c r="AT47" s="210"/>
      <c r="AU47" s="210"/>
      <c r="AV47" s="210"/>
      <c r="AW47" s="211"/>
      <c r="AX47" s="212">
        <f t="shared" si="8"/>
        <v>0</v>
      </c>
      <c r="AY47" s="213">
        <f t="shared" si="10"/>
        <v>0</v>
      </c>
      <c r="AZ47" s="215"/>
      <c r="BA47" s="215"/>
      <c r="BB47" s="215"/>
      <c r="BC47" s="215"/>
      <c r="BD47" s="215"/>
      <c r="BE47" s="215"/>
      <c r="BF47" s="215"/>
      <c r="BG47" s="215"/>
      <c r="BH47" s="215"/>
      <c r="BI47" s="210"/>
      <c r="BJ47" s="210"/>
      <c r="BK47" s="210"/>
    </row>
    <row r="48" spans="1:63" ht="18" x14ac:dyDescent="0.3">
      <c r="A48" s="210" t="s">
        <v>287</v>
      </c>
      <c r="B48" s="210"/>
      <c r="C48" s="210"/>
      <c r="D48" s="210"/>
      <c r="E48" s="211"/>
      <c r="F48" s="210"/>
      <c r="G48" s="210"/>
      <c r="H48" s="210"/>
      <c r="I48" s="211"/>
      <c r="J48" s="210"/>
      <c r="K48" s="210"/>
      <c r="L48" s="210"/>
      <c r="M48" s="211"/>
      <c r="N48" s="210"/>
      <c r="O48" s="210"/>
      <c r="P48" s="210"/>
      <c r="Q48" s="211"/>
      <c r="R48" s="212">
        <f t="shared" si="7"/>
        <v>0</v>
      </c>
      <c r="S48" s="213">
        <f t="shared" si="9"/>
        <v>0</v>
      </c>
      <c r="T48" s="214"/>
      <c r="U48" s="214"/>
      <c r="V48" s="214"/>
      <c r="W48" s="214"/>
      <c r="X48" s="214"/>
      <c r="Y48" s="215"/>
      <c r="Z48" s="215"/>
      <c r="AA48" s="215"/>
      <c r="AB48" s="215"/>
      <c r="AC48" s="215"/>
      <c r="AD48" s="215"/>
      <c r="AE48" s="215"/>
      <c r="AF48" s="200"/>
      <c r="AG48" s="210" t="s">
        <v>287</v>
      </c>
      <c r="AH48" s="210"/>
      <c r="AI48" s="210"/>
      <c r="AJ48" s="210"/>
      <c r="AK48" s="211"/>
      <c r="AL48" s="210"/>
      <c r="AM48" s="210"/>
      <c r="AN48" s="210"/>
      <c r="AO48" s="211"/>
      <c r="AP48" s="210"/>
      <c r="AQ48" s="210"/>
      <c r="AR48" s="210"/>
      <c r="AS48" s="211"/>
      <c r="AT48" s="210"/>
      <c r="AU48" s="210"/>
      <c r="AV48" s="210"/>
      <c r="AW48" s="211"/>
      <c r="AX48" s="212">
        <f t="shared" si="8"/>
        <v>0</v>
      </c>
      <c r="AY48" s="213">
        <f t="shared" si="10"/>
        <v>0</v>
      </c>
      <c r="AZ48" s="215"/>
      <c r="BA48" s="215"/>
      <c r="BB48" s="215"/>
      <c r="BC48" s="215"/>
      <c r="BD48" s="215"/>
      <c r="BE48" s="215"/>
      <c r="BF48" s="215"/>
      <c r="BG48" s="215"/>
      <c r="BH48" s="215"/>
      <c r="BI48" s="215"/>
      <c r="BJ48" s="215"/>
      <c r="BK48" s="215"/>
    </row>
    <row r="49" spans="1:63" ht="18" x14ac:dyDescent="0.3">
      <c r="A49" s="210" t="s">
        <v>288</v>
      </c>
      <c r="B49" s="210"/>
      <c r="C49" s="210"/>
      <c r="D49" s="210"/>
      <c r="E49" s="211"/>
      <c r="F49" s="210"/>
      <c r="G49" s="210"/>
      <c r="H49" s="210"/>
      <c r="I49" s="211"/>
      <c r="J49" s="210"/>
      <c r="K49" s="210"/>
      <c r="L49" s="210"/>
      <c r="M49" s="211"/>
      <c r="N49" s="210"/>
      <c r="O49" s="210"/>
      <c r="P49" s="210"/>
      <c r="Q49" s="211"/>
      <c r="R49" s="212">
        <f t="shared" si="7"/>
        <v>0</v>
      </c>
      <c r="S49" s="213">
        <f t="shared" si="9"/>
        <v>0</v>
      </c>
      <c r="T49" s="214"/>
      <c r="U49" s="214"/>
      <c r="V49" s="214"/>
      <c r="W49" s="214"/>
      <c r="X49" s="214"/>
      <c r="Y49" s="215"/>
      <c r="Z49" s="215"/>
      <c r="AA49" s="215"/>
      <c r="AB49" s="215"/>
      <c r="AC49" s="215"/>
      <c r="AD49" s="215"/>
      <c r="AE49" s="215"/>
      <c r="AF49" s="200"/>
      <c r="AG49" s="210" t="s">
        <v>288</v>
      </c>
      <c r="AH49" s="210"/>
      <c r="AI49" s="210"/>
      <c r="AJ49" s="210"/>
      <c r="AK49" s="211"/>
      <c r="AL49" s="210"/>
      <c r="AM49" s="210"/>
      <c r="AN49" s="210"/>
      <c r="AO49" s="211"/>
      <c r="AP49" s="210"/>
      <c r="AQ49" s="210"/>
      <c r="AR49" s="210"/>
      <c r="AS49" s="211"/>
      <c r="AT49" s="210"/>
      <c r="AU49" s="210"/>
      <c r="AV49" s="210"/>
      <c r="AW49" s="211"/>
      <c r="AX49" s="212">
        <f t="shared" si="8"/>
        <v>0</v>
      </c>
      <c r="AY49" s="213">
        <f t="shared" si="10"/>
        <v>0</v>
      </c>
      <c r="AZ49" s="215"/>
      <c r="BA49" s="215"/>
      <c r="BB49" s="215"/>
      <c r="BC49" s="215"/>
      <c r="BD49" s="215"/>
      <c r="BE49" s="215"/>
      <c r="BF49" s="215"/>
      <c r="BG49" s="215"/>
      <c r="BH49" s="215"/>
      <c r="BI49" s="215"/>
      <c r="BJ49" s="215"/>
      <c r="BK49" s="215"/>
    </row>
    <row r="50" spans="1:63" ht="18" x14ac:dyDescent="0.3">
      <c r="A50" s="210" t="s">
        <v>289</v>
      </c>
      <c r="B50" s="210"/>
      <c r="C50" s="210"/>
      <c r="D50" s="210"/>
      <c r="E50" s="211"/>
      <c r="F50" s="210"/>
      <c r="G50" s="210"/>
      <c r="H50" s="210"/>
      <c r="I50" s="211"/>
      <c r="J50" s="210"/>
      <c r="K50" s="210"/>
      <c r="L50" s="210"/>
      <c r="M50" s="211"/>
      <c r="N50" s="210"/>
      <c r="O50" s="210"/>
      <c r="P50" s="210"/>
      <c r="Q50" s="211"/>
      <c r="R50" s="212">
        <f t="shared" si="7"/>
        <v>0</v>
      </c>
      <c r="S50" s="213">
        <f t="shared" si="9"/>
        <v>0</v>
      </c>
      <c r="T50" s="214"/>
      <c r="U50" s="214"/>
      <c r="V50" s="214"/>
      <c r="W50" s="214"/>
      <c r="X50" s="214"/>
      <c r="Y50" s="215"/>
      <c r="Z50" s="215"/>
      <c r="AA50" s="215"/>
      <c r="AB50" s="215"/>
      <c r="AC50" s="215"/>
      <c r="AD50" s="215"/>
      <c r="AE50" s="215"/>
      <c r="AF50" s="200"/>
      <c r="AG50" s="210" t="s">
        <v>289</v>
      </c>
      <c r="AH50" s="210"/>
      <c r="AI50" s="210"/>
      <c r="AJ50" s="210"/>
      <c r="AK50" s="211"/>
      <c r="AL50" s="210"/>
      <c r="AM50" s="210"/>
      <c r="AN50" s="210"/>
      <c r="AO50" s="211"/>
      <c r="AP50" s="210"/>
      <c r="AQ50" s="210"/>
      <c r="AR50" s="210"/>
      <c r="AS50" s="211"/>
      <c r="AT50" s="210"/>
      <c r="AU50" s="210"/>
      <c r="AV50" s="210"/>
      <c r="AW50" s="211"/>
      <c r="AX50" s="212">
        <f t="shared" si="8"/>
        <v>0</v>
      </c>
      <c r="AY50" s="213">
        <f t="shared" si="10"/>
        <v>0</v>
      </c>
      <c r="AZ50" s="215"/>
      <c r="BA50" s="215"/>
      <c r="BB50" s="215"/>
      <c r="BC50" s="215"/>
      <c r="BD50" s="215"/>
      <c r="BE50" s="215"/>
      <c r="BF50" s="215"/>
      <c r="BG50" s="215"/>
      <c r="BH50" s="215"/>
      <c r="BI50" s="215"/>
      <c r="BJ50" s="215"/>
      <c r="BK50" s="215"/>
    </row>
    <row r="51" spans="1:63" ht="18" x14ac:dyDescent="0.3">
      <c r="A51" s="210" t="s">
        <v>290</v>
      </c>
      <c r="B51" s="210"/>
      <c r="C51" s="210"/>
      <c r="D51" s="210"/>
      <c r="E51" s="211"/>
      <c r="F51" s="210"/>
      <c r="G51" s="210"/>
      <c r="H51" s="210"/>
      <c r="I51" s="211"/>
      <c r="J51" s="210"/>
      <c r="K51" s="210"/>
      <c r="L51" s="210"/>
      <c r="M51" s="211"/>
      <c r="N51" s="210"/>
      <c r="O51" s="210"/>
      <c r="P51" s="210"/>
      <c r="Q51" s="211"/>
      <c r="R51" s="212">
        <f t="shared" si="7"/>
        <v>0</v>
      </c>
      <c r="S51" s="213">
        <f t="shared" si="9"/>
        <v>0</v>
      </c>
      <c r="T51" s="214"/>
      <c r="U51" s="214"/>
      <c r="V51" s="214"/>
      <c r="W51" s="214"/>
      <c r="X51" s="214"/>
      <c r="Y51" s="215"/>
      <c r="Z51" s="215"/>
      <c r="AA51" s="215"/>
      <c r="AB51" s="215"/>
      <c r="AC51" s="215"/>
      <c r="AD51" s="215"/>
      <c r="AE51" s="215"/>
      <c r="AF51" s="200"/>
      <c r="AG51" s="210" t="s">
        <v>290</v>
      </c>
      <c r="AH51" s="210"/>
      <c r="AI51" s="210"/>
      <c r="AJ51" s="210"/>
      <c r="AK51" s="211"/>
      <c r="AL51" s="210"/>
      <c r="AM51" s="210"/>
      <c r="AN51" s="210"/>
      <c r="AO51" s="211"/>
      <c r="AP51" s="210"/>
      <c r="AQ51" s="210"/>
      <c r="AR51" s="210"/>
      <c r="AS51" s="211"/>
      <c r="AT51" s="210"/>
      <c r="AU51" s="210"/>
      <c r="AV51" s="210"/>
      <c r="AW51" s="211"/>
      <c r="AX51" s="212">
        <f t="shared" si="8"/>
        <v>0</v>
      </c>
      <c r="AY51" s="213">
        <f t="shared" si="10"/>
        <v>0</v>
      </c>
      <c r="AZ51" s="215"/>
      <c r="BA51" s="215"/>
      <c r="BB51" s="215"/>
      <c r="BC51" s="215"/>
      <c r="BD51" s="215"/>
      <c r="BE51" s="215"/>
      <c r="BF51" s="215"/>
      <c r="BG51" s="215"/>
      <c r="BH51" s="215"/>
      <c r="BI51" s="215"/>
      <c r="BJ51" s="215"/>
      <c r="BK51" s="215"/>
    </row>
    <row r="52" spans="1:63" ht="18" x14ac:dyDescent="0.3">
      <c r="A52" s="210" t="s">
        <v>291</v>
      </c>
      <c r="B52" s="210"/>
      <c r="C52" s="210"/>
      <c r="D52" s="210"/>
      <c r="E52" s="211"/>
      <c r="F52" s="210"/>
      <c r="G52" s="210"/>
      <c r="H52" s="210"/>
      <c r="I52" s="211"/>
      <c r="J52" s="210"/>
      <c r="K52" s="210"/>
      <c r="L52" s="210"/>
      <c r="M52" s="211"/>
      <c r="N52" s="210"/>
      <c r="O52" s="210"/>
      <c r="P52" s="210"/>
      <c r="Q52" s="211"/>
      <c r="R52" s="212">
        <f t="shared" si="7"/>
        <v>0</v>
      </c>
      <c r="S52" s="213">
        <f t="shared" si="9"/>
        <v>0</v>
      </c>
      <c r="T52" s="214"/>
      <c r="U52" s="214"/>
      <c r="V52" s="214"/>
      <c r="W52" s="214"/>
      <c r="X52" s="214"/>
      <c r="Y52" s="215"/>
      <c r="Z52" s="215"/>
      <c r="AA52" s="215"/>
      <c r="AB52" s="215"/>
      <c r="AC52" s="215"/>
      <c r="AD52" s="215"/>
      <c r="AE52" s="215"/>
      <c r="AF52" s="200"/>
      <c r="AG52" s="210" t="s">
        <v>291</v>
      </c>
      <c r="AH52" s="210"/>
      <c r="AI52" s="210"/>
      <c r="AJ52" s="210"/>
      <c r="AK52" s="211"/>
      <c r="AL52" s="210"/>
      <c r="AM52" s="210"/>
      <c r="AN52" s="210"/>
      <c r="AO52" s="211"/>
      <c r="AP52" s="210"/>
      <c r="AQ52" s="210"/>
      <c r="AR52" s="210"/>
      <c r="AS52" s="211"/>
      <c r="AT52" s="210"/>
      <c r="AU52" s="210"/>
      <c r="AV52" s="210"/>
      <c r="AW52" s="211"/>
      <c r="AX52" s="212">
        <f t="shared" si="8"/>
        <v>0</v>
      </c>
      <c r="AY52" s="213">
        <f t="shared" si="10"/>
        <v>0</v>
      </c>
      <c r="AZ52" s="215"/>
      <c r="BA52" s="215"/>
      <c r="BB52" s="215"/>
      <c r="BC52" s="215"/>
      <c r="BD52" s="215"/>
      <c r="BE52" s="215"/>
      <c r="BF52" s="215"/>
      <c r="BG52" s="215"/>
      <c r="BH52" s="215"/>
      <c r="BI52" s="215"/>
      <c r="BJ52" s="215"/>
      <c r="BK52" s="215"/>
    </row>
    <row r="53" spans="1:63" ht="18" x14ac:dyDescent="0.3">
      <c r="A53" s="210" t="s">
        <v>292</v>
      </c>
      <c r="B53" s="210"/>
      <c r="C53" s="210"/>
      <c r="D53" s="210"/>
      <c r="E53" s="211"/>
      <c r="F53" s="210"/>
      <c r="G53" s="210"/>
      <c r="H53" s="210"/>
      <c r="I53" s="211"/>
      <c r="J53" s="210"/>
      <c r="K53" s="210"/>
      <c r="L53" s="210"/>
      <c r="M53" s="211"/>
      <c r="N53" s="210"/>
      <c r="O53" s="210"/>
      <c r="P53" s="210"/>
      <c r="Q53" s="211"/>
      <c r="R53" s="212">
        <f t="shared" si="7"/>
        <v>0</v>
      </c>
      <c r="S53" s="213">
        <f t="shared" si="9"/>
        <v>0</v>
      </c>
      <c r="T53" s="214"/>
      <c r="U53" s="214"/>
      <c r="V53" s="214"/>
      <c r="W53" s="214"/>
      <c r="X53" s="214"/>
      <c r="Y53" s="215"/>
      <c r="Z53" s="215"/>
      <c r="AA53" s="215"/>
      <c r="AB53" s="215"/>
      <c r="AC53" s="215"/>
      <c r="AD53" s="215"/>
      <c r="AE53" s="215"/>
      <c r="AF53" s="200"/>
      <c r="AG53" s="210" t="s">
        <v>292</v>
      </c>
      <c r="AH53" s="210"/>
      <c r="AI53" s="210"/>
      <c r="AJ53" s="210"/>
      <c r="AK53" s="211"/>
      <c r="AL53" s="210"/>
      <c r="AM53" s="210"/>
      <c r="AN53" s="210"/>
      <c r="AO53" s="211"/>
      <c r="AP53" s="210"/>
      <c r="AQ53" s="210"/>
      <c r="AR53" s="210"/>
      <c r="AS53" s="211"/>
      <c r="AT53" s="210"/>
      <c r="AU53" s="210"/>
      <c r="AV53" s="210"/>
      <c r="AW53" s="211"/>
      <c r="AX53" s="212">
        <f t="shared" si="8"/>
        <v>0</v>
      </c>
      <c r="AY53" s="213">
        <f t="shared" si="10"/>
        <v>0</v>
      </c>
      <c r="AZ53" s="215"/>
      <c r="BA53" s="215"/>
      <c r="BB53" s="215"/>
      <c r="BC53" s="215"/>
      <c r="BD53" s="215"/>
      <c r="BE53" s="215"/>
      <c r="BF53" s="215"/>
      <c r="BG53" s="215"/>
      <c r="BH53" s="215"/>
      <c r="BI53" s="215"/>
      <c r="BJ53" s="215"/>
      <c r="BK53" s="215"/>
    </row>
    <row r="54" spans="1:63" ht="18" x14ac:dyDescent="0.3">
      <c r="A54" s="210" t="s">
        <v>293</v>
      </c>
      <c r="B54" s="210"/>
      <c r="C54" s="210"/>
      <c r="D54" s="210"/>
      <c r="E54" s="211"/>
      <c r="F54" s="210"/>
      <c r="G54" s="210"/>
      <c r="H54" s="210"/>
      <c r="I54" s="211"/>
      <c r="J54" s="210"/>
      <c r="K54" s="210"/>
      <c r="L54" s="210"/>
      <c r="M54" s="211"/>
      <c r="N54" s="210"/>
      <c r="O54" s="210"/>
      <c r="P54" s="210"/>
      <c r="Q54" s="211"/>
      <c r="R54" s="212">
        <f t="shared" si="7"/>
        <v>0</v>
      </c>
      <c r="S54" s="213">
        <f t="shared" si="9"/>
        <v>0</v>
      </c>
      <c r="T54" s="214"/>
      <c r="U54" s="214"/>
      <c r="V54" s="214"/>
      <c r="W54" s="214"/>
      <c r="X54" s="214"/>
      <c r="Y54" s="215"/>
      <c r="Z54" s="215"/>
      <c r="AA54" s="215"/>
      <c r="AB54" s="215"/>
      <c r="AC54" s="215"/>
      <c r="AD54" s="215"/>
      <c r="AE54" s="215"/>
      <c r="AF54" s="200"/>
      <c r="AG54" s="210" t="s">
        <v>293</v>
      </c>
      <c r="AH54" s="210"/>
      <c r="AI54" s="210"/>
      <c r="AJ54" s="210"/>
      <c r="AK54" s="211"/>
      <c r="AL54" s="210"/>
      <c r="AM54" s="210"/>
      <c r="AN54" s="210"/>
      <c r="AO54" s="211"/>
      <c r="AP54" s="210"/>
      <c r="AQ54" s="210"/>
      <c r="AR54" s="210"/>
      <c r="AS54" s="211"/>
      <c r="AT54" s="210"/>
      <c r="AU54" s="210"/>
      <c r="AV54" s="210"/>
      <c r="AW54" s="211"/>
      <c r="AX54" s="212">
        <f t="shared" si="8"/>
        <v>0</v>
      </c>
      <c r="AY54" s="213">
        <f t="shared" si="10"/>
        <v>0</v>
      </c>
      <c r="AZ54" s="215"/>
      <c r="BA54" s="215"/>
      <c r="BB54" s="215"/>
      <c r="BC54" s="215"/>
      <c r="BD54" s="215"/>
      <c r="BE54" s="215"/>
      <c r="BF54" s="215"/>
      <c r="BG54" s="215"/>
      <c r="BH54" s="215"/>
      <c r="BI54" s="215"/>
      <c r="BJ54" s="215"/>
      <c r="BK54" s="215"/>
    </row>
    <row r="55" spans="1:63" ht="18" x14ac:dyDescent="0.3">
      <c r="A55" s="210" t="s">
        <v>294</v>
      </c>
      <c r="B55" s="210"/>
      <c r="C55" s="210"/>
      <c r="D55" s="210"/>
      <c r="E55" s="211"/>
      <c r="F55" s="210"/>
      <c r="G55" s="210"/>
      <c r="H55" s="210"/>
      <c r="I55" s="211"/>
      <c r="J55" s="210"/>
      <c r="K55" s="210"/>
      <c r="L55" s="210"/>
      <c r="M55" s="211"/>
      <c r="N55" s="210"/>
      <c r="O55" s="210"/>
      <c r="P55" s="210"/>
      <c r="Q55" s="211"/>
      <c r="R55" s="212">
        <f t="shared" si="7"/>
        <v>0</v>
      </c>
      <c r="S55" s="213">
        <f t="shared" si="9"/>
        <v>0</v>
      </c>
      <c r="T55" s="214"/>
      <c r="U55" s="214"/>
      <c r="V55" s="214"/>
      <c r="W55" s="214"/>
      <c r="X55" s="214"/>
      <c r="Y55" s="215"/>
      <c r="Z55" s="215"/>
      <c r="AA55" s="215"/>
      <c r="AB55" s="215"/>
      <c r="AC55" s="215"/>
      <c r="AD55" s="215"/>
      <c r="AE55" s="215"/>
      <c r="AF55" s="200"/>
      <c r="AG55" s="210" t="s">
        <v>294</v>
      </c>
      <c r="AH55" s="210"/>
      <c r="AI55" s="210"/>
      <c r="AJ55" s="210"/>
      <c r="AK55" s="211"/>
      <c r="AL55" s="210"/>
      <c r="AM55" s="210"/>
      <c r="AN55" s="210"/>
      <c r="AO55" s="211"/>
      <c r="AP55" s="210"/>
      <c r="AQ55" s="210"/>
      <c r="AR55" s="210"/>
      <c r="AS55" s="211"/>
      <c r="AT55" s="210"/>
      <c r="AU55" s="210"/>
      <c r="AV55" s="210"/>
      <c r="AW55" s="211"/>
      <c r="AX55" s="212">
        <f t="shared" si="8"/>
        <v>0</v>
      </c>
      <c r="AY55" s="213">
        <f t="shared" si="10"/>
        <v>0</v>
      </c>
      <c r="AZ55" s="215"/>
      <c r="BA55" s="215"/>
      <c r="BB55" s="215"/>
      <c r="BC55" s="215"/>
      <c r="BD55" s="215"/>
      <c r="BE55" s="215"/>
      <c r="BF55" s="215"/>
      <c r="BG55" s="215"/>
      <c r="BH55" s="215"/>
      <c r="BI55" s="215"/>
      <c r="BJ55" s="215"/>
      <c r="BK55" s="215"/>
    </row>
    <row r="56" spans="1:63" ht="18" x14ac:dyDescent="0.3">
      <c r="A56" s="210" t="s">
        <v>295</v>
      </c>
      <c r="B56" s="210"/>
      <c r="C56" s="210"/>
      <c r="D56" s="210"/>
      <c r="E56" s="211"/>
      <c r="F56" s="210"/>
      <c r="G56" s="210"/>
      <c r="H56" s="210"/>
      <c r="I56" s="211"/>
      <c r="J56" s="210"/>
      <c r="K56" s="210"/>
      <c r="L56" s="210"/>
      <c r="M56" s="211"/>
      <c r="N56" s="210"/>
      <c r="O56" s="210"/>
      <c r="P56" s="210"/>
      <c r="Q56" s="211"/>
      <c r="R56" s="212">
        <f t="shared" si="7"/>
        <v>0</v>
      </c>
      <c r="S56" s="213">
        <f t="shared" si="9"/>
        <v>0</v>
      </c>
      <c r="T56" s="214"/>
      <c r="U56" s="214"/>
      <c r="V56" s="214"/>
      <c r="W56" s="214"/>
      <c r="X56" s="214"/>
      <c r="Y56" s="215"/>
      <c r="Z56" s="215"/>
      <c r="AA56" s="215"/>
      <c r="AB56" s="215"/>
      <c r="AC56" s="215"/>
      <c r="AD56" s="215"/>
      <c r="AE56" s="215"/>
      <c r="AF56" s="200"/>
      <c r="AG56" s="210" t="s">
        <v>295</v>
      </c>
      <c r="AH56" s="210"/>
      <c r="AI56" s="210"/>
      <c r="AJ56" s="210"/>
      <c r="AK56" s="211"/>
      <c r="AL56" s="210"/>
      <c r="AM56" s="210"/>
      <c r="AN56" s="210"/>
      <c r="AO56" s="211"/>
      <c r="AP56" s="210"/>
      <c r="AQ56" s="210"/>
      <c r="AR56" s="210"/>
      <c r="AS56" s="211"/>
      <c r="AT56" s="210"/>
      <c r="AU56" s="210"/>
      <c r="AV56" s="210"/>
      <c r="AW56" s="211"/>
      <c r="AX56" s="212">
        <f t="shared" si="8"/>
        <v>0</v>
      </c>
      <c r="AY56" s="213">
        <f t="shared" si="10"/>
        <v>0</v>
      </c>
      <c r="AZ56" s="215"/>
      <c r="BA56" s="215"/>
      <c r="BB56" s="215"/>
      <c r="BC56" s="215"/>
      <c r="BD56" s="215"/>
      <c r="BE56" s="215"/>
      <c r="BF56" s="215"/>
      <c r="BG56" s="215"/>
      <c r="BH56" s="215"/>
      <c r="BI56" s="215"/>
      <c r="BJ56" s="215"/>
      <c r="BK56" s="215"/>
    </row>
    <row r="57" spans="1:63" ht="18" x14ac:dyDescent="0.3">
      <c r="A57" s="210" t="s">
        <v>296</v>
      </c>
      <c r="B57" s="210"/>
      <c r="C57" s="210"/>
      <c r="D57" s="210"/>
      <c r="E57" s="211"/>
      <c r="F57" s="210"/>
      <c r="G57" s="210"/>
      <c r="H57" s="210"/>
      <c r="I57" s="211"/>
      <c r="J57" s="210"/>
      <c r="K57" s="210"/>
      <c r="L57" s="210"/>
      <c r="M57" s="211"/>
      <c r="N57" s="210"/>
      <c r="O57" s="210"/>
      <c r="P57" s="210"/>
      <c r="Q57" s="211"/>
      <c r="R57" s="212">
        <f t="shared" si="7"/>
        <v>0</v>
      </c>
      <c r="S57" s="213">
        <f t="shared" si="9"/>
        <v>0</v>
      </c>
      <c r="T57" s="214"/>
      <c r="U57" s="214"/>
      <c r="V57" s="214"/>
      <c r="W57" s="214"/>
      <c r="X57" s="214"/>
      <c r="Y57" s="215"/>
      <c r="Z57" s="215"/>
      <c r="AA57" s="215"/>
      <c r="AB57" s="215"/>
      <c r="AC57" s="215"/>
      <c r="AD57" s="215"/>
      <c r="AE57" s="215"/>
      <c r="AF57" s="200"/>
      <c r="AG57" s="210" t="s">
        <v>296</v>
      </c>
      <c r="AH57" s="210"/>
      <c r="AI57" s="210"/>
      <c r="AJ57" s="210"/>
      <c r="AK57" s="211"/>
      <c r="AL57" s="210"/>
      <c r="AM57" s="210"/>
      <c r="AN57" s="210"/>
      <c r="AO57" s="211"/>
      <c r="AP57" s="210"/>
      <c r="AQ57" s="210"/>
      <c r="AR57" s="210"/>
      <c r="AS57" s="211"/>
      <c r="AT57" s="210"/>
      <c r="AU57" s="210"/>
      <c r="AV57" s="210"/>
      <c r="AW57" s="211"/>
      <c r="AX57" s="212">
        <f t="shared" si="8"/>
        <v>0</v>
      </c>
      <c r="AY57" s="213">
        <f t="shared" si="10"/>
        <v>0</v>
      </c>
      <c r="AZ57" s="215"/>
      <c r="BA57" s="215"/>
      <c r="BB57" s="215"/>
      <c r="BC57" s="215"/>
      <c r="BD57" s="215"/>
      <c r="BE57" s="215"/>
      <c r="BF57" s="215"/>
      <c r="BG57" s="215"/>
      <c r="BH57" s="215"/>
      <c r="BI57" s="215"/>
      <c r="BJ57" s="215"/>
      <c r="BK57" s="215"/>
    </row>
    <row r="58" spans="1:63" ht="18" x14ac:dyDescent="0.3">
      <c r="A58" s="217" t="s">
        <v>297</v>
      </c>
      <c r="B58" s="218">
        <f t="shared" ref="B58:Q58" si="11">SUM(B37:B57)</f>
        <v>0</v>
      </c>
      <c r="C58" s="218">
        <f t="shared" si="11"/>
        <v>0</v>
      </c>
      <c r="D58" s="218">
        <f t="shared" si="11"/>
        <v>0</v>
      </c>
      <c r="E58" s="219">
        <f t="shared" si="11"/>
        <v>0</v>
      </c>
      <c r="F58" s="218">
        <f t="shared" si="11"/>
        <v>0</v>
      </c>
      <c r="G58" s="218">
        <f t="shared" si="11"/>
        <v>0</v>
      </c>
      <c r="H58" s="218">
        <f t="shared" si="11"/>
        <v>0</v>
      </c>
      <c r="I58" s="219">
        <f t="shared" si="11"/>
        <v>0</v>
      </c>
      <c r="J58" s="218">
        <f t="shared" si="11"/>
        <v>0</v>
      </c>
      <c r="K58" s="218">
        <f t="shared" si="11"/>
        <v>0</v>
      </c>
      <c r="L58" s="218">
        <f t="shared" si="11"/>
        <v>0</v>
      </c>
      <c r="M58" s="219">
        <f t="shared" si="11"/>
        <v>0</v>
      </c>
      <c r="N58" s="218">
        <f t="shared" si="11"/>
        <v>0</v>
      </c>
      <c r="O58" s="218">
        <f t="shared" si="11"/>
        <v>0</v>
      </c>
      <c r="P58" s="218">
        <f t="shared" si="11"/>
        <v>0</v>
      </c>
      <c r="Q58" s="219">
        <f t="shared" si="11"/>
        <v>0</v>
      </c>
      <c r="R58" s="218">
        <f t="shared" ref="R58:AE58" si="12">SUM(R37:R57)</f>
        <v>0</v>
      </c>
      <c r="S58" s="213">
        <f t="shared" si="12"/>
        <v>0</v>
      </c>
      <c r="T58" s="218">
        <f t="shared" si="12"/>
        <v>0</v>
      </c>
      <c r="U58" s="218">
        <f t="shared" si="12"/>
        <v>0</v>
      </c>
      <c r="V58" s="218">
        <f t="shared" si="12"/>
        <v>0</v>
      </c>
      <c r="W58" s="218">
        <f t="shared" si="12"/>
        <v>0</v>
      </c>
      <c r="X58" s="218">
        <f t="shared" si="12"/>
        <v>0</v>
      </c>
      <c r="Y58" s="218">
        <f t="shared" si="12"/>
        <v>0</v>
      </c>
      <c r="Z58" s="218">
        <f t="shared" si="12"/>
        <v>0</v>
      </c>
      <c r="AA58" s="218">
        <f t="shared" si="12"/>
        <v>0</v>
      </c>
      <c r="AB58" s="218">
        <f t="shared" si="12"/>
        <v>0</v>
      </c>
      <c r="AC58" s="218">
        <f t="shared" si="12"/>
        <v>0</v>
      </c>
      <c r="AD58" s="218">
        <f t="shared" si="12"/>
        <v>0</v>
      </c>
      <c r="AE58" s="218">
        <f t="shared" si="12"/>
        <v>0</v>
      </c>
      <c r="AF58" s="200"/>
      <c r="AG58" s="217" t="s">
        <v>297</v>
      </c>
      <c r="AH58" s="218">
        <f t="shared" ref="AH58:AW58" si="13">SUM(AH37:AH57)</f>
        <v>0</v>
      </c>
      <c r="AI58" s="218">
        <f t="shared" si="13"/>
        <v>0</v>
      </c>
      <c r="AJ58" s="218">
        <f t="shared" si="13"/>
        <v>0</v>
      </c>
      <c r="AK58" s="219">
        <f t="shared" si="13"/>
        <v>0</v>
      </c>
      <c r="AL58" s="218">
        <f t="shared" si="13"/>
        <v>0</v>
      </c>
      <c r="AM58" s="218">
        <f t="shared" si="13"/>
        <v>0</v>
      </c>
      <c r="AN58" s="218">
        <f t="shared" si="13"/>
        <v>0</v>
      </c>
      <c r="AO58" s="219">
        <f t="shared" si="13"/>
        <v>0</v>
      </c>
      <c r="AP58" s="218">
        <f t="shared" si="13"/>
        <v>0</v>
      </c>
      <c r="AQ58" s="218">
        <f t="shared" si="13"/>
        <v>0</v>
      </c>
      <c r="AR58" s="218">
        <f t="shared" si="13"/>
        <v>0</v>
      </c>
      <c r="AS58" s="219">
        <f t="shared" si="13"/>
        <v>0</v>
      </c>
      <c r="AT58" s="218">
        <f t="shared" si="13"/>
        <v>0</v>
      </c>
      <c r="AU58" s="218">
        <f t="shared" si="13"/>
        <v>0</v>
      </c>
      <c r="AV58" s="218">
        <f t="shared" si="13"/>
        <v>0</v>
      </c>
      <c r="AW58" s="219">
        <f t="shared" si="13"/>
        <v>0</v>
      </c>
      <c r="AX58" s="220">
        <f t="shared" ref="AX58:BK58" si="14">SUM(AX37:AX57)</f>
        <v>0</v>
      </c>
      <c r="AY58" s="221">
        <f t="shared" si="14"/>
        <v>0</v>
      </c>
      <c r="AZ58" s="218">
        <f t="shared" si="14"/>
        <v>0</v>
      </c>
      <c r="BA58" s="218">
        <f t="shared" si="14"/>
        <v>0</v>
      </c>
      <c r="BB58" s="218">
        <f t="shared" si="14"/>
        <v>0</v>
      </c>
      <c r="BC58" s="218">
        <f t="shared" si="14"/>
        <v>0</v>
      </c>
      <c r="BD58" s="218">
        <f t="shared" si="14"/>
        <v>0</v>
      </c>
      <c r="BE58" s="218">
        <f t="shared" si="14"/>
        <v>0</v>
      </c>
      <c r="BF58" s="218">
        <f t="shared" si="14"/>
        <v>0</v>
      </c>
      <c r="BG58" s="218">
        <f t="shared" si="14"/>
        <v>0</v>
      </c>
      <c r="BH58" s="218">
        <f t="shared" si="14"/>
        <v>0</v>
      </c>
      <c r="BI58" s="218">
        <f t="shared" si="14"/>
        <v>0</v>
      </c>
      <c r="BJ58" s="218">
        <f t="shared" si="14"/>
        <v>0</v>
      </c>
      <c r="BK58" s="218">
        <f t="shared" si="14"/>
        <v>0</v>
      </c>
    </row>
  </sheetData>
  <mergeCells count="44">
    <mergeCell ref="AN35:AO35"/>
    <mergeCell ref="AR35:AS35"/>
    <mergeCell ref="AV35:AW35"/>
    <mergeCell ref="R35:S35"/>
    <mergeCell ref="T35:Y35"/>
    <mergeCell ref="Z35:AE35"/>
    <mergeCell ref="AG35:AG36"/>
    <mergeCell ref="AJ35:AK35"/>
    <mergeCell ref="A35:A36"/>
    <mergeCell ref="D35:E35"/>
    <mergeCell ref="H35:I35"/>
    <mergeCell ref="L35:M35"/>
    <mergeCell ref="P35:Q35"/>
    <mergeCell ref="BF35:BK35"/>
    <mergeCell ref="AR9:AS9"/>
    <mergeCell ref="AV9:AW9"/>
    <mergeCell ref="BF9:BK9"/>
    <mergeCell ref="AZ9:BE9"/>
    <mergeCell ref="AX35:AY35"/>
    <mergeCell ref="AZ35:BE35"/>
    <mergeCell ref="AX9:AY9"/>
    <mergeCell ref="AG5:BK5"/>
    <mergeCell ref="A9:A10"/>
    <mergeCell ref="D9:E9"/>
    <mergeCell ref="H9:I9"/>
    <mergeCell ref="B6:BK6"/>
    <mergeCell ref="R9:S9"/>
    <mergeCell ref="A5:AE5"/>
    <mergeCell ref="AJ9:AK9"/>
    <mergeCell ref="AN9:AO9"/>
    <mergeCell ref="Z9:AE9"/>
    <mergeCell ref="AG9:AG10"/>
    <mergeCell ref="L9:M9"/>
    <mergeCell ref="P9:Q9"/>
    <mergeCell ref="B7:BK7"/>
    <mergeCell ref="T9:Y9"/>
    <mergeCell ref="BI4:BK4"/>
    <mergeCell ref="A4:BH4"/>
    <mergeCell ref="BI1:BK1"/>
    <mergeCell ref="BI2:BK2"/>
    <mergeCell ref="BI3:BK3"/>
    <mergeCell ref="A1:BH1"/>
    <mergeCell ref="A2:BH2"/>
    <mergeCell ref="A3:BH3"/>
  </mergeCells>
  <pageMargins left="0.75" right="0.75" top="1" bottom="1" header="0.3" footer="0.3"/>
  <pageSetup paperSize="9" scale="19"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B45"/>
  <sheetViews>
    <sheetView topLeftCell="A2" zoomScale="90" zoomScaleNormal="90" workbookViewId="0">
      <selection activeCell="A2" sqref="A2:B2"/>
    </sheetView>
  </sheetViews>
  <sheetFormatPr baseColWidth="10" defaultColWidth="10.6640625" defaultRowHeight="13.8" x14ac:dyDescent="0.3"/>
  <cols>
    <col min="1" max="1" width="72" style="125" bestFit="1" customWidth="1"/>
    <col min="2" max="2" width="73.44140625" style="125" customWidth="1"/>
    <col min="3" max="3" width="10.6640625" style="125"/>
    <col min="4" max="4" width="31.109375" style="125" customWidth="1"/>
    <col min="5" max="5" width="70.109375" style="125" customWidth="1"/>
    <col min="6" max="6" width="17.33203125" style="125" customWidth="1"/>
    <col min="7" max="8" width="21.6640625" style="125" customWidth="1"/>
    <col min="9" max="9" width="19.33203125" style="125" customWidth="1"/>
    <col min="10" max="10" width="42" style="125" customWidth="1"/>
    <col min="11" max="16384" width="10.6640625" style="125"/>
  </cols>
  <sheetData>
    <row r="1" spans="1:2" ht="25.5" customHeight="1" x14ac:dyDescent="0.3">
      <c r="A1" s="1025" t="s">
        <v>158</v>
      </c>
      <c r="B1" s="1026"/>
    </row>
    <row r="2" spans="1:2" ht="25.5" customHeight="1" x14ac:dyDescent="0.3">
      <c r="A2" s="1027" t="s">
        <v>298</v>
      </c>
      <c r="B2" s="1028"/>
    </row>
    <row r="3" spans="1:2" x14ac:dyDescent="0.3">
      <c r="A3" s="143" t="s">
        <v>299</v>
      </c>
      <c r="B3" s="126" t="s">
        <v>300</v>
      </c>
    </row>
    <row r="4" spans="1:2" x14ac:dyDescent="0.3">
      <c r="A4" s="144" t="s">
        <v>9</v>
      </c>
      <c r="B4" s="133" t="s">
        <v>301</v>
      </c>
    </row>
    <row r="5" spans="1:2" ht="96.6" x14ac:dyDescent="0.3">
      <c r="A5" s="144" t="s">
        <v>10</v>
      </c>
      <c r="B5" s="146" t="s">
        <v>302</v>
      </c>
    </row>
    <row r="6" spans="1:2" x14ac:dyDescent="0.3">
      <c r="A6" s="144" t="s">
        <v>15</v>
      </c>
      <c r="B6" s="1029" t="s">
        <v>303</v>
      </c>
    </row>
    <row r="7" spans="1:2" x14ac:dyDescent="0.3">
      <c r="A7" s="144" t="s">
        <v>17</v>
      </c>
      <c r="B7" s="1030"/>
    </row>
    <row r="8" spans="1:2" x14ac:dyDescent="0.3">
      <c r="A8" s="144" t="s">
        <v>19</v>
      </c>
      <c r="B8" s="1030"/>
    </row>
    <row r="9" spans="1:2" x14ac:dyDescent="0.3">
      <c r="A9" s="144" t="s">
        <v>304</v>
      </c>
      <c r="B9" s="1031"/>
    </row>
    <row r="10" spans="1:2" ht="27.6" x14ac:dyDescent="0.3">
      <c r="A10" s="144" t="s">
        <v>7</v>
      </c>
      <c r="B10" s="127" t="s">
        <v>305</v>
      </c>
    </row>
    <row r="11" spans="1:2" ht="27.6" x14ac:dyDescent="0.3">
      <c r="A11" s="144" t="s">
        <v>27</v>
      </c>
      <c r="B11" s="127" t="s">
        <v>306</v>
      </c>
    </row>
    <row r="12" spans="1:2" ht="55.2" x14ac:dyDescent="0.3">
      <c r="A12" s="144" t="s">
        <v>26</v>
      </c>
      <c r="B12" s="128" t="s">
        <v>307</v>
      </c>
    </row>
    <row r="13" spans="1:2" ht="27.6" x14ac:dyDescent="0.3">
      <c r="A13" s="144" t="s">
        <v>308</v>
      </c>
      <c r="B13" s="128" t="s">
        <v>309</v>
      </c>
    </row>
    <row r="14" spans="1:2" ht="27.6" x14ac:dyDescent="0.3">
      <c r="A14" s="144" t="s">
        <v>310</v>
      </c>
      <c r="B14" s="128" t="s">
        <v>311</v>
      </c>
    </row>
    <row r="15" spans="1:2" ht="72" customHeight="1" x14ac:dyDescent="0.3">
      <c r="A15" s="145" t="s">
        <v>312</v>
      </c>
      <c r="B15" s="129" t="s">
        <v>313</v>
      </c>
    </row>
    <row r="16" spans="1:2" ht="165.6" x14ac:dyDescent="0.3">
      <c r="A16" s="145" t="s">
        <v>314</v>
      </c>
      <c r="B16" s="130" t="s">
        <v>315</v>
      </c>
    </row>
    <row r="17" spans="1:2" ht="25.5" customHeight="1" x14ac:dyDescent="0.3">
      <c r="A17" s="1027" t="s">
        <v>316</v>
      </c>
      <c r="B17" s="1028"/>
    </row>
    <row r="18" spans="1:2" x14ac:dyDescent="0.3">
      <c r="A18" s="143" t="s">
        <v>299</v>
      </c>
      <c r="B18" s="126" t="s">
        <v>300</v>
      </c>
    </row>
    <row r="19" spans="1:2" x14ac:dyDescent="0.3">
      <c r="A19" s="144" t="s">
        <v>9</v>
      </c>
      <c r="B19" s="133" t="s">
        <v>301</v>
      </c>
    </row>
    <row r="20" spans="1:2" ht="96.6" x14ac:dyDescent="0.3">
      <c r="A20" s="144" t="s">
        <v>10</v>
      </c>
      <c r="B20" s="132" t="s">
        <v>317</v>
      </c>
    </row>
    <row r="21" spans="1:2" ht="27.6" x14ac:dyDescent="0.3">
      <c r="A21" s="144" t="s">
        <v>318</v>
      </c>
      <c r="B21" s="128" t="s">
        <v>319</v>
      </c>
    </row>
    <row r="22" spans="1:2" ht="41.4" x14ac:dyDescent="0.3">
      <c r="A22" s="144" t="s">
        <v>320</v>
      </c>
      <c r="B22" s="128" t="s">
        <v>321</v>
      </c>
    </row>
    <row r="23" spans="1:2" ht="55.2" x14ac:dyDescent="0.3">
      <c r="A23" s="144" t="s">
        <v>322</v>
      </c>
      <c r="B23" s="128" t="s">
        <v>323</v>
      </c>
    </row>
    <row r="24" spans="1:2" ht="27.6" x14ac:dyDescent="0.3">
      <c r="A24" s="144" t="s">
        <v>324</v>
      </c>
      <c r="B24" s="128" t="s">
        <v>325</v>
      </c>
    </row>
    <row r="25" spans="1:2" x14ac:dyDescent="0.3">
      <c r="A25" s="144" t="s">
        <v>326</v>
      </c>
      <c r="B25" s="128" t="s">
        <v>327</v>
      </c>
    </row>
    <row r="26" spans="1:2" ht="45.75" customHeight="1" x14ac:dyDescent="0.3">
      <c r="A26" s="144" t="s">
        <v>328</v>
      </c>
      <c r="B26" s="131" t="s">
        <v>329</v>
      </c>
    </row>
    <row r="27" spans="1:2" ht="55.2" x14ac:dyDescent="0.3">
      <c r="A27" s="144" t="s">
        <v>172</v>
      </c>
      <c r="B27" s="131" t="s">
        <v>330</v>
      </c>
    </row>
    <row r="28" spans="1:2" ht="41.4" x14ac:dyDescent="0.3">
      <c r="A28" s="144" t="s">
        <v>331</v>
      </c>
      <c r="B28" s="131" t="s">
        <v>332</v>
      </c>
    </row>
    <row r="29" spans="1:2" ht="41.4" x14ac:dyDescent="0.3">
      <c r="A29" s="144" t="s">
        <v>333</v>
      </c>
      <c r="B29" s="131" t="s">
        <v>334</v>
      </c>
    </row>
    <row r="30" spans="1:2" ht="41.4" x14ac:dyDescent="0.3">
      <c r="A30" s="144" t="s">
        <v>335</v>
      </c>
      <c r="B30" s="131" t="s">
        <v>336</v>
      </c>
    </row>
    <row r="31" spans="1:2" ht="144" customHeight="1" x14ac:dyDescent="0.3">
      <c r="A31" s="144" t="s">
        <v>337</v>
      </c>
      <c r="B31" s="131" t="s">
        <v>338</v>
      </c>
    </row>
    <row r="32" spans="1:2" ht="27.6" x14ac:dyDescent="0.3">
      <c r="A32" s="144" t="s">
        <v>339</v>
      </c>
      <c r="B32" s="131" t="s">
        <v>340</v>
      </c>
    </row>
    <row r="33" spans="1:2" ht="27.6" x14ac:dyDescent="0.3">
      <c r="A33" s="144" t="s">
        <v>341</v>
      </c>
      <c r="B33" s="131" t="s">
        <v>342</v>
      </c>
    </row>
    <row r="34" spans="1:2" ht="27.6" x14ac:dyDescent="0.3">
      <c r="A34" s="144" t="s">
        <v>343</v>
      </c>
      <c r="B34" s="131" t="s">
        <v>344</v>
      </c>
    </row>
    <row r="35" spans="1:2" ht="27.6" x14ac:dyDescent="0.3">
      <c r="A35" s="144" t="s">
        <v>345</v>
      </c>
      <c r="B35" s="131" t="s">
        <v>346</v>
      </c>
    </row>
    <row r="36" spans="1:2" ht="69" x14ac:dyDescent="0.3">
      <c r="A36" s="144" t="s">
        <v>347</v>
      </c>
      <c r="B36" s="131" t="s">
        <v>348</v>
      </c>
    </row>
    <row r="37" spans="1:2" x14ac:dyDescent="0.3">
      <c r="A37" s="144" t="s">
        <v>161</v>
      </c>
      <c r="B37" s="131" t="s">
        <v>349</v>
      </c>
    </row>
    <row r="38" spans="1:2" ht="27.6" x14ac:dyDescent="0.3">
      <c r="A38" s="144" t="s">
        <v>350</v>
      </c>
      <c r="B38" s="131" t="s">
        <v>351</v>
      </c>
    </row>
    <row r="39" spans="1:2" ht="41.4" x14ac:dyDescent="0.3">
      <c r="A39" s="144" t="s">
        <v>352</v>
      </c>
      <c r="B39" s="131" t="s">
        <v>353</v>
      </c>
    </row>
    <row r="40" spans="1:2" ht="27.6" x14ac:dyDescent="0.3">
      <c r="A40" s="145" t="s">
        <v>164</v>
      </c>
      <c r="B40" s="131" t="s">
        <v>354</v>
      </c>
    </row>
    <row r="41" spans="1:2" ht="25.5" customHeight="1" x14ac:dyDescent="0.3">
      <c r="A41" s="1027" t="s">
        <v>355</v>
      </c>
      <c r="B41" s="1028"/>
    </row>
    <row r="42" spans="1:2" x14ac:dyDescent="0.3">
      <c r="A42" s="1025" t="s">
        <v>356</v>
      </c>
      <c r="B42" s="1026"/>
    </row>
    <row r="43" spans="1:2" ht="72" customHeight="1" x14ac:dyDescent="0.3">
      <c r="A43" s="1023" t="s">
        <v>357</v>
      </c>
      <c r="B43" s="1024"/>
    </row>
    <row r="44" spans="1:2" ht="27.6" x14ac:dyDescent="0.3">
      <c r="A44" s="144" t="s">
        <v>333</v>
      </c>
      <c r="B44" s="131" t="s">
        <v>358</v>
      </c>
    </row>
    <row r="45" spans="1:2" ht="27.6" x14ac:dyDescent="0.3">
      <c r="A45" s="145" t="s">
        <v>359</v>
      </c>
      <c r="B45" s="131" t="s">
        <v>360</v>
      </c>
    </row>
  </sheetData>
  <mergeCells count="7">
    <mergeCell ref="A43:B43"/>
    <mergeCell ref="A1:B1"/>
    <mergeCell ref="A2:B2"/>
    <mergeCell ref="B6:B9"/>
    <mergeCell ref="A17:B17"/>
    <mergeCell ref="A41:B41"/>
    <mergeCell ref="A42:B42"/>
  </mergeCells>
  <pageMargins left="0.25" right="0.25" top="1" bottom="1" header="0.3" footer="0.3"/>
  <pageSetup scale="35" orientation="portrai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I56"/>
  <sheetViews>
    <sheetView zoomScale="91" workbookViewId="0">
      <selection activeCell="C18" sqref="C18"/>
    </sheetView>
  </sheetViews>
  <sheetFormatPr baseColWidth="10" defaultColWidth="9.109375" defaultRowHeight="13.8" x14ac:dyDescent="0.3"/>
  <cols>
    <col min="1" max="1" width="44.109375" style="108" customWidth="1"/>
    <col min="2" max="2" width="61.6640625" style="108" customWidth="1"/>
    <col min="3" max="3" width="61.109375" style="108" customWidth="1"/>
    <col min="4" max="4" width="81" style="108" customWidth="1"/>
    <col min="5" max="5" width="32.6640625" style="125" customWidth="1"/>
    <col min="6" max="6" width="19" style="108" customWidth="1"/>
    <col min="7" max="7" width="29.44140625" style="108" customWidth="1"/>
    <col min="8" max="8" width="36.33203125" style="108" customWidth="1"/>
    <col min="9" max="9" width="40" style="108" customWidth="1"/>
    <col min="10" max="16384" width="9.109375" style="108"/>
  </cols>
  <sheetData>
    <row r="1" spans="1:9" s="113" customFormat="1" x14ac:dyDescent="0.3">
      <c r="A1" s="112" t="s">
        <v>361</v>
      </c>
      <c r="B1" s="112" t="s">
        <v>362</v>
      </c>
      <c r="C1" s="112" t="s">
        <v>363</v>
      </c>
      <c r="D1" s="112" t="s">
        <v>364</v>
      </c>
      <c r="E1" s="112" t="s">
        <v>335</v>
      </c>
      <c r="F1" s="112" t="s">
        <v>365</v>
      </c>
      <c r="G1" s="112" t="s">
        <v>366</v>
      </c>
      <c r="H1" s="112" t="s">
        <v>260</v>
      </c>
      <c r="I1" s="112" t="s">
        <v>326</v>
      </c>
    </row>
    <row r="2" spans="1:9" s="113" customFormat="1" x14ac:dyDescent="0.3">
      <c r="A2" s="114" t="s">
        <v>367</v>
      </c>
      <c r="B2" s="109" t="s">
        <v>368</v>
      </c>
      <c r="C2" s="114" t="s">
        <v>369</v>
      </c>
      <c r="D2" s="115" t="s">
        <v>370</v>
      </c>
      <c r="E2" s="110" t="s">
        <v>371</v>
      </c>
      <c r="F2" s="116" t="s">
        <v>372</v>
      </c>
      <c r="G2" s="117" t="s">
        <v>373</v>
      </c>
      <c r="H2" s="117" t="s">
        <v>374</v>
      </c>
      <c r="I2" s="116" t="s">
        <v>375</v>
      </c>
    </row>
    <row r="3" spans="1:9" x14ac:dyDescent="0.3">
      <c r="A3" s="114" t="s">
        <v>376</v>
      </c>
      <c r="B3" s="109" t="s">
        <v>377</v>
      </c>
      <c r="C3" s="114" t="s">
        <v>378</v>
      </c>
      <c r="D3" s="118" t="s">
        <v>379</v>
      </c>
      <c r="E3" s="110" t="s">
        <v>380</v>
      </c>
      <c r="F3" s="116" t="s">
        <v>381</v>
      </c>
      <c r="G3" s="117" t="s">
        <v>382</v>
      </c>
      <c r="H3" s="117" t="s">
        <v>269</v>
      </c>
      <c r="I3" s="116" t="s">
        <v>383</v>
      </c>
    </row>
    <row r="4" spans="1:9" x14ac:dyDescent="0.3">
      <c r="A4" s="114" t="s">
        <v>166</v>
      </c>
      <c r="B4" s="109" t="s">
        <v>384</v>
      </c>
      <c r="C4" s="114" t="s">
        <v>385</v>
      </c>
      <c r="D4" s="118" t="s">
        <v>386</v>
      </c>
      <c r="E4" s="110" t="s">
        <v>387</v>
      </c>
      <c r="F4" s="116" t="s">
        <v>388</v>
      </c>
      <c r="G4" s="117" t="s">
        <v>389</v>
      </c>
      <c r="H4" s="117" t="s">
        <v>264</v>
      </c>
      <c r="I4" s="116" t="s">
        <v>390</v>
      </c>
    </row>
    <row r="5" spans="1:9" x14ac:dyDescent="0.3">
      <c r="A5" s="114" t="s">
        <v>391</v>
      </c>
      <c r="B5" s="109" t="s">
        <v>392</v>
      </c>
      <c r="C5" s="114" t="s">
        <v>393</v>
      </c>
      <c r="D5" s="118" t="s">
        <v>394</v>
      </c>
      <c r="E5" s="110" t="s">
        <v>395</v>
      </c>
      <c r="F5" s="116" t="s">
        <v>396</v>
      </c>
      <c r="G5" s="117" t="s">
        <v>397</v>
      </c>
      <c r="H5" s="117" t="s">
        <v>265</v>
      </c>
      <c r="I5" s="116" t="s">
        <v>398</v>
      </c>
    </row>
    <row r="6" spans="1:9" ht="27.6" x14ac:dyDescent="0.3">
      <c r="A6" s="114" t="s">
        <v>399</v>
      </c>
      <c r="B6" s="109" t="s">
        <v>400</v>
      </c>
      <c r="C6" s="114" t="s">
        <v>401</v>
      </c>
      <c r="D6" s="118" t="s">
        <v>402</v>
      </c>
      <c r="E6" s="110" t="s">
        <v>403</v>
      </c>
      <c r="G6" s="117" t="s">
        <v>404</v>
      </c>
      <c r="H6" s="117" t="s">
        <v>266</v>
      </c>
      <c r="I6" s="116" t="s">
        <v>405</v>
      </c>
    </row>
    <row r="7" spans="1:9" ht="27.6" x14ac:dyDescent="0.3">
      <c r="B7" s="109" t="s">
        <v>406</v>
      </c>
      <c r="C7" s="114" t="s">
        <v>407</v>
      </c>
      <c r="D7" s="118" t="s">
        <v>408</v>
      </c>
      <c r="E7" s="116" t="s">
        <v>409</v>
      </c>
      <c r="G7" s="110" t="s">
        <v>275</v>
      </c>
      <c r="H7" s="117" t="s">
        <v>267</v>
      </c>
      <c r="I7" s="116" t="s">
        <v>410</v>
      </c>
    </row>
    <row r="8" spans="1:9" ht="27.6" x14ac:dyDescent="0.3">
      <c r="A8" s="119"/>
      <c r="B8" s="109" t="s">
        <v>411</v>
      </c>
      <c r="C8" s="114" t="s">
        <v>412</v>
      </c>
      <c r="D8" s="118" t="s">
        <v>413</v>
      </c>
      <c r="E8" s="116" t="s">
        <v>414</v>
      </c>
      <c r="I8" s="116" t="s">
        <v>415</v>
      </c>
    </row>
    <row r="9" spans="1:9" ht="32.1" customHeight="1" x14ac:dyDescent="0.3">
      <c r="A9" s="119"/>
      <c r="B9" s="109" t="s">
        <v>416</v>
      </c>
      <c r="C9" s="114" t="s">
        <v>417</v>
      </c>
      <c r="D9" s="118" t="s">
        <v>418</v>
      </c>
      <c r="E9" s="116" t="s">
        <v>419</v>
      </c>
      <c r="I9" s="116" t="s">
        <v>420</v>
      </c>
    </row>
    <row r="10" spans="1:9" x14ac:dyDescent="0.3">
      <c r="A10" s="119"/>
      <c r="B10" s="109" t="s">
        <v>421</v>
      </c>
      <c r="C10" s="114" t="s">
        <v>422</v>
      </c>
      <c r="D10" s="118" t="s">
        <v>423</v>
      </c>
      <c r="E10" s="116" t="s">
        <v>424</v>
      </c>
      <c r="I10" s="116" t="s">
        <v>425</v>
      </c>
    </row>
    <row r="11" spans="1:9" x14ac:dyDescent="0.3">
      <c r="A11" s="119"/>
      <c r="B11" s="109" t="s">
        <v>426</v>
      </c>
      <c r="C11" s="114" t="s">
        <v>427</v>
      </c>
      <c r="D11" s="118" t="s">
        <v>428</v>
      </c>
      <c r="E11" s="116" t="s">
        <v>429</v>
      </c>
      <c r="I11" s="116" t="s">
        <v>430</v>
      </c>
    </row>
    <row r="12" spans="1:9" ht="27.6" x14ac:dyDescent="0.3">
      <c r="A12" s="119"/>
      <c r="B12" s="109" t="s">
        <v>431</v>
      </c>
      <c r="C12" s="114" t="s">
        <v>432</v>
      </c>
      <c r="D12" s="118" t="s">
        <v>433</v>
      </c>
      <c r="E12" s="116" t="s">
        <v>434</v>
      </c>
      <c r="I12" s="116" t="s">
        <v>435</v>
      </c>
    </row>
    <row r="13" spans="1:9" x14ac:dyDescent="0.3">
      <c r="A13" s="119"/>
      <c r="B13" s="222" t="s">
        <v>436</v>
      </c>
      <c r="D13" s="118" t="s">
        <v>437</v>
      </c>
      <c r="E13" s="116" t="s">
        <v>438</v>
      </c>
      <c r="I13" s="116" t="s">
        <v>439</v>
      </c>
    </row>
    <row r="14" spans="1:9" x14ac:dyDescent="0.3">
      <c r="A14" s="119"/>
      <c r="B14" s="109" t="s">
        <v>440</v>
      </c>
      <c r="C14" s="119"/>
      <c r="D14" s="118" t="s">
        <v>441</v>
      </c>
      <c r="E14" s="116" t="s">
        <v>442</v>
      </c>
    </row>
    <row r="15" spans="1:9" x14ac:dyDescent="0.3">
      <c r="A15" s="119"/>
      <c r="B15" s="109" t="s">
        <v>443</v>
      </c>
      <c r="C15" s="119"/>
      <c r="D15" s="118" t="s">
        <v>444</v>
      </c>
      <c r="E15" s="116" t="s">
        <v>445</v>
      </c>
    </row>
    <row r="16" spans="1:9" x14ac:dyDescent="0.3">
      <c r="A16" s="119"/>
      <c r="B16" s="109" t="s">
        <v>446</v>
      </c>
      <c r="C16" s="119"/>
      <c r="D16" s="118" t="s">
        <v>447</v>
      </c>
      <c r="E16" s="120"/>
    </row>
    <row r="17" spans="1:5" x14ac:dyDescent="0.3">
      <c r="A17" s="119"/>
      <c r="B17" s="109" t="s">
        <v>448</v>
      </c>
      <c r="C17" s="119"/>
      <c r="D17" s="118" t="s">
        <v>449</v>
      </c>
      <c r="E17" s="120"/>
    </row>
    <row r="18" spans="1:5" x14ac:dyDescent="0.3">
      <c r="A18" s="119"/>
      <c r="B18" s="109" t="s">
        <v>450</v>
      </c>
      <c r="C18" s="119"/>
      <c r="D18" s="118" t="s">
        <v>451</v>
      </c>
      <c r="E18" s="120"/>
    </row>
    <row r="19" spans="1:5" x14ac:dyDescent="0.3">
      <c r="A19" s="119"/>
      <c r="B19" s="109" t="s">
        <v>452</v>
      </c>
      <c r="C19" s="119"/>
      <c r="D19" s="118" t="s">
        <v>453</v>
      </c>
      <c r="E19" s="120"/>
    </row>
    <row r="20" spans="1:5" x14ac:dyDescent="0.3">
      <c r="A20" s="119"/>
      <c r="B20" s="109" t="s">
        <v>454</v>
      </c>
      <c r="C20" s="119"/>
      <c r="D20" s="118" t="s">
        <v>455</v>
      </c>
      <c r="E20" s="120"/>
    </row>
    <row r="21" spans="1:5" x14ac:dyDescent="0.3">
      <c r="B21" s="109" t="s">
        <v>456</v>
      </c>
      <c r="D21" s="118" t="s">
        <v>457</v>
      </c>
      <c r="E21" s="120"/>
    </row>
    <row r="22" spans="1:5" x14ac:dyDescent="0.3">
      <c r="B22" s="109" t="s">
        <v>458</v>
      </c>
      <c r="D22" s="118" t="s">
        <v>459</v>
      </c>
      <c r="E22" s="120"/>
    </row>
    <row r="23" spans="1:5" x14ac:dyDescent="0.3">
      <c r="B23" s="109" t="s">
        <v>460</v>
      </c>
      <c r="D23" s="118" t="s">
        <v>461</v>
      </c>
      <c r="E23" s="120"/>
    </row>
    <row r="24" spans="1:5" x14ac:dyDescent="0.3">
      <c r="D24" s="121" t="s">
        <v>462</v>
      </c>
      <c r="E24" s="121" t="s">
        <v>463</v>
      </c>
    </row>
    <row r="25" spans="1:5" x14ac:dyDescent="0.3">
      <c r="D25" s="122" t="s">
        <v>464</v>
      </c>
      <c r="E25" s="116" t="s">
        <v>465</v>
      </c>
    </row>
    <row r="26" spans="1:5" x14ac:dyDescent="0.3">
      <c r="D26" s="122" t="s">
        <v>466</v>
      </c>
      <c r="E26" s="116" t="s">
        <v>467</v>
      </c>
    </row>
    <row r="27" spans="1:5" x14ac:dyDescent="0.3">
      <c r="D27" s="1032" t="s">
        <v>468</v>
      </c>
      <c r="E27" s="116" t="s">
        <v>469</v>
      </c>
    </row>
    <row r="28" spans="1:5" x14ac:dyDescent="0.3">
      <c r="D28" s="1033"/>
      <c r="E28" s="116" t="s">
        <v>470</v>
      </c>
    </row>
    <row r="29" spans="1:5" x14ac:dyDescent="0.3">
      <c r="D29" s="1033"/>
      <c r="E29" s="116" t="s">
        <v>471</v>
      </c>
    </row>
    <row r="30" spans="1:5" x14ac:dyDescent="0.3">
      <c r="D30" s="1034"/>
      <c r="E30" s="116" t="s">
        <v>472</v>
      </c>
    </row>
    <row r="31" spans="1:5" x14ac:dyDescent="0.3">
      <c r="D31" s="122" t="s">
        <v>473</v>
      </c>
      <c r="E31" s="116" t="s">
        <v>474</v>
      </c>
    </row>
    <row r="32" spans="1:5" x14ac:dyDescent="0.3">
      <c r="D32" s="122" t="s">
        <v>475</v>
      </c>
      <c r="E32" s="116" t="s">
        <v>476</v>
      </c>
    </row>
    <row r="33" spans="4:5" x14ac:dyDescent="0.3">
      <c r="D33" s="122" t="s">
        <v>477</v>
      </c>
      <c r="E33" s="116" t="s">
        <v>478</v>
      </c>
    </row>
    <row r="34" spans="4:5" x14ac:dyDescent="0.3">
      <c r="D34" s="122" t="s">
        <v>479</v>
      </c>
      <c r="E34" s="116" t="s">
        <v>480</v>
      </c>
    </row>
    <row r="35" spans="4:5" x14ac:dyDescent="0.3">
      <c r="D35" s="122" t="s">
        <v>481</v>
      </c>
      <c r="E35" s="116" t="s">
        <v>482</v>
      </c>
    </row>
    <row r="36" spans="4:5" x14ac:dyDescent="0.3">
      <c r="D36" s="122" t="s">
        <v>483</v>
      </c>
      <c r="E36" s="116" t="s">
        <v>484</v>
      </c>
    </row>
    <row r="37" spans="4:5" x14ac:dyDescent="0.3">
      <c r="D37" s="122" t="s">
        <v>485</v>
      </c>
      <c r="E37" s="116" t="s">
        <v>486</v>
      </c>
    </row>
    <row r="38" spans="4:5" x14ac:dyDescent="0.3">
      <c r="D38" s="122" t="s">
        <v>487</v>
      </c>
      <c r="E38" s="116" t="s">
        <v>488</v>
      </c>
    </row>
    <row r="39" spans="4:5" x14ac:dyDescent="0.3">
      <c r="D39" s="123" t="s">
        <v>489</v>
      </c>
      <c r="E39" s="116" t="s">
        <v>490</v>
      </c>
    </row>
    <row r="40" spans="4:5" x14ac:dyDescent="0.3">
      <c r="D40" s="123" t="s">
        <v>491</v>
      </c>
      <c r="E40" s="116" t="s">
        <v>492</v>
      </c>
    </row>
    <row r="41" spans="4:5" x14ac:dyDescent="0.3">
      <c r="D41" s="122" t="s">
        <v>493</v>
      </c>
      <c r="E41" s="116" t="s">
        <v>494</v>
      </c>
    </row>
    <row r="42" spans="4:5" x14ac:dyDescent="0.3">
      <c r="D42" s="122" t="s">
        <v>495</v>
      </c>
      <c r="E42" s="116" t="s">
        <v>496</v>
      </c>
    </row>
    <row r="43" spans="4:5" x14ac:dyDescent="0.3">
      <c r="D43" s="123" t="s">
        <v>497</v>
      </c>
      <c r="E43" s="116" t="s">
        <v>498</v>
      </c>
    </row>
    <row r="44" spans="4:5" x14ac:dyDescent="0.3">
      <c r="D44" s="124" t="s">
        <v>499</v>
      </c>
      <c r="E44" s="116" t="s">
        <v>500</v>
      </c>
    </row>
    <row r="45" spans="4:5" x14ac:dyDescent="0.3">
      <c r="D45" s="118" t="s">
        <v>501</v>
      </c>
      <c r="E45" s="116" t="s">
        <v>502</v>
      </c>
    </row>
    <row r="46" spans="4:5" x14ac:dyDescent="0.3">
      <c r="D46" s="118" t="s">
        <v>503</v>
      </c>
      <c r="E46" s="116" t="s">
        <v>504</v>
      </c>
    </row>
    <row r="47" spans="4:5" x14ac:dyDescent="0.3">
      <c r="D47" s="118" t="s">
        <v>505</v>
      </c>
      <c r="E47" s="116" t="s">
        <v>506</v>
      </c>
    </row>
    <row r="48" spans="4:5" x14ac:dyDescent="0.3">
      <c r="D48" s="118" t="s">
        <v>507</v>
      </c>
      <c r="E48" s="116" t="s">
        <v>508</v>
      </c>
    </row>
    <row r="49" spans="4:4" x14ac:dyDescent="0.3">
      <c r="D49" s="121" t="s">
        <v>509</v>
      </c>
    </row>
    <row r="50" spans="4:4" x14ac:dyDescent="0.3">
      <c r="D50" s="118" t="s">
        <v>510</v>
      </c>
    </row>
    <row r="51" spans="4:4" x14ac:dyDescent="0.3">
      <c r="D51" s="118" t="s">
        <v>511</v>
      </c>
    </row>
    <row r="52" spans="4:4" x14ac:dyDescent="0.3">
      <c r="D52" s="121" t="s">
        <v>512</v>
      </c>
    </row>
    <row r="53" spans="4:4" x14ac:dyDescent="0.3">
      <c r="D53" s="124" t="s">
        <v>513</v>
      </c>
    </row>
    <row r="54" spans="4:4" x14ac:dyDescent="0.3">
      <c r="D54" s="124" t="s">
        <v>514</v>
      </c>
    </row>
    <row r="55" spans="4:4" x14ac:dyDescent="0.3">
      <c r="D55" s="124" t="s">
        <v>515</v>
      </c>
    </row>
    <row r="56" spans="4:4" x14ac:dyDescent="0.3">
      <c r="D56" s="124" t="s">
        <v>516</v>
      </c>
    </row>
  </sheetData>
  <mergeCells count="1">
    <mergeCell ref="D27:D30"/>
  </mergeCells>
  <pageMargins left="0.75" right="0.75" top="1" bottom="1" header="0.3" footer="0.3"/>
  <pageSetup scale="27" orientation="landscape"/>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
  <sheetViews>
    <sheetView workbookViewId="0"/>
  </sheetViews>
  <sheetFormatPr baseColWidth="10" defaultColWidth="11.44140625" defaultRowHeight="14.4" x14ac:dyDescent="0.3"/>
  <sheetData/>
  <pageMargins left="0.75" right="0.75" top="1" bottom="1"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N46"/>
  <sheetViews>
    <sheetView zoomScale="90" zoomScaleNormal="90" workbookViewId="0">
      <selection activeCell="P9" sqref="P9"/>
    </sheetView>
  </sheetViews>
  <sheetFormatPr baseColWidth="10" defaultColWidth="11.44140625" defaultRowHeight="14.4" x14ac:dyDescent="0.3"/>
  <cols>
    <col min="1" max="2" width="10.6640625" customWidth="1"/>
    <col min="3" max="3" width="6.6640625" customWidth="1"/>
    <col min="4" max="4" width="8.6640625" customWidth="1"/>
    <col min="5" max="5" width="10.6640625" customWidth="1"/>
  </cols>
  <sheetData>
    <row r="1" spans="1:14" x14ac:dyDescent="0.3">
      <c r="B1" t="s">
        <v>517</v>
      </c>
      <c r="C1" s="1038" t="s">
        <v>518</v>
      </c>
      <c r="D1" s="1038"/>
      <c r="E1" s="1038"/>
      <c r="F1" s="1038"/>
      <c r="G1" s="1039" t="s">
        <v>519</v>
      </c>
      <c r="H1" s="1040"/>
      <c r="I1" s="1040"/>
      <c r="J1" s="1041"/>
      <c r="K1" s="1037" t="s">
        <v>520</v>
      </c>
      <c r="L1" s="1037"/>
      <c r="M1" s="1037"/>
      <c r="N1" s="1037"/>
    </row>
    <row r="2" spans="1:14" x14ac:dyDescent="0.3">
      <c r="C2" s="4"/>
      <c r="D2" s="4"/>
      <c r="E2" s="4"/>
      <c r="F2" s="4" t="s">
        <v>521</v>
      </c>
      <c r="G2" s="30"/>
      <c r="H2" s="4"/>
      <c r="I2" s="4"/>
      <c r="J2" s="31" t="s">
        <v>521</v>
      </c>
      <c r="K2" s="4"/>
      <c r="L2" s="4"/>
      <c r="M2" s="4"/>
      <c r="N2" s="4" t="s">
        <v>521</v>
      </c>
    </row>
    <row r="3" spans="1:14" x14ac:dyDescent="0.3">
      <c r="A3" s="1036" t="s">
        <v>522</v>
      </c>
      <c r="B3" s="5">
        <v>1</v>
      </c>
      <c r="C3" s="6">
        <v>0.05</v>
      </c>
      <c r="D3" s="6">
        <v>0.05</v>
      </c>
      <c r="E3" s="6">
        <v>0.1</v>
      </c>
      <c r="F3" s="7">
        <f>(C3+D3+E3)</f>
        <v>0.2</v>
      </c>
      <c r="G3" s="32">
        <v>0.1</v>
      </c>
      <c r="H3" s="6">
        <v>0.1</v>
      </c>
      <c r="I3" s="6">
        <v>0.1</v>
      </c>
      <c r="J3" s="33">
        <f>(G3+H3+I3)</f>
        <v>0.30000000000000004</v>
      </c>
      <c r="K3" s="1">
        <v>0.1</v>
      </c>
      <c r="L3" s="1">
        <v>0.1</v>
      </c>
      <c r="M3" s="1">
        <v>0.1</v>
      </c>
      <c r="N3" s="2">
        <f>K3+L3+M3</f>
        <v>0.30000000000000004</v>
      </c>
    </row>
    <row r="4" spans="1:14" x14ac:dyDescent="0.3">
      <c r="A4" s="1036"/>
      <c r="B4" s="5">
        <v>2</v>
      </c>
      <c r="C4" s="6">
        <v>0.05</v>
      </c>
      <c r="D4" s="6">
        <v>0.05</v>
      </c>
      <c r="E4" s="6">
        <v>0.1</v>
      </c>
      <c r="F4" s="7">
        <f>(C4+D4+E4)</f>
        <v>0.2</v>
      </c>
      <c r="G4" s="32">
        <v>0.1</v>
      </c>
      <c r="H4" s="6">
        <v>0.1</v>
      </c>
      <c r="I4" s="6">
        <v>0.1</v>
      </c>
      <c r="J4" s="33">
        <f>(G4+H4+I4)</f>
        <v>0.30000000000000004</v>
      </c>
      <c r="K4" s="1">
        <v>0.1</v>
      </c>
      <c r="L4" s="1">
        <v>0.1</v>
      </c>
      <c r="M4" s="1">
        <v>0.1</v>
      </c>
      <c r="N4" s="2">
        <f>K4+L4+M4</f>
        <v>0.30000000000000004</v>
      </c>
    </row>
    <row r="5" spans="1:14" x14ac:dyDescent="0.3">
      <c r="A5" s="1036"/>
      <c r="B5" s="5">
        <v>3</v>
      </c>
      <c r="C5" s="6">
        <v>0.05</v>
      </c>
      <c r="D5" s="6">
        <v>0.05</v>
      </c>
      <c r="E5" s="6">
        <v>0.1</v>
      </c>
      <c r="F5" s="7">
        <f>(C5+D5+E5)</f>
        <v>0.2</v>
      </c>
      <c r="G5" s="32">
        <v>0.1</v>
      </c>
      <c r="H5" s="6">
        <v>0.1</v>
      </c>
      <c r="I5" s="6">
        <v>0.1</v>
      </c>
      <c r="J5" s="33">
        <f>(G5+H5+I5)</f>
        <v>0.30000000000000004</v>
      </c>
      <c r="K5" s="24"/>
      <c r="L5" s="5"/>
      <c r="M5" s="5"/>
      <c r="N5" s="5"/>
    </row>
    <row r="6" spans="1:14" x14ac:dyDescent="0.3">
      <c r="A6" s="1036"/>
      <c r="B6" s="5">
        <v>4</v>
      </c>
      <c r="C6" s="6">
        <v>0.1</v>
      </c>
      <c r="D6" s="6">
        <v>0.1</v>
      </c>
      <c r="E6" s="6">
        <v>0.2</v>
      </c>
      <c r="F6" s="7">
        <f>(C6+D6+E6)</f>
        <v>0.4</v>
      </c>
      <c r="G6" s="32">
        <v>0</v>
      </c>
      <c r="H6" s="6">
        <v>0</v>
      </c>
      <c r="I6" s="6">
        <v>0.1</v>
      </c>
      <c r="J6" s="33">
        <f>(G6+H6+I6)</f>
        <v>0.1</v>
      </c>
      <c r="K6" s="24"/>
      <c r="L6" s="5"/>
      <c r="M6" s="5"/>
      <c r="N6" s="5"/>
    </row>
    <row r="7" spans="1:14" x14ac:dyDescent="0.3">
      <c r="A7" s="1036"/>
      <c r="B7" s="5">
        <v>5</v>
      </c>
      <c r="C7" s="6">
        <v>0</v>
      </c>
      <c r="D7" s="6">
        <v>0</v>
      </c>
      <c r="E7" s="6">
        <v>0</v>
      </c>
      <c r="F7" s="7">
        <f>(C7+D7+E7)</f>
        <v>0</v>
      </c>
      <c r="G7" s="32">
        <v>0</v>
      </c>
      <c r="H7" s="6">
        <v>0</v>
      </c>
      <c r="I7" s="6">
        <v>0</v>
      </c>
      <c r="J7" s="33">
        <f>(G7+H7+I7)</f>
        <v>0</v>
      </c>
      <c r="K7" s="24"/>
      <c r="L7" s="5"/>
      <c r="M7" s="5"/>
      <c r="N7" s="5"/>
    </row>
    <row r="8" spans="1:14" x14ac:dyDescent="0.3">
      <c r="A8" s="1036" t="s">
        <v>523</v>
      </c>
      <c r="B8" s="9">
        <v>6</v>
      </c>
      <c r="C8" s="10">
        <v>0.1</v>
      </c>
      <c r="D8" s="10">
        <v>0.1</v>
      </c>
      <c r="E8" s="10">
        <v>0.1</v>
      </c>
      <c r="F8" s="11">
        <f>C8+D8+E8</f>
        <v>0.30000000000000004</v>
      </c>
      <c r="G8" s="34"/>
      <c r="H8" s="9"/>
      <c r="I8" s="9"/>
      <c r="J8" s="35"/>
      <c r="K8" s="25"/>
      <c r="L8" s="9"/>
      <c r="M8" s="9"/>
      <c r="N8" s="9"/>
    </row>
    <row r="9" spans="1:14" x14ac:dyDescent="0.3">
      <c r="A9" s="1036"/>
      <c r="B9" s="9">
        <v>7</v>
      </c>
      <c r="C9" s="9"/>
      <c r="D9" s="9"/>
      <c r="E9" s="9"/>
      <c r="F9" s="19"/>
      <c r="G9" s="36"/>
      <c r="H9" s="9"/>
      <c r="I9" s="9"/>
      <c r="J9" s="35"/>
      <c r="K9" s="25"/>
      <c r="L9" s="9"/>
      <c r="M9" s="9"/>
      <c r="N9" s="9"/>
    </row>
    <row r="10" spans="1:14" x14ac:dyDescent="0.3">
      <c r="A10" s="1036"/>
      <c r="B10" s="9">
        <v>8</v>
      </c>
      <c r="C10" s="9"/>
      <c r="D10" s="9"/>
      <c r="E10" s="9"/>
      <c r="F10" s="19"/>
      <c r="G10" s="36"/>
      <c r="H10" s="9"/>
      <c r="I10" s="9"/>
      <c r="J10" s="35"/>
      <c r="K10" s="25"/>
      <c r="L10" s="9"/>
      <c r="M10" s="9"/>
      <c r="N10" s="9"/>
    </row>
    <row r="11" spans="1:14" x14ac:dyDescent="0.3">
      <c r="A11" s="1036"/>
      <c r="B11" s="9">
        <v>9</v>
      </c>
      <c r="C11" s="9"/>
      <c r="D11" s="9"/>
      <c r="E11" s="9"/>
      <c r="F11" s="19"/>
      <c r="G11" s="36"/>
      <c r="H11" s="9"/>
      <c r="I11" s="9"/>
      <c r="J11" s="35"/>
      <c r="K11" s="25"/>
      <c r="L11" s="9"/>
      <c r="M11" s="9"/>
      <c r="N11" s="9"/>
    </row>
    <row r="12" spans="1:14" x14ac:dyDescent="0.3">
      <c r="A12" s="1036" t="s">
        <v>524</v>
      </c>
      <c r="B12" s="14">
        <v>10</v>
      </c>
      <c r="C12" s="14"/>
      <c r="D12" s="14"/>
      <c r="E12" s="14"/>
      <c r="F12" s="20"/>
      <c r="G12" s="37"/>
      <c r="H12" s="14"/>
      <c r="I12" s="14"/>
      <c r="J12" s="38"/>
      <c r="K12" s="26"/>
      <c r="L12" s="14"/>
      <c r="M12" s="14"/>
      <c r="N12" s="14"/>
    </row>
    <row r="13" spans="1:14" x14ac:dyDescent="0.3">
      <c r="A13" s="1036"/>
      <c r="B13" s="14">
        <v>11</v>
      </c>
      <c r="C13" s="14"/>
      <c r="D13" s="14"/>
      <c r="E13" s="14"/>
      <c r="F13" s="20"/>
      <c r="G13" s="37"/>
      <c r="H13" s="14"/>
      <c r="I13" s="14"/>
      <c r="J13" s="38"/>
      <c r="K13" s="26"/>
      <c r="L13" s="14"/>
      <c r="M13" s="14"/>
      <c r="N13" s="14"/>
    </row>
    <row r="14" spans="1:14" x14ac:dyDescent="0.3">
      <c r="A14" s="1036"/>
      <c r="B14" s="14">
        <v>12</v>
      </c>
      <c r="C14" s="14"/>
      <c r="D14" s="14"/>
      <c r="E14" s="14"/>
      <c r="F14" s="20"/>
      <c r="G14" s="37"/>
      <c r="H14" s="14"/>
      <c r="I14" s="14"/>
      <c r="J14" s="38"/>
      <c r="K14" s="26"/>
      <c r="L14" s="14"/>
      <c r="M14" s="14"/>
      <c r="N14" s="14"/>
    </row>
    <row r="15" spans="1:14" x14ac:dyDescent="0.3">
      <c r="A15" s="1036"/>
      <c r="B15" s="14">
        <v>13</v>
      </c>
      <c r="C15" s="14"/>
      <c r="D15" s="14"/>
      <c r="E15" s="14"/>
      <c r="F15" s="20"/>
      <c r="G15" s="37"/>
      <c r="H15" s="14"/>
      <c r="I15" s="14"/>
      <c r="J15" s="38"/>
      <c r="K15" s="26"/>
      <c r="L15" s="14"/>
      <c r="M15" s="14"/>
      <c r="N15" s="14"/>
    </row>
    <row r="16" spans="1:14" x14ac:dyDescent="0.3">
      <c r="A16" s="1036" t="s">
        <v>525</v>
      </c>
      <c r="B16" s="15">
        <v>14</v>
      </c>
      <c r="C16" s="15"/>
      <c r="D16" s="15"/>
      <c r="E16" s="15"/>
      <c r="F16" s="21"/>
      <c r="G16" s="39"/>
      <c r="H16" s="15"/>
      <c r="I16" s="15"/>
      <c r="J16" s="40"/>
      <c r="K16" s="27"/>
      <c r="L16" s="15"/>
      <c r="M16" s="15"/>
      <c r="N16" s="15"/>
    </row>
    <row r="17" spans="1:14" x14ac:dyDescent="0.3">
      <c r="A17" s="1036"/>
      <c r="B17" s="15">
        <v>15</v>
      </c>
      <c r="C17" s="15"/>
      <c r="D17" s="15"/>
      <c r="E17" s="15"/>
      <c r="F17" s="21"/>
      <c r="G17" s="39"/>
      <c r="H17" s="15"/>
      <c r="I17" s="15"/>
      <c r="J17" s="40"/>
      <c r="K17" s="27"/>
      <c r="L17" s="15"/>
      <c r="M17" s="15"/>
      <c r="N17" s="15"/>
    </row>
    <row r="18" spans="1:14" x14ac:dyDescent="0.3">
      <c r="A18" s="1036"/>
      <c r="B18" s="15">
        <v>16</v>
      </c>
      <c r="C18" s="15"/>
      <c r="D18" s="15"/>
      <c r="E18" s="15"/>
      <c r="F18" s="21"/>
      <c r="G18" s="39"/>
      <c r="H18" s="15"/>
      <c r="I18" s="15"/>
      <c r="J18" s="40"/>
      <c r="K18" s="27"/>
      <c r="L18" s="15"/>
      <c r="M18" s="15"/>
      <c r="N18" s="15"/>
    </row>
    <row r="19" spans="1:14" x14ac:dyDescent="0.3">
      <c r="A19" s="1036" t="s">
        <v>526</v>
      </c>
      <c r="B19" s="18">
        <v>17</v>
      </c>
      <c r="C19" s="18"/>
      <c r="D19" s="18"/>
      <c r="E19" s="18"/>
      <c r="F19" s="22"/>
      <c r="G19" s="41"/>
      <c r="H19" s="18"/>
      <c r="I19" s="18"/>
      <c r="J19" s="42"/>
      <c r="K19" s="28"/>
      <c r="L19" s="18"/>
      <c r="M19" s="18"/>
      <c r="N19" s="18"/>
    </row>
    <row r="20" spans="1:14" x14ac:dyDescent="0.3">
      <c r="A20" s="1036"/>
      <c r="B20" s="18">
        <v>18</v>
      </c>
      <c r="C20" s="18"/>
      <c r="D20" s="18"/>
      <c r="E20" s="18"/>
      <c r="F20" s="22"/>
      <c r="G20" s="41"/>
      <c r="H20" s="18"/>
      <c r="I20" s="18"/>
      <c r="J20" s="42"/>
      <c r="K20" s="28"/>
      <c r="L20" s="18"/>
      <c r="M20" s="18"/>
      <c r="N20" s="18"/>
    </row>
    <row r="21" spans="1:14" x14ac:dyDescent="0.3">
      <c r="A21" s="1036"/>
      <c r="B21" s="18">
        <v>19</v>
      </c>
      <c r="C21" s="18"/>
      <c r="D21" s="18"/>
      <c r="E21" s="18"/>
      <c r="F21" s="22"/>
      <c r="G21" s="41"/>
      <c r="H21" s="18"/>
      <c r="I21" s="18"/>
      <c r="J21" s="42"/>
      <c r="K21" s="28"/>
      <c r="L21" s="18"/>
      <c r="M21" s="18"/>
      <c r="N21" s="18"/>
    </row>
    <row r="22" spans="1:14" x14ac:dyDescent="0.3">
      <c r="A22" s="1036"/>
      <c r="B22" s="18">
        <v>20</v>
      </c>
      <c r="C22" s="18"/>
      <c r="D22" s="18"/>
      <c r="E22" s="18"/>
      <c r="F22" s="22"/>
      <c r="G22" s="41"/>
      <c r="H22" s="18"/>
      <c r="I22" s="18"/>
      <c r="J22" s="42"/>
      <c r="K22" s="28"/>
      <c r="L22" s="18"/>
      <c r="M22" s="18"/>
      <c r="N22" s="18"/>
    </row>
    <row r="23" spans="1:14" x14ac:dyDescent="0.3">
      <c r="A23" s="1036" t="s">
        <v>527</v>
      </c>
      <c r="B23" s="13">
        <v>21</v>
      </c>
      <c r="C23" s="13"/>
      <c r="D23" s="13"/>
      <c r="E23" s="13"/>
      <c r="F23" s="23"/>
      <c r="G23" s="43"/>
      <c r="H23" s="13"/>
      <c r="I23" s="13"/>
      <c r="J23" s="44"/>
      <c r="K23" s="29"/>
      <c r="L23" s="13"/>
      <c r="M23" s="13"/>
      <c r="N23" s="13"/>
    </row>
    <row r="24" spans="1:14" x14ac:dyDescent="0.3">
      <c r="A24" s="1036"/>
      <c r="B24" s="13">
        <v>22</v>
      </c>
      <c r="C24" s="13"/>
      <c r="D24" s="13"/>
      <c r="E24" s="13"/>
      <c r="F24" s="23"/>
      <c r="G24" s="43"/>
      <c r="H24" s="13"/>
      <c r="I24" s="13"/>
      <c r="J24" s="44"/>
      <c r="K24" s="29"/>
      <c r="L24" s="13"/>
      <c r="M24" s="13"/>
      <c r="N24" s="13"/>
    </row>
    <row r="25" spans="1:14" x14ac:dyDescent="0.3">
      <c r="A25" s="1036"/>
      <c r="B25" s="13">
        <v>23</v>
      </c>
      <c r="C25" s="13"/>
      <c r="D25" s="13"/>
      <c r="E25" s="13"/>
      <c r="F25" s="23"/>
      <c r="G25" s="43"/>
      <c r="H25" s="13"/>
      <c r="I25" s="13"/>
      <c r="J25" s="44"/>
      <c r="K25" s="29"/>
      <c r="L25" s="13"/>
      <c r="M25" s="13"/>
      <c r="N25" s="13"/>
    </row>
    <row r="26" spans="1:14" x14ac:dyDescent="0.3">
      <c r="A26" s="1036"/>
      <c r="B26" s="13">
        <v>24</v>
      </c>
      <c r="C26" s="13"/>
      <c r="D26" s="13"/>
      <c r="E26" s="13"/>
      <c r="F26" s="23"/>
      <c r="G26" s="43"/>
      <c r="H26" s="13"/>
      <c r="I26" s="13"/>
      <c r="J26" s="44"/>
      <c r="K26" s="29"/>
      <c r="L26" s="13"/>
      <c r="M26" s="13"/>
      <c r="N26" s="13"/>
    </row>
    <row r="27" spans="1:14" x14ac:dyDescent="0.3">
      <c r="A27" s="1036" t="s">
        <v>528</v>
      </c>
      <c r="B27" s="9">
        <v>25</v>
      </c>
      <c r="C27" s="9"/>
      <c r="D27" s="9"/>
      <c r="E27" s="9"/>
      <c r="F27" s="9"/>
      <c r="G27" s="9"/>
      <c r="H27" s="9"/>
      <c r="I27" s="9"/>
      <c r="J27" s="9"/>
      <c r="K27" s="9"/>
      <c r="L27" s="9"/>
      <c r="M27" s="9"/>
      <c r="N27" s="9"/>
    </row>
    <row r="28" spans="1:14" x14ac:dyDescent="0.3">
      <c r="A28" s="1036"/>
      <c r="B28" s="9">
        <v>26</v>
      </c>
      <c r="C28" s="9"/>
      <c r="D28" s="9"/>
      <c r="E28" s="9"/>
      <c r="F28" s="9"/>
      <c r="G28" s="9"/>
      <c r="H28" s="9"/>
      <c r="I28" s="9"/>
      <c r="J28" s="9"/>
      <c r="K28" s="9"/>
      <c r="L28" s="9"/>
      <c r="M28" s="9"/>
      <c r="N28" s="9"/>
    </row>
    <row r="29" spans="1:14" x14ac:dyDescent="0.3">
      <c r="A29" s="1036"/>
      <c r="B29" s="9">
        <v>27</v>
      </c>
      <c r="C29" s="9"/>
      <c r="D29" s="9"/>
      <c r="E29" s="9"/>
      <c r="F29" s="9"/>
      <c r="G29" s="9"/>
      <c r="H29" s="9"/>
      <c r="I29" s="9"/>
      <c r="J29" s="9"/>
      <c r="K29" s="9"/>
      <c r="L29" s="9"/>
      <c r="M29" s="9"/>
      <c r="N29" s="9"/>
    </row>
    <row r="30" spans="1:14" x14ac:dyDescent="0.3">
      <c r="A30" s="1036"/>
      <c r="B30" s="9">
        <v>28</v>
      </c>
      <c r="C30" s="9"/>
      <c r="D30" s="9"/>
      <c r="E30" s="9"/>
      <c r="F30" s="9"/>
      <c r="G30" s="9"/>
      <c r="H30" s="9"/>
      <c r="I30" s="9"/>
      <c r="J30" s="9"/>
      <c r="K30" s="9"/>
      <c r="L30" s="9"/>
      <c r="M30" s="9"/>
      <c r="N30" s="9"/>
    </row>
    <row r="31" spans="1:14" x14ac:dyDescent="0.3">
      <c r="A31" s="1036"/>
      <c r="B31" s="9">
        <v>29</v>
      </c>
      <c r="C31" s="9"/>
      <c r="D31" s="9"/>
      <c r="E31" s="9"/>
      <c r="F31" s="9"/>
      <c r="G31" s="9"/>
      <c r="H31" s="9"/>
      <c r="I31" s="9"/>
      <c r="J31" s="9"/>
      <c r="K31" s="9"/>
      <c r="L31" s="9"/>
      <c r="M31" s="9"/>
      <c r="N31" s="9"/>
    </row>
    <row r="32" spans="1:14" x14ac:dyDescent="0.3">
      <c r="A32" s="1036" t="s">
        <v>529</v>
      </c>
      <c r="B32" s="16">
        <v>30</v>
      </c>
      <c r="C32" s="16"/>
      <c r="D32" s="16"/>
      <c r="E32" s="16"/>
      <c r="F32" s="16"/>
      <c r="G32" s="16"/>
      <c r="H32" s="16"/>
      <c r="I32" s="16"/>
      <c r="J32" s="16"/>
      <c r="K32" s="16"/>
      <c r="L32" s="16"/>
      <c r="M32" s="16"/>
      <c r="N32" s="16"/>
    </row>
    <row r="33" spans="1:14" x14ac:dyDescent="0.3">
      <c r="A33" s="1036"/>
      <c r="B33" s="16">
        <v>31</v>
      </c>
      <c r="C33" s="16"/>
      <c r="D33" s="16"/>
      <c r="E33" s="16"/>
      <c r="F33" s="16"/>
      <c r="G33" s="16"/>
      <c r="H33" s="16"/>
      <c r="I33" s="16"/>
      <c r="J33" s="16"/>
      <c r="K33" s="16"/>
      <c r="L33" s="16"/>
      <c r="M33" s="16"/>
      <c r="N33" s="16"/>
    </row>
    <row r="34" spans="1:14" x14ac:dyDescent="0.3">
      <c r="A34" s="1036"/>
      <c r="B34" s="16">
        <v>32</v>
      </c>
      <c r="C34" s="16"/>
      <c r="D34" s="16"/>
      <c r="E34" s="16"/>
      <c r="F34" s="16"/>
      <c r="G34" s="16"/>
      <c r="H34" s="16"/>
      <c r="I34" s="16"/>
      <c r="J34" s="16"/>
      <c r="K34" s="16"/>
      <c r="L34" s="16"/>
      <c r="M34" s="16"/>
      <c r="N34" s="16"/>
    </row>
    <row r="35" spans="1:14" x14ac:dyDescent="0.3">
      <c r="A35" s="1036" t="s">
        <v>530</v>
      </c>
      <c r="B35" s="17">
        <v>33</v>
      </c>
      <c r="C35" s="14"/>
      <c r="D35" s="14"/>
      <c r="E35" s="14"/>
      <c r="F35" s="14"/>
      <c r="G35" s="14"/>
      <c r="H35" s="14"/>
      <c r="I35" s="14"/>
      <c r="J35" s="14"/>
      <c r="K35" s="14"/>
      <c r="L35" s="14"/>
      <c r="M35" s="14"/>
      <c r="N35" s="14"/>
    </row>
    <row r="36" spans="1:14" x14ac:dyDescent="0.3">
      <c r="A36" s="1036"/>
      <c r="B36" s="14">
        <v>34</v>
      </c>
      <c r="C36" s="14"/>
      <c r="D36" s="14"/>
      <c r="E36" s="14"/>
      <c r="F36" s="14"/>
      <c r="G36" s="14"/>
      <c r="H36" s="14"/>
      <c r="I36" s="14"/>
      <c r="J36" s="14"/>
      <c r="K36" s="14"/>
      <c r="L36" s="14"/>
      <c r="M36" s="14"/>
      <c r="N36" s="14"/>
    </row>
    <row r="37" spans="1:14" x14ac:dyDescent="0.3">
      <c r="A37" s="1036"/>
      <c r="B37" s="45">
        <v>35</v>
      </c>
      <c r="C37" s="14"/>
      <c r="D37" s="14"/>
      <c r="E37" s="14"/>
      <c r="F37" s="14"/>
      <c r="G37" s="14"/>
      <c r="H37" s="14"/>
      <c r="I37" s="14"/>
      <c r="J37" s="14"/>
      <c r="K37" s="14"/>
      <c r="L37" s="14"/>
      <c r="M37" s="14"/>
      <c r="N37" s="14"/>
    </row>
    <row r="38" spans="1:14" x14ac:dyDescent="0.3">
      <c r="A38" s="1036" t="s">
        <v>531</v>
      </c>
      <c r="B38" s="8">
        <v>36</v>
      </c>
      <c r="C38" s="8"/>
      <c r="D38" s="8"/>
      <c r="E38" s="8"/>
      <c r="F38" s="8"/>
      <c r="G38" s="8"/>
      <c r="H38" s="8"/>
      <c r="I38" s="8"/>
      <c r="J38" s="8"/>
      <c r="K38" s="8"/>
      <c r="L38" s="8"/>
      <c r="M38" s="8"/>
      <c r="N38" s="8"/>
    </row>
    <row r="39" spans="1:14" x14ac:dyDescent="0.3">
      <c r="A39" s="1036"/>
      <c r="B39" s="8">
        <v>37</v>
      </c>
      <c r="C39" s="8"/>
      <c r="D39" s="8"/>
      <c r="E39" s="8"/>
      <c r="F39" s="8"/>
      <c r="G39" s="8"/>
      <c r="H39" s="8"/>
      <c r="I39" s="8"/>
      <c r="J39" s="8"/>
      <c r="K39" s="8"/>
      <c r="L39" s="8"/>
      <c r="M39" s="8"/>
      <c r="N39" s="8"/>
    </row>
    <row r="40" spans="1:14" x14ac:dyDescent="0.3">
      <c r="A40" s="1036"/>
      <c r="B40" s="8">
        <v>38</v>
      </c>
      <c r="C40" s="8"/>
      <c r="D40" s="8"/>
      <c r="E40" s="8"/>
      <c r="F40" s="8"/>
      <c r="G40" s="8"/>
      <c r="H40" s="8"/>
      <c r="I40" s="8"/>
      <c r="J40" s="8"/>
      <c r="K40" s="8"/>
      <c r="L40" s="8"/>
      <c r="M40" s="8"/>
      <c r="N40" s="8"/>
    </row>
    <row r="41" spans="1:14" x14ac:dyDescent="0.3">
      <c r="A41" s="1042" t="s">
        <v>532</v>
      </c>
      <c r="B41" s="46">
        <v>39</v>
      </c>
      <c r="C41" s="47"/>
      <c r="D41" s="47"/>
      <c r="E41" s="47"/>
      <c r="F41" s="47"/>
      <c r="G41" s="47"/>
      <c r="H41" s="47"/>
      <c r="I41" s="47"/>
      <c r="J41" s="47"/>
      <c r="K41" s="47"/>
      <c r="L41" s="47"/>
      <c r="M41" s="47"/>
      <c r="N41" s="47"/>
    </row>
    <row r="42" spans="1:14" x14ac:dyDescent="0.3">
      <c r="A42" s="1042"/>
      <c r="B42" s="47">
        <v>40</v>
      </c>
      <c r="C42" s="47"/>
      <c r="D42" s="47"/>
      <c r="E42" s="47"/>
      <c r="F42" s="47"/>
      <c r="G42" s="47"/>
      <c r="H42" s="47"/>
      <c r="I42" s="47"/>
      <c r="J42" s="47"/>
      <c r="K42" s="47"/>
      <c r="L42" s="47"/>
      <c r="M42" s="47"/>
      <c r="N42" s="47"/>
    </row>
    <row r="43" spans="1:14" x14ac:dyDescent="0.3">
      <c r="A43" s="1042"/>
      <c r="B43" s="47">
        <v>41</v>
      </c>
      <c r="C43" s="47"/>
      <c r="D43" s="47"/>
      <c r="E43" s="47"/>
      <c r="F43" s="47"/>
      <c r="G43" s="47"/>
      <c r="H43" s="47"/>
      <c r="I43" s="47"/>
      <c r="J43" s="47"/>
      <c r="K43" s="47"/>
      <c r="L43" s="47"/>
      <c r="M43" s="47"/>
      <c r="N43" s="47"/>
    </row>
    <row r="44" spans="1:14" x14ac:dyDescent="0.3">
      <c r="A44" s="1042"/>
      <c r="B44" s="48">
        <v>42</v>
      </c>
      <c r="C44" s="47"/>
      <c r="D44" s="47"/>
      <c r="E44" s="47"/>
      <c r="F44" s="47"/>
      <c r="G44" s="47"/>
      <c r="H44" s="47"/>
      <c r="I44" s="47"/>
      <c r="J44" s="47"/>
      <c r="K44" s="47"/>
      <c r="L44" s="47"/>
      <c r="M44" s="47"/>
      <c r="N44" s="47"/>
    </row>
    <row r="45" spans="1:14" x14ac:dyDescent="0.3">
      <c r="A45" s="1035" t="s">
        <v>533</v>
      </c>
      <c r="B45" s="12">
        <v>43</v>
      </c>
      <c r="C45" s="12"/>
      <c r="D45" s="12"/>
      <c r="E45" s="12"/>
      <c r="F45" s="12"/>
      <c r="G45" s="12"/>
      <c r="H45" s="12"/>
      <c r="I45" s="12"/>
      <c r="J45" s="12"/>
      <c r="K45" s="12"/>
      <c r="L45" s="12"/>
      <c r="M45" s="12"/>
      <c r="N45" s="12"/>
    </row>
    <row r="46" spans="1:14" x14ac:dyDescent="0.3">
      <c r="A46" s="1035"/>
      <c r="B46" s="12">
        <v>44</v>
      </c>
      <c r="C46" s="12"/>
      <c r="D46" s="12"/>
      <c r="E46" s="12"/>
      <c r="F46" s="12"/>
      <c r="G46" s="12"/>
      <c r="H46" s="12"/>
      <c r="I46" s="12"/>
      <c r="J46" s="12"/>
      <c r="K46" s="12"/>
      <c r="L46" s="12"/>
      <c r="M46" s="12"/>
      <c r="N46" s="12"/>
    </row>
  </sheetData>
  <mergeCells count="15">
    <mergeCell ref="A45:A46"/>
    <mergeCell ref="A23:A26"/>
    <mergeCell ref="K1:N1"/>
    <mergeCell ref="A3:A7"/>
    <mergeCell ref="A8:A11"/>
    <mergeCell ref="A12:A15"/>
    <mergeCell ref="A16:A18"/>
    <mergeCell ref="A19:A22"/>
    <mergeCell ref="C1:F1"/>
    <mergeCell ref="G1:J1"/>
    <mergeCell ref="A27:A31"/>
    <mergeCell ref="A32:A34"/>
    <mergeCell ref="A35:A37"/>
    <mergeCell ref="A38:A40"/>
    <mergeCell ref="A41:A44"/>
  </mergeCells>
  <pageMargins left="0.75" right="0.75" top="1" bottom="1"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ED341F55659C9A4985F05E4B957308E7" ma:contentTypeVersion="17" ma:contentTypeDescription="Crear nuevo documento." ma:contentTypeScope="" ma:versionID="d956573d87abb794c4a9810d20ba9997">
  <xsd:schema xmlns:xsd="http://www.w3.org/2001/XMLSchema" xmlns:xs="http://www.w3.org/2001/XMLSchema" xmlns:p="http://schemas.microsoft.com/office/2006/metadata/properties" xmlns:ns2="bfb5676e-0d71-42df-8fc5-13002709b90b" xmlns:ns3="f5e60779-6af5-4dde-a1c8-ebb5582c629e" targetNamespace="http://schemas.microsoft.com/office/2006/metadata/properties" ma:root="true" ma:fieldsID="17bacb17f57d4cda79cc9468e4177047" ns2:_="" ns3:_="">
    <xsd:import namespace="bfb5676e-0d71-42df-8fc5-13002709b90b"/>
    <xsd:import namespace="f5e60779-6af5-4dde-a1c8-ebb5582c629e"/>
    <xsd:element name="properties">
      <xsd:complexType>
        <xsd:sequence>
          <xsd:element name="documentManagement">
            <xsd:complexType>
              <xsd:all>
                <xsd:element ref="ns2:MediaServiceMetadata" minOccurs="0"/>
                <xsd:element ref="ns2:MediaServiceFastMetadata"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DateTaken" minOccurs="0"/>
                <xsd:element ref="ns2:MediaLengthInSeconds" minOccurs="0"/>
                <xsd:element ref="ns2:MediaServiceAutoKeyPoints" minOccurs="0"/>
                <xsd:element ref="ns2:MediaServiceKeyPoints" minOccurs="0"/>
                <xsd:element ref="ns2:MediaServiceLocation" minOccurs="0"/>
                <xsd:element ref="ns2:lcf76f155ced4ddcb4097134ff3c332f" minOccurs="0"/>
                <xsd:element ref="ns3:TaxCatchAll"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fb5676e-0d71-42df-8fc5-13002709b90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CR" ma:index="10" nillable="true" ma:displayName="Extracted Text" ma:internalName="MediaServiceOCR" ma:readOnly="true">
      <xsd:simpleType>
        <xsd:restriction base="dms:Note">
          <xsd:maxLength value="255"/>
        </xsd:restriction>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DateTaken" ma:index="15" nillable="true" ma:displayName="MediaServiceDateTaken" ma:hidden="true" ma:internalName="MediaServiceDateTaken" ma:readOnly="true">
      <xsd:simpleType>
        <xsd:restriction base="dms:Text"/>
      </xsd:simpleType>
    </xsd:element>
    <xsd:element name="MediaLengthInSeconds" ma:index="16" nillable="true" ma:displayName="Length (seconds)" ma:internalName="MediaLengthInSeconds" ma:readOnly="true">
      <xsd:simpleType>
        <xsd:restriction base="dms:Unknown"/>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element name="MediaServiceLocation" ma:index="19" nillable="true" ma:displayName="Location" ma:internalName="MediaServiceLocation" ma:readOnly="true">
      <xsd:simpleType>
        <xsd:restriction base="dms:Text"/>
      </xsd:simpleType>
    </xsd:element>
    <xsd:element name="lcf76f155ced4ddcb4097134ff3c332f" ma:index="21" nillable="true" ma:taxonomy="true" ma:internalName="lcf76f155ced4ddcb4097134ff3c332f" ma:taxonomyFieldName="MediaServiceImageTags" ma:displayName="Etiquetas de imagen" ma:readOnly="false" ma:fieldId="{5cf76f15-5ced-4ddc-b409-7134ff3c332f}" ma:taxonomyMulti="true" ma:sspId="0502971d-3a7e-42d3-b9b5-ba916876657b" ma:termSetId="09814cd3-568e-fe90-9814-8d621ff8fb84" ma:anchorId="fba54fb3-c3e1-fe81-a776-ca4b69148c4d" ma:open="true" ma:isKeyword="false">
      <xsd:complexType>
        <xsd:sequence>
          <xsd:element ref="pc:Terms" minOccurs="0" maxOccurs="1"/>
        </xsd:sequence>
      </xsd:complexType>
    </xsd:element>
    <xsd:element name="MediaServiceSearchProperties" ma:index="23"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f5e60779-6af5-4dde-a1c8-ebb5582c629e" elementFormDefault="qualified">
    <xsd:import namespace="http://schemas.microsoft.com/office/2006/documentManagement/types"/>
    <xsd:import namespace="http://schemas.microsoft.com/office/infopath/2007/PartnerControls"/>
    <xsd:element name="SharedWithUsers" ma:index="13"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Detalles de uso compartido" ma:internalName="SharedWithDetails" ma:readOnly="true">
      <xsd:simpleType>
        <xsd:restriction base="dms:Note">
          <xsd:maxLength value="255"/>
        </xsd:restriction>
      </xsd:simpleType>
    </xsd:element>
    <xsd:element name="TaxCatchAll" ma:index="22" nillable="true" ma:displayName="Taxonomy Catch All Column" ma:hidden="true" ma:list="{6691ca9c-6b0b-4471-b295-8a95b19cc813}" ma:internalName="TaxCatchAll" ma:showField="CatchAllData" ma:web="f5e60779-6af5-4dde-a1c8-ebb5582c629e">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f5e60779-6af5-4dde-a1c8-ebb5582c629e"/>
    <lcf76f155ced4ddcb4097134ff3c332f xmlns="bfb5676e-0d71-42df-8fc5-13002709b90b">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LongProperties xmlns="http://schemas.microsoft.com/office/2006/metadata/longProperties"/>
</file>

<file path=customXml/itemProps1.xml><?xml version="1.0" encoding="utf-8"?>
<ds:datastoreItem xmlns:ds="http://schemas.openxmlformats.org/officeDocument/2006/customXml" ds:itemID="{9A4CBA6F-A444-4A82-AE3A-A04E0D5BE06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fb5676e-0d71-42df-8fc5-13002709b90b"/>
    <ds:schemaRef ds:uri="f5e60779-6af5-4dde-a1c8-ebb5582c629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34D3E026-6D0D-4CA9-833C-368A121BFBA5}">
  <ds:schemaRefs>
    <ds:schemaRef ds:uri="http://schemas.microsoft.com/office/2006/metadata/properties"/>
    <ds:schemaRef ds:uri="http://schemas.microsoft.com/office/infopath/2007/PartnerControls"/>
    <ds:schemaRef ds:uri="f5e60779-6af5-4dde-a1c8-ebb5582c629e"/>
    <ds:schemaRef ds:uri="bfb5676e-0d71-42df-8fc5-13002709b90b"/>
  </ds:schemaRefs>
</ds:datastoreItem>
</file>

<file path=customXml/itemProps3.xml><?xml version="1.0" encoding="utf-8"?>
<ds:datastoreItem xmlns:ds="http://schemas.openxmlformats.org/officeDocument/2006/customXml" ds:itemID="{457CF1CE-E31F-4D62-A75E-8C23752B7434}">
  <ds:schemaRefs>
    <ds:schemaRef ds:uri="http://schemas.microsoft.com/sharepoint/v3/contenttype/forms"/>
  </ds:schemaRefs>
</ds:datastoreItem>
</file>

<file path=customXml/itemProps4.xml><?xml version="1.0" encoding="utf-8"?>
<ds:datastoreItem xmlns:ds="http://schemas.openxmlformats.org/officeDocument/2006/customXml" ds:itemID="{E2F9BD70-D413-42D1-872F-D93B872DA59F}">
  <ds:schemaRefs>
    <ds:schemaRef ds:uri="http://schemas.microsoft.com/office/2006/metadata/long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Meta 1</vt:lpstr>
      <vt:lpstr>Meta 1..n</vt:lpstr>
      <vt:lpstr>Meta 2</vt:lpstr>
      <vt:lpstr>Meta 3</vt:lpstr>
      <vt:lpstr>Meta 4</vt:lpstr>
      <vt:lpstr>Meta 5</vt:lpstr>
      <vt:lpstr>Meta 6</vt:lpstr>
      <vt:lpstr>Meta 7</vt:lpstr>
      <vt:lpstr>Indicadores PA</vt:lpstr>
      <vt:lpstr>Territorialización PA</vt:lpstr>
      <vt:lpstr>Instructivo</vt:lpstr>
      <vt:lpstr>Generalidades</vt:lpstr>
      <vt:lpstr>Hoja13</vt:lpstr>
      <vt:lpstr>Hoja1</vt:lpstr>
      <vt:lpstr>'Indicadores PA'!Área_de_impresión</vt:lpstr>
      <vt:lpstr>'Meta 1'!Área_de_impresión</vt:lpstr>
      <vt:lpstr>'Meta 2'!Área_de_impresión</vt:lpstr>
      <vt:lpstr>'Meta 3'!Área_de_impresión</vt:lpstr>
      <vt:lpstr>'Meta 4'!Área_de_impresión</vt:lpstr>
      <vt:lpstr>'Meta 5'!Área_de_impresión</vt:lpstr>
      <vt:lpstr>'Meta 6'!Área_de_impresión</vt:lpstr>
      <vt:lpstr>'Meta 7'!Área_de_impresión</vt:lpstr>
      <vt:lpstr>'Territorialización PA'!Área_de_impresión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fhinestroza</dc:creator>
  <cp:keywords/>
  <dc:description/>
  <cp:lastModifiedBy>Lida Cubillos</cp:lastModifiedBy>
  <cp:revision/>
  <cp:lastPrinted>2023-10-11T20:58:59Z</cp:lastPrinted>
  <dcterms:created xsi:type="dcterms:W3CDTF">2011-04-26T22:16:52Z</dcterms:created>
  <dcterms:modified xsi:type="dcterms:W3CDTF">2023-11-16T18:09:51Z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0x010100D22D89587B88F645886B528F3349C219</vt:lpwstr>
  </property>
  <property fmtid="{D5CDD505-2E9C-101B-9397-08002B2CF9AE}" pid="3" name="display_urn:schemas-microsoft-com:office:office#Editor">
    <vt:lpwstr>Angela Marcela Forero Ruiz</vt:lpwstr>
  </property>
  <property fmtid="{D5CDD505-2E9C-101B-9397-08002B2CF9AE}" pid="4" name="Order">
    <vt:lpwstr>3677200.00000000</vt:lpwstr>
  </property>
  <property fmtid="{D5CDD505-2E9C-101B-9397-08002B2CF9AE}" pid="5" name="SharedWithUsers">
    <vt:lpwstr/>
  </property>
  <property fmtid="{D5CDD505-2E9C-101B-9397-08002B2CF9AE}" pid="6" name="_ExtendedDescription">
    <vt:lpwstr/>
  </property>
  <property fmtid="{D5CDD505-2E9C-101B-9397-08002B2CF9AE}" pid="7" name="display_urn:schemas-microsoft-com:office:office#Author">
    <vt:lpwstr>Angela Marcela Forero Ruiz</vt:lpwstr>
  </property>
  <property fmtid="{D5CDD505-2E9C-101B-9397-08002B2CF9AE}" pid="8" name="ComplianceAssetId">
    <vt:lpwstr/>
  </property>
  <property fmtid="{D5CDD505-2E9C-101B-9397-08002B2CF9AE}" pid="9" name="TriggerFlowInfo">
    <vt:lpwstr/>
  </property>
  <property fmtid="{D5CDD505-2E9C-101B-9397-08002B2CF9AE}" pid="10" name="MediaLengthInSeconds">
    <vt:lpwstr/>
  </property>
</Properties>
</file>