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ANGIE\OFICINA ASESORA PLANEACION SGC\ESQUEMA PUBLICACIÓN\PUBLICACIÓN PAGINA WEB\2023\Octubre 2023\Proyectos Plan de acciòn 2020\"/>
    </mc:Choice>
  </mc:AlternateContent>
  <bookViews>
    <workbookView xWindow="-120" yWindow="-120" windowWidth="20730" windowHeight="11160" tabRatio="914" firstSheet="1" activeTab="1"/>
  </bookViews>
  <sheets>
    <sheet name="VALIDACION" sheetId="60" state="hidden" r:id="rId1"/>
    <sheet name="Meta 1 " sheetId="52" r:id="rId2"/>
    <sheet name="Meta 2" sheetId="55" r:id="rId3"/>
    <sheet name="Meta 3" sheetId="43" r:id="rId4"/>
    <sheet name="Meta 4" sheetId="56" r:id="rId5"/>
    <sheet name="Meta 5" sheetId="53" r:id="rId6"/>
    <sheet name="Meta 6 " sheetId="54" r:id="rId7"/>
    <sheet name="Meta 7" sheetId="1" r:id="rId8"/>
    <sheet name="Seguimiento.PDD" sheetId="51" r:id="rId9"/>
    <sheet name="Ponderación" sheetId="57" r:id="rId10"/>
    <sheet name="Indic Gestión SPI" sheetId="59" r:id="rId11"/>
    <sheet name="Hoja2" sheetId="49" r:id="rId12"/>
    <sheet name="Ponderación " sheetId="39" r:id="rId13"/>
    <sheet name="Hoja13" sheetId="32" r:id="rId14"/>
    <sheet name="Hoja1" sheetId="20" r:id="rId15"/>
  </sheets>
  <externalReferences>
    <externalReference r:id="rId16"/>
    <externalReference r:id="rId17"/>
  </externalReferences>
  <definedNames>
    <definedName name="_xlnm.Print_Area" localSheetId="1">'Meta 1 '!$A$1:$AB$52</definedName>
    <definedName name="_xlnm.Print_Area" localSheetId="2">'Meta 2'!$A$1:$AB$43</definedName>
    <definedName name="_xlnm.Print_Area" localSheetId="3">'Meta 3'!$A$1:$AB$45</definedName>
    <definedName name="_xlnm.Print_Area" localSheetId="4">'Meta 4'!$A$1:$AB$45</definedName>
    <definedName name="_xlnm.Print_Area" localSheetId="5">'Meta 5'!$A$1:$AB$50</definedName>
    <definedName name="_xlnm.Print_Area" localSheetId="6">'Meta 6 '!$A$1:$AB$46</definedName>
    <definedName name="_xlnm.Print_Area" localSheetId="7">'Meta 7'!$A$1:$AB$46</definedName>
    <definedName name="PROGRAMAS">'[1]Sectores y Programas'!$C$4:$D$175</definedName>
    <definedName name="sectores">'[1]Sectores y Programas'!$H$5:$I$37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 i="60" l="1"/>
  <c r="Z18" i="43"/>
  <c r="F4" i="60" l="1"/>
  <c r="E15" i="60"/>
  <c r="E13" i="60"/>
  <c r="E11" i="60"/>
  <c r="E9" i="60"/>
  <c r="E7" i="60"/>
  <c r="E5" i="60"/>
  <c r="E3" i="60"/>
  <c r="H15" i="60"/>
  <c r="H13" i="60"/>
  <c r="H11" i="60"/>
  <c r="H9" i="60"/>
  <c r="I9" i="60" s="1"/>
  <c r="H7" i="60"/>
  <c r="H5" i="60"/>
  <c r="H3" i="60"/>
  <c r="H18" i="60" l="1"/>
  <c r="K15" i="60" l="1"/>
  <c r="J15" i="60"/>
  <c r="K13" i="60"/>
  <c r="J13" i="60"/>
  <c r="K11" i="60"/>
  <c r="J11" i="60"/>
  <c r="K9" i="60"/>
  <c r="J9" i="60"/>
  <c r="K7" i="60"/>
  <c r="J7" i="60"/>
  <c r="K5" i="60"/>
  <c r="J5" i="60"/>
  <c r="K3" i="60"/>
  <c r="J3" i="60"/>
  <c r="C18" i="60"/>
  <c r="F16" i="60"/>
  <c r="D16" i="60"/>
  <c r="F15" i="60"/>
  <c r="I15" i="60" s="1"/>
  <c r="D15" i="60"/>
  <c r="F14" i="60"/>
  <c r="D14" i="60"/>
  <c r="F13" i="60"/>
  <c r="I13" i="60" s="1"/>
  <c r="D13" i="60"/>
  <c r="G13" i="60" s="1"/>
  <c r="F12" i="60"/>
  <c r="D12" i="60"/>
  <c r="F11" i="60"/>
  <c r="I11" i="60" s="1"/>
  <c r="D11" i="60"/>
  <c r="F10" i="60"/>
  <c r="D10" i="60"/>
  <c r="F9" i="60"/>
  <c r="D9" i="60"/>
  <c r="F8" i="60"/>
  <c r="D8" i="60"/>
  <c r="I7" i="60"/>
  <c r="D7" i="60"/>
  <c r="F6" i="60"/>
  <c r="D6" i="60"/>
  <c r="F5" i="60"/>
  <c r="I5" i="60" s="1"/>
  <c r="D5" i="60"/>
  <c r="D4" i="60"/>
  <c r="F3" i="60"/>
  <c r="I3" i="60" s="1"/>
  <c r="D3" i="60"/>
  <c r="C73" i="59"/>
  <c r="C38" i="59"/>
  <c r="C23" i="59"/>
  <c r="I18" i="60" l="1"/>
  <c r="J18" i="60"/>
  <c r="G16" i="60"/>
  <c r="G8" i="60"/>
  <c r="G7" i="60"/>
  <c r="G15" i="60"/>
  <c r="G14" i="60"/>
  <c r="K18" i="60"/>
  <c r="G6" i="60"/>
  <c r="G10" i="60"/>
  <c r="G5" i="60"/>
  <c r="D18" i="60"/>
  <c r="G4" i="60"/>
  <c r="G12" i="60"/>
  <c r="G3" i="60"/>
  <c r="G11" i="60"/>
  <c r="G9" i="60"/>
  <c r="F18" i="60"/>
  <c r="B53" i="59"/>
  <c r="W18" i="1" l="1"/>
  <c r="W18" i="54"/>
  <c r="W18" i="53"/>
  <c r="W18" i="56"/>
  <c r="W18" i="43"/>
  <c r="W18" i="55"/>
  <c r="W18" i="52"/>
  <c r="G27" i="57" l="1"/>
  <c r="F27" i="57"/>
  <c r="E27" i="57"/>
  <c r="H17" i="57"/>
  <c r="G17" i="57"/>
  <c r="F17" i="57"/>
  <c r="E17" i="57"/>
  <c r="D17" i="57"/>
  <c r="I16" i="57"/>
  <c r="I14" i="57"/>
  <c r="I12" i="57"/>
  <c r="I10" i="57"/>
  <c r="I8" i="57"/>
  <c r="I6" i="57"/>
  <c r="I4" i="57"/>
  <c r="I34" i="57"/>
  <c r="I36" i="57"/>
  <c r="I38" i="57"/>
  <c r="I40" i="57"/>
  <c r="I17" i="57" l="1"/>
  <c r="Q45" i="53" l="1" a="1"/>
  <c r="Q45" i="53" s="1"/>
  <c r="Q43" i="53" a="1"/>
  <c r="Q43" i="53" s="1"/>
  <c r="Q42" i="53" a="1"/>
  <c r="Q42" i="53" s="1"/>
  <c r="B30" i="53"/>
  <c r="B52" i="59" l="1"/>
  <c r="AI65" i="57"/>
  <c r="AH65" i="57"/>
  <c r="P52" i="52" l="1"/>
  <c r="P51" i="52"/>
  <c r="P50" i="52"/>
  <c r="P49" i="52"/>
  <c r="P48" i="52"/>
  <c r="P47" i="52"/>
  <c r="P46" i="52"/>
  <c r="P45" i="52"/>
  <c r="P44" i="52"/>
  <c r="P43" i="52"/>
  <c r="P42" i="52"/>
  <c r="P41" i="52"/>
  <c r="P40" i="52"/>
  <c r="P39" i="52"/>
  <c r="P38" i="52"/>
  <c r="P37" i="52"/>
  <c r="P36" i="52"/>
  <c r="P35" i="52"/>
  <c r="B51" i="59" l="1"/>
  <c r="F57" i="57" l="1"/>
  <c r="E57" i="57"/>
  <c r="H47" i="57"/>
  <c r="G47" i="57"/>
  <c r="F47" i="57"/>
  <c r="E47" i="57"/>
  <c r="D47" i="57"/>
  <c r="I46" i="57"/>
  <c r="I44" i="57"/>
  <c r="I42" i="57"/>
  <c r="I47" i="57" l="1"/>
  <c r="AG65" i="57"/>
  <c r="B50" i="59" l="1"/>
  <c r="C60" i="59"/>
  <c r="C75" i="59" s="1"/>
  <c r="B49" i="59"/>
  <c r="B48" i="59"/>
  <c r="B47" i="59"/>
  <c r="B46" i="59"/>
  <c r="B45" i="59"/>
  <c r="B40" i="59"/>
  <c r="B41" i="59" s="1"/>
  <c r="D30" i="59"/>
  <c r="C3" i="59"/>
  <c r="C12" i="59" s="1"/>
  <c r="AD30" i="54"/>
  <c r="C11" i="59" l="1"/>
  <c r="C10" i="59"/>
  <c r="C8" i="59"/>
  <c r="C9" i="59"/>
  <c r="C6" i="59"/>
  <c r="C5" i="59"/>
  <c r="C7" i="59"/>
  <c r="C4" i="59"/>
  <c r="AF65" i="57" l="1"/>
  <c r="P30" i="55" l="1"/>
  <c r="B30" i="56" l="1"/>
  <c r="P34" i="56"/>
  <c r="P35" i="56"/>
  <c r="P36" i="56"/>
  <c r="AE65" i="57" l="1"/>
  <c r="AD65" i="57"/>
  <c r="AC65" i="57"/>
  <c r="P35" i="1" l="1"/>
  <c r="AG30" i="43" l="1"/>
  <c r="AF35" i="53" l="1"/>
  <c r="AI35" i="52"/>
  <c r="AI30" i="52"/>
  <c r="AA65" i="57" l="1"/>
  <c r="AJ65" i="57" s="1"/>
  <c r="T52" i="55" l="1"/>
  <c r="AF45" i="53" l="1"/>
  <c r="AG30" i="1"/>
  <c r="AG30" i="54"/>
  <c r="AF30" i="56"/>
  <c r="AG35" i="43"/>
  <c r="AG30" i="53" l="1"/>
  <c r="AG30" i="55"/>
  <c r="AD42" i="1"/>
  <c r="AD39" i="1"/>
  <c r="AD36" i="1"/>
  <c r="AD30" i="1"/>
  <c r="AD49" i="54"/>
  <c r="AD46" i="54"/>
  <c r="AD43" i="54"/>
  <c r="AD40" i="54"/>
  <c r="AD37" i="54"/>
  <c r="AD49" i="53"/>
  <c r="AD46" i="53"/>
  <c r="AD43" i="53"/>
  <c r="AD40" i="53"/>
  <c r="AD37" i="53"/>
  <c r="AD30" i="53"/>
  <c r="AD45" i="56"/>
  <c r="AD42" i="56"/>
  <c r="AD39" i="56"/>
  <c r="AD36" i="56"/>
  <c r="AD30" i="56"/>
  <c r="AD42" i="43"/>
  <c r="AD39" i="43"/>
  <c r="AD36" i="43"/>
  <c r="AD30" i="43"/>
  <c r="AD42" i="55" l="1"/>
  <c r="AD39" i="55"/>
  <c r="AD36" i="55"/>
  <c r="AD30" i="55"/>
  <c r="AD30" i="52"/>
  <c r="AD52" i="52"/>
  <c r="AD49" i="52"/>
  <c r="AD46" i="52"/>
  <c r="AD43" i="52"/>
  <c r="AD40" i="52"/>
  <c r="AD37" i="52"/>
  <c r="E87" i="57" l="1"/>
  <c r="H77" i="57"/>
  <c r="G77" i="57"/>
  <c r="F77" i="57"/>
  <c r="E77" i="57"/>
  <c r="D77" i="57"/>
  <c r="I76" i="57"/>
  <c r="I74" i="57"/>
  <c r="I72" i="57"/>
  <c r="I70" i="57"/>
  <c r="I68" i="57"/>
  <c r="I66" i="57"/>
  <c r="I64" i="57"/>
  <c r="U13" i="54"/>
  <c r="AB65" i="57"/>
  <c r="Z65" i="57"/>
  <c r="Y65" i="57"/>
  <c r="X65" i="57"/>
  <c r="I96" i="57"/>
  <c r="I98" i="57"/>
  <c r="I100" i="57"/>
  <c r="I102" i="57"/>
  <c r="I104" i="57"/>
  <c r="I106" i="57"/>
  <c r="I108" i="57"/>
  <c r="D109" i="57"/>
  <c r="E109" i="57"/>
  <c r="K96" i="57" s="1"/>
  <c r="F109" i="57"/>
  <c r="G109" i="57"/>
  <c r="H109" i="57"/>
  <c r="B60" i="1"/>
  <c r="A60" i="1"/>
  <c r="B58" i="1"/>
  <c r="A58" i="1"/>
  <c r="B56" i="1"/>
  <c r="A56" i="1"/>
  <c r="B63" i="54"/>
  <c r="A63" i="54"/>
  <c r="B61" i="54"/>
  <c r="A61" i="54"/>
  <c r="B59" i="54"/>
  <c r="A59" i="54"/>
  <c r="B57" i="54"/>
  <c r="A57" i="54"/>
  <c r="A60" i="53"/>
  <c r="B60" i="53"/>
  <c r="A62" i="53"/>
  <c r="B62" i="53"/>
  <c r="A64" i="53"/>
  <c r="B64" i="53"/>
  <c r="A66" i="53"/>
  <c r="B66" i="53"/>
  <c r="A68" i="53"/>
  <c r="B68" i="53"/>
  <c r="B62" i="56"/>
  <c r="A62" i="56"/>
  <c r="B60" i="56"/>
  <c r="A60" i="56"/>
  <c r="B58" i="56"/>
  <c r="A58" i="56"/>
  <c r="B56" i="56"/>
  <c r="A56" i="56"/>
  <c r="B60" i="43"/>
  <c r="A60" i="43"/>
  <c r="B58" i="43"/>
  <c r="A58" i="43"/>
  <c r="B56" i="43"/>
  <c r="A56" i="43"/>
  <c r="B60" i="52"/>
  <c r="B62" i="52"/>
  <c r="B64" i="52"/>
  <c r="B66" i="52"/>
  <c r="B68" i="52"/>
  <c r="B70" i="52"/>
  <c r="A60" i="52"/>
  <c r="A70" i="52"/>
  <c r="A68" i="52"/>
  <c r="A66" i="52"/>
  <c r="A64" i="52"/>
  <c r="A62" i="52"/>
  <c r="B179" i="57"/>
  <c r="C179" i="57"/>
  <c r="U13" i="1"/>
  <c r="U13" i="53"/>
  <c r="U13" i="56"/>
  <c r="U13" i="43"/>
  <c r="U13" i="55"/>
  <c r="U13" i="52"/>
  <c r="N109" i="57"/>
  <c r="A30" i="52"/>
  <c r="A23" i="52"/>
  <c r="H141" i="57"/>
  <c r="G141" i="57"/>
  <c r="F141" i="57"/>
  <c r="E141" i="57"/>
  <c r="D141" i="57"/>
  <c r="I140" i="57"/>
  <c r="I138" i="57"/>
  <c r="T73" i="57"/>
  <c r="I136" i="57"/>
  <c r="I134" i="57"/>
  <c r="I132" i="57"/>
  <c r="T67" i="57"/>
  <c r="I130" i="57"/>
  <c r="I128" i="57"/>
  <c r="T63" i="57"/>
  <c r="F11" i="51"/>
  <c r="F10" i="51"/>
  <c r="K100" i="57"/>
  <c r="P49" i="53"/>
  <c r="B30" i="43"/>
  <c r="AA13" i="43" s="1"/>
  <c r="B30" i="1"/>
  <c r="AA13" i="1" s="1"/>
  <c r="B30" i="54"/>
  <c r="AA13" i="54" s="1"/>
  <c r="P46" i="53"/>
  <c r="P40" i="53"/>
  <c r="AA13" i="53"/>
  <c r="AA13" i="56"/>
  <c r="B30" i="55"/>
  <c r="AA13" i="55" s="1"/>
  <c r="B30" i="52"/>
  <c r="AA13" i="52" s="1"/>
  <c r="P48" i="53"/>
  <c r="P47" i="53"/>
  <c r="E68" i="53" s="1"/>
  <c r="P37" i="53"/>
  <c r="P43" i="53"/>
  <c r="P42" i="53"/>
  <c r="P41" i="53"/>
  <c r="F65" i="53" s="1"/>
  <c r="P44" i="53"/>
  <c r="F66" i="53" s="1"/>
  <c r="P45" i="53"/>
  <c r="H56" i="56"/>
  <c r="I64" i="52"/>
  <c r="H64" i="53"/>
  <c r="D65" i="53"/>
  <c r="L65" i="53"/>
  <c r="I64" i="53"/>
  <c r="M65" i="53"/>
  <c r="J64" i="53"/>
  <c r="M64" i="53"/>
  <c r="G65" i="53"/>
  <c r="O65" i="53"/>
  <c r="I65" i="53"/>
  <c r="K65" i="53"/>
  <c r="D64" i="53"/>
  <c r="L64" i="53"/>
  <c r="H65" i="53"/>
  <c r="O64" i="53"/>
  <c r="E64" i="53"/>
  <c r="F64" i="53"/>
  <c r="N64" i="53"/>
  <c r="J65" i="53"/>
  <c r="G64" i="53"/>
  <c r="K68" i="53"/>
  <c r="E65" i="52"/>
  <c r="F65" i="52"/>
  <c r="H64" i="52"/>
  <c r="N64" i="52"/>
  <c r="J65" i="52"/>
  <c r="F64" i="52"/>
  <c r="I65" i="52"/>
  <c r="D64" i="52"/>
  <c r="K64" i="52"/>
  <c r="G66" i="53"/>
  <c r="K67" i="53"/>
  <c r="I66" i="53"/>
  <c r="M67" i="53"/>
  <c r="L66" i="53"/>
  <c r="M66" i="53"/>
  <c r="D57" i="56"/>
  <c r="K57" i="56"/>
  <c r="F56" i="56"/>
  <c r="I57" i="56"/>
  <c r="J56" i="56"/>
  <c r="L57" i="56"/>
  <c r="P46" i="54"/>
  <c r="P45" i="54"/>
  <c r="P44" i="54"/>
  <c r="I64" i="54" s="1"/>
  <c r="P43" i="54"/>
  <c r="P42" i="54"/>
  <c r="P41" i="54"/>
  <c r="D61" i="54" s="1"/>
  <c r="O71" i="52"/>
  <c r="N69" i="52"/>
  <c r="M69" i="52"/>
  <c r="F69" i="52"/>
  <c r="K69" i="52"/>
  <c r="N68" i="52"/>
  <c r="I69" i="52"/>
  <c r="M68" i="52"/>
  <c r="J68" i="52"/>
  <c r="O69" i="52"/>
  <c r="J63" i="54"/>
  <c r="F63" i="54"/>
  <c r="M64" i="54"/>
  <c r="L64" i="54"/>
  <c r="H64" i="54"/>
  <c r="D64" i="54"/>
  <c r="G64" i="54"/>
  <c r="O63" i="54"/>
  <c r="K63" i="54"/>
  <c r="L62" i="54"/>
  <c r="P40" i="54"/>
  <c r="P39" i="54"/>
  <c r="P38" i="54"/>
  <c r="N59" i="54" s="1"/>
  <c r="P39" i="53"/>
  <c r="P38" i="53"/>
  <c r="K62" i="53" s="1"/>
  <c r="I63" i="53"/>
  <c r="P45" i="56"/>
  <c r="P44" i="56"/>
  <c r="P43" i="56"/>
  <c r="D62" i="56" s="1"/>
  <c r="P42" i="55"/>
  <c r="P41" i="55"/>
  <c r="P40" i="55"/>
  <c r="H63" i="56"/>
  <c r="M63" i="56"/>
  <c r="I62" i="56"/>
  <c r="I63" i="56"/>
  <c r="P42" i="56"/>
  <c r="P41" i="56"/>
  <c r="P40" i="56"/>
  <c r="J60" i="56" s="1"/>
  <c r="P39" i="56"/>
  <c r="P38" i="56"/>
  <c r="P37" i="56"/>
  <c r="H59" i="56" s="1"/>
  <c r="L61" i="56"/>
  <c r="N60" i="56"/>
  <c r="G61" i="56"/>
  <c r="L60" i="56"/>
  <c r="P39" i="55"/>
  <c r="P38" i="55"/>
  <c r="P37" i="55"/>
  <c r="P36" i="55"/>
  <c r="P35" i="55"/>
  <c r="P34" i="55"/>
  <c r="P37" i="54"/>
  <c r="P36" i="54"/>
  <c r="P35" i="54"/>
  <c r="O58" i="54" s="1"/>
  <c r="P36" i="53"/>
  <c r="P35" i="53"/>
  <c r="E61" i="53" s="1"/>
  <c r="N60" i="53"/>
  <c r="O61" i="53"/>
  <c r="H58" i="54"/>
  <c r="L57" i="54"/>
  <c r="H57" i="54"/>
  <c r="D57" i="54"/>
  <c r="O57" i="54"/>
  <c r="K57" i="54"/>
  <c r="G57" i="54"/>
  <c r="N58" i="54"/>
  <c r="N57" i="54"/>
  <c r="J57" i="54"/>
  <c r="E57" i="54"/>
  <c r="M58" i="54"/>
  <c r="I58" i="54"/>
  <c r="M67" i="52"/>
  <c r="N62" i="52"/>
  <c r="J60" i="52"/>
  <c r="A30" i="1"/>
  <c r="C22" i="39"/>
  <c r="P42" i="43"/>
  <c r="P41" i="43"/>
  <c r="P40" i="43"/>
  <c r="L60" i="43" s="1"/>
  <c r="P39" i="43"/>
  <c r="P38" i="43"/>
  <c r="P37" i="43"/>
  <c r="L58" i="43" s="1"/>
  <c r="P36" i="43"/>
  <c r="P35" i="43"/>
  <c r="P34" i="43"/>
  <c r="E57" i="43" s="1"/>
  <c r="P34" i="1"/>
  <c r="M56" i="1" s="1"/>
  <c r="P36" i="1"/>
  <c r="P37" i="1"/>
  <c r="E58" i="1" s="1"/>
  <c r="P38" i="1"/>
  <c r="P39" i="1"/>
  <c r="P40" i="1"/>
  <c r="L60" i="1" s="1"/>
  <c r="P41" i="1"/>
  <c r="P42" i="1"/>
  <c r="N4" i="20"/>
  <c r="N3" i="20"/>
  <c r="F8" i="20"/>
  <c r="F7" i="20"/>
  <c r="J7" i="20"/>
  <c r="J6" i="20"/>
  <c r="J5" i="20"/>
  <c r="J4" i="20"/>
  <c r="J3" i="20"/>
  <c r="F6" i="20"/>
  <c r="F5" i="20"/>
  <c r="F4" i="20"/>
  <c r="F3" i="20"/>
  <c r="C10" i="39"/>
  <c r="D8" i="39" s="1"/>
  <c r="I61" i="1"/>
  <c r="M60" i="1"/>
  <c r="O61" i="1"/>
  <c r="G61" i="1"/>
  <c r="F61" i="1"/>
  <c r="E61" i="1"/>
  <c r="I60" i="1"/>
  <c r="O57" i="43"/>
  <c r="M57" i="43"/>
  <c r="G57" i="43"/>
  <c r="G56" i="43"/>
  <c r="F56" i="43"/>
  <c r="H57" i="43"/>
  <c r="D5" i="39"/>
  <c r="D19" i="39"/>
  <c r="N56" i="43" l="1"/>
  <c r="K56" i="43"/>
  <c r="M61" i="53"/>
  <c r="J62" i="53"/>
  <c r="H67" i="53"/>
  <c r="E67" i="53"/>
  <c r="O66" i="53"/>
  <c r="D7" i="39"/>
  <c r="H56" i="43"/>
  <c r="L59" i="43"/>
  <c r="F60" i="53"/>
  <c r="G59" i="56"/>
  <c r="L63" i="56"/>
  <c r="D66" i="53"/>
  <c r="E66" i="53"/>
  <c r="P66" i="53" s="1"/>
  <c r="O67" i="53"/>
  <c r="K57" i="43"/>
  <c r="I58" i="43"/>
  <c r="I67" i="53"/>
  <c r="G67" i="53"/>
  <c r="K66" i="53"/>
  <c r="N67" i="53"/>
  <c r="L67" i="53"/>
  <c r="J67" i="53"/>
  <c r="O58" i="43"/>
  <c r="K58" i="43"/>
  <c r="D56" i="43"/>
  <c r="L57" i="43"/>
  <c r="M58" i="43"/>
  <c r="N63" i="56"/>
  <c r="F67" i="53"/>
  <c r="D67" i="53"/>
  <c r="P67" i="53" s="1"/>
  <c r="N66" i="53"/>
  <c r="E58" i="43"/>
  <c r="G63" i="56"/>
  <c r="H60" i="54"/>
  <c r="J61" i="54"/>
  <c r="J66" i="53"/>
  <c r="H66" i="53"/>
  <c r="K64" i="53"/>
  <c r="P64" i="53" s="1"/>
  <c r="F58" i="43"/>
  <c r="O61" i="56"/>
  <c r="G60" i="56"/>
  <c r="M61" i="56"/>
  <c r="J60" i="54"/>
  <c r="D16" i="39"/>
  <c r="I57" i="43"/>
  <c r="I56" i="43"/>
  <c r="F57" i="43"/>
  <c r="F59" i="43"/>
  <c r="N58" i="43"/>
  <c r="N61" i="1"/>
  <c r="I57" i="1"/>
  <c r="M57" i="54"/>
  <c r="D58" i="54"/>
  <c r="D60" i="53"/>
  <c r="E60" i="56"/>
  <c r="O60" i="56"/>
  <c r="J61" i="56"/>
  <c r="F63" i="56"/>
  <c r="N60" i="54"/>
  <c r="J69" i="52"/>
  <c r="I61" i="56"/>
  <c r="E61" i="56"/>
  <c r="J58" i="43"/>
  <c r="D56" i="1"/>
  <c r="L56" i="43"/>
  <c r="D57" i="43"/>
  <c r="N57" i="43"/>
  <c r="O59" i="43"/>
  <c r="H61" i="43"/>
  <c r="M60" i="56"/>
  <c r="F61" i="56"/>
  <c r="D61" i="56"/>
  <c r="K61" i="43"/>
  <c r="K108" i="57"/>
  <c r="D62" i="52"/>
  <c r="H61" i="56"/>
  <c r="J56" i="43"/>
  <c r="D61" i="1"/>
  <c r="G61" i="53"/>
  <c r="K60" i="56"/>
  <c r="K61" i="56"/>
  <c r="N62" i="56"/>
  <c r="E62" i="56"/>
  <c r="L69" i="52"/>
  <c r="H60" i="56"/>
  <c r="E56" i="43"/>
  <c r="O56" i="43"/>
  <c r="K59" i="43"/>
  <c r="G59" i="43"/>
  <c r="H61" i="1"/>
  <c r="M56" i="43"/>
  <c r="J57" i="43"/>
  <c r="D59" i="43"/>
  <c r="H59" i="43"/>
  <c r="H62" i="43" s="1"/>
  <c r="H63" i="43" s="1"/>
  <c r="L61" i="1"/>
  <c r="N60" i="1"/>
  <c r="F57" i="54"/>
  <c r="G58" i="54"/>
  <c r="J60" i="53"/>
  <c r="D60" i="56"/>
  <c r="F60" i="56"/>
  <c r="I60" i="56"/>
  <c r="D63" i="56"/>
  <c r="L62" i="56"/>
  <c r="G59" i="54"/>
  <c r="H69" i="52"/>
  <c r="K102" i="57"/>
  <c r="I59" i="54"/>
  <c r="M70" i="52"/>
  <c r="F62" i="52"/>
  <c r="G70" i="52"/>
  <c r="G65" i="52"/>
  <c r="J64" i="52"/>
  <c r="N65" i="52"/>
  <c r="D65" i="52"/>
  <c r="M65" i="52"/>
  <c r="I70" i="52"/>
  <c r="O65" i="52"/>
  <c r="P65" i="52" s="1"/>
  <c r="H65" i="52"/>
  <c r="K65" i="52"/>
  <c r="L65" i="52"/>
  <c r="E60" i="52"/>
  <c r="I61" i="52"/>
  <c r="O67" i="52"/>
  <c r="K68" i="52"/>
  <c r="D68" i="52"/>
  <c r="L68" i="52"/>
  <c r="G68" i="52"/>
  <c r="H68" i="52"/>
  <c r="I68" i="52"/>
  <c r="D66" i="52"/>
  <c r="K67" i="52"/>
  <c r="G69" i="52"/>
  <c r="E68" i="52"/>
  <c r="F68" i="52"/>
  <c r="O68" i="52"/>
  <c r="D69" i="52"/>
  <c r="E69" i="52"/>
  <c r="E66" i="52"/>
  <c r="G66" i="52"/>
  <c r="E65" i="53"/>
  <c r="D21" i="39"/>
  <c r="D20" i="39"/>
  <c r="H58" i="43"/>
  <c r="N59" i="43"/>
  <c r="I59" i="43"/>
  <c r="H60" i="43"/>
  <c r="O60" i="1"/>
  <c r="K60" i="1"/>
  <c r="E60" i="1"/>
  <c r="N56" i="1"/>
  <c r="K61" i="52"/>
  <c r="N67" i="52"/>
  <c r="I57" i="54"/>
  <c r="F61" i="53"/>
  <c r="I61" i="53"/>
  <c r="N61" i="56"/>
  <c r="M62" i="56"/>
  <c r="K63" i="56"/>
  <c r="K62" i="56"/>
  <c r="K59" i="54"/>
  <c r="O62" i="53"/>
  <c r="G62" i="54"/>
  <c r="F62" i="56"/>
  <c r="E63" i="56"/>
  <c r="O63" i="56"/>
  <c r="F61" i="43"/>
  <c r="M61" i="1"/>
  <c r="M66" i="52"/>
  <c r="K69" i="53"/>
  <c r="D9" i="39"/>
  <c r="D6" i="39"/>
  <c r="F60" i="1"/>
  <c r="L57" i="1"/>
  <c r="L61" i="53"/>
  <c r="D3" i="39"/>
  <c r="D17" i="39"/>
  <c r="E59" i="43"/>
  <c r="D58" i="43"/>
  <c r="J59" i="43"/>
  <c r="K61" i="1"/>
  <c r="G60" i="1"/>
  <c r="D60" i="1"/>
  <c r="E57" i="1"/>
  <c r="N66" i="52"/>
  <c r="G67" i="52"/>
  <c r="D61" i="53"/>
  <c r="J63" i="56"/>
  <c r="O62" i="56"/>
  <c r="G62" i="56"/>
  <c r="M69" i="53"/>
  <c r="N65" i="53"/>
  <c r="K60" i="43"/>
  <c r="D18" i="39"/>
  <c r="J67" i="52"/>
  <c r="D15" i="39"/>
  <c r="J61" i="1"/>
  <c r="H67" i="52"/>
  <c r="D4" i="39"/>
  <c r="G58" i="43"/>
  <c r="M59" i="43"/>
  <c r="M60" i="43"/>
  <c r="H60" i="1"/>
  <c r="J60" i="1"/>
  <c r="N57" i="1"/>
  <c r="N61" i="52"/>
  <c r="F66" i="52"/>
  <c r="L66" i="52"/>
  <c r="H60" i="53"/>
  <c r="L59" i="56"/>
  <c r="L64" i="56" s="1"/>
  <c r="L65" i="56" s="1"/>
  <c r="H62" i="56"/>
  <c r="J62" i="56"/>
  <c r="E63" i="53"/>
  <c r="F62" i="53"/>
  <c r="O59" i="54"/>
  <c r="M59" i="54"/>
  <c r="O60" i="54"/>
  <c r="E60" i="54"/>
  <c r="K64" i="54"/>
  <c r="E63" i="54"/>
  <c r="N63" i="54"/>
  <c r="D59" i="54"/>
  <c r="I60" i="54"/>
  <c r="O64" i="54"/>
  <c r="I63" i="54"/>
  <c r="F64" i="54"/>
  <c r="H59" i="54"/>
  <c r="M60" i="54"/>
  <c r="D63" i="54"/>
  <c r="M63" i="54"/>
  <c r="J64" i="54"/>
  <c r="F58" i="54"/>
  <c r="K58" i="54"/>
  <c r="L58" i="54"/>
  <c r="L59" i="54"/>
  <c r="F59" i="54"/>
  <c r="H63" i="54"/>
  <c r="E64" i="54"/>
  <c r="N64" i="54"/>
  <c r="E58" i="54"/>
  <c r="J58" i="54"/>
  <c r="D60" i="54"/>
  <c r="F60" i="54"/>
  <c r="G63" i="54"/>
  <c r="L63" i="54"/>
  <c r="F59" i="1"/>
  <c r="I69" i="53"/>
  <c r="F62" i="43"/>
  <c r="F63" i="43" s="1"/>
  <c r="F30" i="43" s="1"/>
  <c r="Z67" i="57" s="1"/>
  <c r="I61" i="43"/>
  <c r="L61" i="43"/>
  <c r="L62" i="43" s="1"/>
  <c r="L63" i="43" s="1"/>
  <c r="L30" i="43" s="1"/>
  <c r="AF67" i="57" s="1"/>
  <c r="G61" i="43"/>
  <c r="L59" i="1"/>
  <c r="G59" i="1"/>
  <c r="M58" i="1"/>
  <c r="I63" i="52"/>
  <c r="K66" i="52"/>
  <c r="O66" i="52"/>
  <c r="D67" i="52"/>
  <c r="K60" i="53"/>
  <c r="I60" i="53"/>
  <c r="J59" i="56"/>
  <c r="G60" i="54"/>
  <c r="L60" i="54"/>
  <c r="J59" i="54"/>
  <c r="D63" i="53"/>
  <c r="G62" i="53"/>
  <c r="M63" i="53"/>
  <c r="M70" i="53" s="1"/>
  <c r="M71" i="53" s="1"/>
  <c r="E62" i="54"/>
  <c r="N62" i="54"/>
  <c r="H61" i="54"/>
  <c r="D56" i="56"/>
  <c r="K56" i="56"/>
  <c r="I56" i="56"/>
  <c r="E64" i="52"/>
  <c r="G64" i="52"/>
  <c r="L64" i="52"/>
  <c r="E69" i="53"/>
  <c r="E70" i="53" s="1"/>
  <c r="E71" i="53" s="1"/>
  <c r="E31" i="53" s="1"/>
  <c r="J69" i="53"/>
  <c r="O69" i="53"/>
  <c r="J58" i="1"/>
  <c r="H59" i="1"/>
  <c r="K62" i="54"/>
  <c r="G60" i="43"/>
  <c r="J60" i="43"/>
  <c r="O61" i="43"/>
  <c r="O62" i="43" s="1"/>
  <c r="O63" i="43" s="1"/>
  <c r="O30" i="43" s="1"/>
  <c r="I58" i="1"/>
  <c r="O59" i="1"/>
  <c r="I59" i="1"/>
  <c r="I62" i="1" s="1"/>
  <c r="I63" i="1" s="1"/>
  <c r="I30" i="1" s="1"/>
  <c r="AC69" i="57" s="1"/>
  <c r="I62" i="52"/>
  <c r="J66" i="52"/>
  <c r="H66" i="52"/>
  <c r="L67" i="52"/>
  <c r="N61" i="53"/>
  <c r="J61" i="53"/>
  <c r="K60" i="54"/>
  <c r="E59" i="54"/>
  <c r="H62" i="53"/>
  <c r="H63" i="53"/>
  <c r="K63" i="53"/>
  <c r="I62" i="54"/>
  <c r="G61" i="54"/>
  <c r="L61" i="54"/>
  <c r="L56" i="56"/>
  <c r="H57" i="56"/>
  <c r="H64" i="56" s="1"/>
  <c r="H65" i="56" s="1"/>
  <c r="E57" i="56"/>
  <c r="M64" i="52"/>
  <c r="O64" i="52"/>
  <c r="L69" i="53"/>
  <c r="N68" i="53"/>
  <c r="H69" i="53"/>
  <c r="L58" i="1"/>
  <c r="D60" i="43"/>
  <c r="O60" i="43"/>
  <c r="E61" i="43"/>
  <c r="E62" i="43" s="1"/>
  <c r="E63" i="43" s="1"/>
  <c r="E30" i="43" s="1"/>
  <c r="Y67" i="57" s="1"/>
  <c r="F58" i="1"/>
  <c r="E59" i="1"/>
  <c r="H58" i="1"/>
  <c r="K62" i="52"/>
  <c r="J63" i="53"/>
  <c r="L62" i="53"/>
  <c r="N63" i="53"/>
  <c r="M62" i="54"/>
  <c r="K61" i="54"/>
  <c r="D62" i="54"/>
  <c r="E56" i="56"/>
  <c r="G56" i="56"/>
  <c r="M57" i="56"/>
  <c r="D69" i="53"/>
  <c r="F68" i="53"/>
  <c r="L68" i="53"/>
  <c r="E60" i="43"/>
  <c r="J61" i="43"/>
  <c r="M61" i="43"/>
  <c r="M62" i="43" s="1"/>
  <c r="M63" i="43" s="1"/>
  <c r="M30" i="43" s="1"/>
  <c r="AG67" i="57" s="1"/>
  <c r="N58" i="1"/>
  <c r="M59" i="1"/>
  <c r="D58" i="1"/>
  <c r="J62" i="52"/>
  <c r="N62" i="53"/>
  <c r="D62" i="53"/>
  <c r="F63" i="53"/>
  <c r="F61" i="54"/>
  <c r="O61" i="54"/>
  <c r="H62" i="54"/>
  <c r="H65" i="54" s="1"/>
  <c r="H66" i="54" s="1"/>
  <c r="H31" i="54" s="1"/>
  <c r="O57" i="56"/>
  <c r="M56" i="56"/>
  <c r="O56" i="56"/>
  <c r="H68" i="53"/>
  <c r="G69" i="53"/>
  <c r="D68" i="53"/>
  <c r="J59" i="1"/>
  <c r="G58" i="1"/>
  <c r="O63" i="53"/>
  <c r="E61" i="54"/>
  <c r="O68" i="53"/>
  <c r="F60" i="43"/>
  <c r="I60" i="43"/>
  <c r="N61" i="43"/>
  <c r="N62" i="43" s="1"/>
  <c r="N63" i="43" s="1"/>
  <c r="N30" i="43" s="1"/>
  <c r="AH67" i="57" s="1"/>
  <c r="O58" i="1"/>
  <c r="N59" i="1"/>
  <c r="D59" i="1"/>
  <c r="O63" i="52"/>
  <c r="L60" i="52"/>
  <c r="I62" i="53"/>
  <c r="M62" i="53"/>
  <c r="G63" i="53"/>
  <c r="I61" i="54"/>
  <c r="F62" i="54"/>
  <c r="O62" i="54"/>
  <c r="F57" i="56"/>
  <c r="N56" i="56"/>
  <c r="G57" i="56"/>
  <c r="G64" i="56" s="1"/>
  <c r="G65" i="56" s="1"/>
  <c r="F69" i="53"/>
  <c r="F70" i="53" s="1"/>
  <c r="F71" i="53" s="1"/>
  <c r="F31" i="53" s="1"/>
  <c r="G68" i="53"/>
  <c r="M68" i="53"/>
  <c r="N61" i="54"/>
  <c r="N69" i="53"/>
  <c r="N60" i="43"/>
  <c r="D61" i="43"/>
  <c r="K59" i="1"/>
  <c r="K58" i="1"/>
  <c r="J63" i="52"/>
  <c r="E63" i="52"/>
  <c r="L63" i="53"/>
  <c r="E62" i="53"/>
  <c r="M61" i="54"/>
  <c r="J62" i="54"/>
  <c r="N57" i="56"/>
  <c r="J57" i="56"/>
  <c r="J68" i="53"/>
  <c r="I68" i="53"/>
  <c r="H61" i="53"/>
  <c r="N59" i="56"/>
  <c r="M71" i="52"/>
  <c r="I71" i="52"/>
  <c r="G71" i="52"/>
  <c r="I109" i="57"/>
  <c r="I56" i="1"/>
  <c r="F56" i="1"/>
  <c r="E62" i="52"/>
  <c r="N63" i="52"/>
  <c r="M63" i="52"/>
  <c r="M60" i="52"/>
  <c r="K63" i="52"/>
  <c r="F60" i="52"/>
  <c r="F67" i="52"/>
  <c r="L60" i="53"/>
  <c r="D59" i="56"/>
  <c r="D64" i="56" s="1"/>
  <c r="D65" i="56" s="1"/>
  <c r="K58" i="56"/>
  <c r="E70" i="52"/>
  <c r="J70" i="52"/>
  <c r="D70" i="52"/>
  <c r="I60" i="52"/>
  <c r="M57" i="1"/>
  <c r="L56" i="1"/>
  <c r="J57" i="1"/>
  <c r="K60" i="52"/>
  <c r="N60" i="52"/>
  <c r="J61" i="52"/>
  <c r="I59" i="56"/>
  <c r="I64" i="56" s="1"/>
  <c r="I65" i="56" s="1"/>
  <c r="I58" i="56"/>
  <c r="O59" i="56"/>
  <c r="J71" i="52"/>
  <c r="O70" i="52"/>
  <c r="N71" i="52"/>
  <c r="J56" i="1"/>
  <c r="H57" i="1"/>
  <c r="H62" i="1" s="1"/>
  <c r="H63" i="1" s="1"/>
  <c r="H30" i="1" s="1"/>
  <c r="AB69" i="57" s="1"/>
  <c r="G56" i="1"/>
  <c r="G62" i="52"/>
  <c r="H63" i="52"/>
  <c r="G63" i="52"/>
  <c r="F63" i="52"/>
  <c r="H60" i="52"/>
  <c r="E61" i="52"/>
  <c r="G58" i="56"/>
  <c r="E59" i="56"/>
  <c r="E58" i="56"/>
  <c r="E71" i="52"/>
  <c r="H71" i="52"/>
  <c r="F71" i="52"/>
  <c r="K56" i="1"/>
  <c r="F57" i="1"/>
  <c r="O56" i="1"/>
  <c r="M62" i="52"/>
  <c r="O62" i="52"/>
  <c r="D63" i="52"/>
  <c r="G61" i="52"/>
  <c r="F61" i="52"/>
  <c r="D61" i="52"/>
  <c r="M61" i="52"/>
  <c r="I66" i="52"/>
  <c r="K61" i="53"/>
  <c r="M60" i="53"/>
  <c r="M58" i="56"/>
  <c r="O58" i="56"/>
  <c r="M59" i="56"/>
  <c r="M64" i="56" s="1"/>
  <c r="M65" i="56" s="1"/>
  <c r="D58" i="56"/>
  <c r="K70" i="52"/>
  <c r="K71" i="52"/>
  <c r="L70" i="52"/>
  <c r="I141" i="57"/>
  <c r="H56" i="1"/>
  <c r="G57" i="1"/>
  <c r="E56" i="1"/>
  <c r="K57" i="1"/>
  <c r="L62" i="52"/>
  <c r="H62" i="52"/>
  <c r="L63" i="52"/>
  <c r="O61" i="52"/>
  <c r="O72" i="52" s="1"/>
  <c r="O73" i="52" s="1"/>
  <c r="G60" i="52"/>
  <c r="L61" i="52"/>
  <c r="D60" i="52"/>
  <c r="I67" i="52"/>
  <c r="E67" i="52"/>
  <c r="O60" i="53"/>
  <c r="E60" i="53"/>
  <c r="F58" i="56"/>
  <c r="K59" i="56"/>
  <c r="K64" i="56" s="1"/>
  <c r="K65" i="56" s="1"/>
  <c r="J58" i="56"/>
  <c r="L58" i="56"/>
  <c r="L71" i="52"/>
  <c r="F70" i="52"/>
  <c r="H70" i="52"/>
  <c r="D57" i="1"/>
  <c r="O57" i="1"/>
  <c r="O62" i="1" s="1"/>
  <c r="O63" i="1" s="1"/>
  <c r="H61" i="52"/>
  <c r="O60" i="52"/>
  <c r="G60" i="53"/>
  <c r="N58" i="56"/>
  <c r="H58" i="56"/>
  <c r="F59" i="56"/>
  <c r="F64" i="56" s="1"/>
  <c r="F65" i="56" s="1"/>
  <c r="D71" i="52"/>
  <c r="N70" i="52"/>
  <c r="I77" i="57"/>
  <c r="F79" i="57"/>
  <c r="K106" i="57"/>
  <c r="K98" i="57"/>
  <c r="K104" i="57"/>
  <c r="P57" i="43"/>
  <c r="D62" i="43" l="1"/>
  <c r="D63" i="43" s="1"/>
  <c r="D30" i="43" s="1"/>
  <c r="X67" i="57" s="1"/>
  <c r="D65" i="54"/>
  <c r="D66" i="54" s="1"/>
  <c r="L62" i="1"/>
  <c r="L63" i="1" s="1"/>
  <c r="L30" i="1" s="1"/>
  <c r="AF69" i="57" s="1"/>
  <c r="F62" i="1"/>
  <c r="F63" i="1" s="1"/>
  <c r="F30" i="1" s="1"/>
  <c r="Z69" i="57" s="1"/>
  <c r="K62" i="43"/>
  <c r="K63" i="43" s="1"/>
  <c r="K30" i="43" s="1"/>
  <c r="AE67" i="57" s="1"/>
  <c r="H72" i="52"/>
  <c r="H73" i="52" s="1"/>
  <c r="G70" i="53"/>
  <c r="G71" i="53" s="1"/>
  <c r="G31" i="53" s="1"/>
  <c r="N65" i="54"/>
  <c r="N66" i="54" s="1"/>
  <c r="M62" i="1"/>
  <c r="M63" i="1" s="1"/>
  <c r="M30" i="1" s="1"/>
  <c r="AG69" i="57" s="1"/>
  <c r="O65" i="54"/>
  <c r="O66" i="54" s="1"/>
  <c r="N62" i="1"/>
  <c r="N63" i="1" s="1"/>
  <c r="N30" i="1" s="1"/>
  <c r="AH69" i="57" s="1"/>
  <c r="P65" i="53"/>
  <c r="P69" i="52"/>
  <c r="G62" i="43"/>
  <c r="G63" i="43" s="1"/>
  <c r="G30" i="43" s="1"/>
  <c r="AA67" i="57" s="1"/>
  <c r="P56" i="43"/>
  <c r="P61" i="56"/>
  <c r="P60" i="56"/>
  <c r="E62" i="1"/>
  <c r="E63" i="1" s="1"/>
  <c r="E30" i="1" s="1"/>
  <c r="Y69" i="57" s="1"/>
  <c r="D22" i="39"/>
  <c r="D62" i="1"/>
  <c r="D63" i="1" s="1"/>
  <c r="D30" i="1" s="1"/>
  <c r="X69" i="57" s="1"/>
  <c r="P57" i="54"/>
  <c r="P60" i="54"/>
  <c r="G62" i="1"/>
  <c r="G63" i="1" s="1"/>
  <c r="G30" i="1" s="1"/>
  <c r="AA69" i="57" s="1"/>
  <c r="H30" i="43"/>
  <c r="AB67" i="57" s="1"/>
  <c r="O64" i="56"/>
  <c r="O65" i="56" s="1"/>
  <c r="O30" i="56" s="1"/>
  <c r="AI71" i="57" s="1"/>
  <c r="H70" i="53"/>
  <c r="H71" i="53" s="1"/>
  <c r="H31" i="53" s="1"/>
  <c r="O70" i="53"/>
  <c r="O71" i="53" s="1"/>
  <c r="D70" i="53"/>
  <c r="D71" i="53" s="1"/>
  <c r="F72" i="53" s="1"/>
  <c r="P61" i="1"/>
  <c r="P58" i="43"/>
  <c r="D10" i="39"/>
  <c r="K30" i="56"/>
  <c r="AE71" i="57" s="1"/>
  <c r="L30" i="56"/>
  <c r="AF71" i="57" s="1"/>
  <c r="AF72" i="57" s="1"/>
  <c r="G30" i="56"/>
  <c r="AA71" i="57" s="1"/>
  <c r="H30" i="56"/>
  <c r="AB71" i="57" s="1"/>
  <c r="F30" i="56"/>
  <c r="Z71" i="57" s="1"/>
  <c r="Z72" i="57" s="1"/>
  <c r="M30" i="56"/>
  <c r="AG71" i="57" s="1"/>
  <c r="I30" i="56"/>
  <c r="AC71" i="57" s="1"/>
  <c r="D30" i="56"/>
  <c r="X71" i="57" s="1"/>
  <c r="D31" i="54"/>
  <c r="D67" i="54"/>
  <c r="D30" i="54" s="1"/>
  <c r="X74" i="57" s="1"/>
  <c r="H72" i="53"/>
  <c r="P63" i="56"/>
  <c r="L70" i="53"/>
  <c r="L71" i="53" s="1"/>
  <c r="M72" i="52"/>
  <c r="M73" i="52" s="1"/>
  <c r="H31" i="52"/>
  <c r="P68" i="52"/>
  <c r="J70" i="53"/>
  <c r="J71" i="53" s="1"/>
  <c r="P59" i="43"/>
  <c r="P59" i="54"/>
  <c r="F65" i="54"/>
  <c r="F66" i="54" s="1"/>
  <c r="G65" i="54"/>
  <c r="G66" i="54" s="1"/>
  <c r="L65" i="54"/>
  <c r="L66" i="54" s="1"/>
  <c r="I70" i="53"/>
  <c r="I71" i="53" s="1"/>
  <c r="I31" i="53" s="1"/>
  <c r="I62" i="43"/>
  <c r="I63" i="43" s="1"/>
  <c r="I30" i="43" s="1"/>
  <c r="AC67" i="57" s="1"/>
  <c r="M65" i="54"/>
  <c r="M66" i="54" s="1"/>
  <c r="K70" i="53"/>
  <c r="K71" i="53" s="1"/>
  <c r="J64" i="56"/>
  <c r="J65" i="56" s="1"/>
  <c r="P58" i="54"/>
  <c r="P66" i="52"/>
  <c r="J62" i="43"/>
  <c r="J63" i="43" s="1"/>
  <c r="J30" i="43" s="1"/>
  <c r="AD67" i="57" s="1"/>
  <c r="P58" i="1"/>
  <c r="P61" i="52"/>
  <c r="P64" i="54"/>
  <c r="I65" i="54"/>
  <c r="I66" i="54" s="1"/>
  <c r="P60" i="1"/>
  <c r="P59" i="1"/>
  <c r="P57" i="56"/>
  <c r="P64" i="52"/>
  <c r="P62" i="56"/>
  <c r="P63" i="53"/>
  <c r="F72" i="52"/>
  <c r="F73" i="52" s="1"/>
  <c r="P63" i="54"/>
  <c r="J65" i="54"/>
  <c r="J66" i="54" s="1"/>
  <c r="E65" i="54"/>
  <c r="E66" i="54" s="1"/>
  <c r="P62" i="54"/>
  <c r="I72" i="52"/>
  <c r="I73" i="52" s="1"/>
  <c r="K62" i="1"/>
  <c r="K63" i="1" s="1"/>
  <c r="K30" i="1" s="1"/>
  <c r="AE69" i="57" s="1"/>
  <c r="N64" i="56"/>
  <c r="N65" i="56" s="1"/>
  <c r="P56" i="1"/>
  <c r="J62" i="1"/>
  <c r="J63" i="1" s="1"/>
  <c r="J30" i="1" s="1"/>
  <c r="AD69" i="57" s="1"/>
  <c r="P62" i="52"/>
  <c r="P68" i="53"/>
  <c r="P61" i="54"/>
  <c r="K65" i="54"/>
  <c r="K66" i="54" s="1"/>
  <c r="P62" i="53"/>
  <c r="P60" i="52"/>
  <c r="N70" i="53"/>
  <c r="N71" i="53" s="1"/>
  <c r="P69" i="53"/>
  <c r="P61" i="43"/>
  <c r="P71" i="52"/>
  <c r="P60" i="53"/>
  <c r="E64" i="56"/>
  <c r="E65" i="56" s="1"/>
  <c r="K72" i="52"/>
  <c r="K73" i="52" s="1"/>
  <c r="G72" i="52"/>
  <c r="G73" i="52" s="1"/>
  <c r="P56" i="56"/>
  <c r="J72" i="52"/>
  <c r="J73" i="52" s="1"/>
  <c r="P60" i="43"/>
  <c r="P67" i="52"/>
  <c r="P57" i="1"/>
  <c r="E72" i="52"/>
  <c r="E73" i="52" s="1"/>
  <c r="P58" i="56"/>
  <c r="D72" i="52"/>
  <c r="D73" i="52" s="1"/>
  <c r="D31" i="52" s="1"/>
  <c r="N72" i="52"/>
  <c r="N73" i="52" s="1"/>
  <c r="P70" i="52"/>
  <c r="K109" i="57"/>
  <c r="L72" i="52"/>
  <c r="L73" i="52" s="1"/>
  <c r="P61" i="53"/>
  <c r="P63" i="52"/>
  <c r="P59" i="56"/>
  <c r="AI67" i="57"/>
  <c r="O30" i="1"/>
  <c r="G67" i="54" l="1"/>
  <c r="G30" i="54" s="1"/>
  <c r="E72" i="53"/>
  <c r="E30" i="53" s="1"/>
  <c r="Y73" i="57" s="1"/>
  <c r="F30" i="53"/>
  <c r="Z73" i="57" s="1"/>
  <c r="H30" i="53"/>
  <c r="AB73" i="57" s="1"/>
  <c r="G72" i="53"/>
  <c r="D31" i="53"/>
  <c r="P31" i="53" s="1"/>
  <c r="J72" i="53"/>
  <c r="J30" i="53" s="1"/>
  <c r="AB72" i="57"/>
  <c r="X72" i="57"/>
  <c r="AG72" i="57"/>
  <c r="D72" i="53"/>
  <c r="AA72" i="57"/>
  <c r="N30" i="56"/>
  <c r="AH71" i="57" s="1"/>
  <c r="AH72" i="57" s="1"/>
  <c r="AC72" i="57"/>
  <c r="E30" i="56"/>
  <c r="AE72" i="57"/>
  <c r="J30" i="56"/>
  <c r="AD71" i="57" s="1"/>
  <c r="AD72" i="57" s="1"/>
  <c r="I31" i="54"/>
  <c r="F31" i="54"/>
  <c r="H67" i="54"/>
  <c r="H30" i="54" s="1"/>
  <c r="AB74" i="57" s="1"/>
  <c r="F67" i="54"/>
  <c r="F30" i="54" s="1"/>
  <c r="Z74" i="57" s="1"/>
  <c r="I67" i="54"/>
  <c r="I30" i="54" s="1"/>
  <c r="AC74" i="57" s="1"/>
  <c r="E31" i="54"/>
  <c r="J67" i="54"/>
  <c r="J30" i="54" s="1"/>
  <c r="AD74" i="57" s="1"/>
  <c r="AA74" i="57"/>
  <c r="G31" i="54"/>
  <c r="E67" i="54"/>
  <c r="E30" i="54" s="1"/>
  <c r="Y74" i="57" s="1"/>
  <c r="Y75" i="57" s="1"/>
  <c r="AD73" i="57"/>
  <c r="I72" i="53"/>
  <c r="P62" i="43"/>
  <c r="I31" i="52"/>
  <c r="E31" i="52"/>
  <c r="F31" i="52"/>
  <c r="G31" i="52"/>
  <c r="L67" i="54"/>
  <c r="L30" i="54" s="1"/>
  <c r="O67" i="54"/>
  <c r="N67" i="54"/>
  <c r="N30" i="54" s="1"/>
  <c r="K67" i="54"/>
  <c r="K30" i="54" s="1"/>
  <c r="M67" i="54"/>
  <c r="M30" i="54" s="1"/>
  <c r="L72" i="53"/>
  <c r="L30" i="53" s="1"/>
  <c r="O72" i="53"/>
  <c r="K72" i="53"/>
  <c r="K30" i="53" s="1"/>
  <c r="N72" i="53"/>
  <c r="N30" i="53" s="1"/>
  <c r="M72" i="53"/>
  <c r="M30" i="53" s="1"/>
  <c r="M74" i="52"/>
  <c r="M30" i="52" s="1"/>
  <c r="I74" i="52"/>
  <c r="I30" i="52" s="1"/>
  <c r="AC64" i="57" s="1"/>
  <c r="AC66" i="57" s="1"/>
  <c r="E74" i="52"/>
  <c r="E30" i="52" s="1"/>
  <c r="Y64" i="57" s="1"/>
  <c r="Y66" i="57" s="1"/>
  <c r="L74" i="52"/>
  <c r="L30" i="52" s="1"/>
  <c r="H74" i="52"/>
  <c r="H30" i="52" s="1"/>
  <c r="AB64" i="57" s="1"/>
  <c r="AB66" i="57" s="1"/>
  <c r="D74" i="52"/>
  <c r="D30" i="52" s="1"/>
  <c r="O74" i="52"/>
  <c r="K74" i="52"/>
  <c r="G74" i="52"/>
  <c r="G30" i="52" s="1"/>
  <c r="AA64" i="57" s="1"/>
  <c r="N74" i="52"/>
  <c r="N30" i="52" s="1"/>
  <c r="F74" i="52"/>
  <c r="F30" i="52" s="1"/>
  <c r="Z64" i="57" s="1"/>
  <c r="Z66" i="57" s="1"/>
  <c r="J74" i="52"/>
  <c r="J30" i="52" s="1"/>
  <c r="AD64" i="57" s="1"/>
  <c r="AD66" i="57" s="1"/>
  <c r="P62" i="1"/>
  <c r="P71" i="53"/>
  <c r="P65" i="56"/>
  <c r="P64" i="56"/>
  <c r="P63" i="43"/>
  <c r="P30" i="43"/>
  <c r="P72" i="52"/>
  <c r="P65" i="54"/>
  <c r="P70" i="53"/>
  <c r="AJ67" i="57"/>
  <c r="P63" i="1"/>
  <c r="P66" i="54"/>
  <c r="P73" i="52"/>
  <c r="P30" i="1"/>
  <c r="AI69" i="57"/>
  <c r="P72" i="53" l="1"/>
  <c r="O30" i="53"/>
  <c r="P67" i="54"/>
  <c r="O30" i="54"/>
  <c r="P74" i="52"/>
  <c r="O30" i="52"/>
  <c r="AB75" i="57"/>
  <c r="D30" i="53"/>
  <c r="X73" i="57" s="1"/>
  <c r="X75" i="57" s="1"/>
  <c r="I30" i="53"/>
  <c r="AC73" i="57" s="1"/>
  <c r="Z75" i="57"/>
  <c r="Z76" i="57" s="1"/>
  <c r="G30" i="53"/>
  <c r="AA73" i="57" s="1"/>
  <c r="AA75" i="57" s="1"/>
  <c r="AH64" i="57"/>
  <c r="AH66" i="57" s="1"/>
  <c r="AH74" i="57"/>
  <c r="AH73" i="57"/>
  <c r="AG73" i="57"/>
  <c r="AG74" i="57"/>
  <c r="AG64" i="57"/>
  <c r="AG66" i="57" s="1"/>
  <c r="AL136" i="57"/>
  <c r="AC77" i="57"/>
  <c r="N11" i="51" s="1"/>
  <c r="AF64" i="57"/>
  <c r="AF73" i="57"/>
  <c r="AF74" i="57"/>
  <c r="P31" i="54"/>
  <c r="AJ69" i="57"/>
  <c r="AI72" i="57"/>
  <c r="AD75" i="57"/>
  <c r="P30" i="56"/>
  <c r="AF77" i="57"/>
  <c r="O11" i="51" s="1"/>
  <c r="Y71" i="57"/>
  <c r="AC75" i="57"/>
  <c r="AC76" i="57" s="1"/>
  <c r="P31" i="52"/>
  <c r="K30" i="52"/>
  <c r="AE64" i="57" s="1"/>
  <c r="AA66" i="57"/>
  <c r="AE74" i="57"/>
  <c r="AE73" i="57"/>
  <c r="X64" i="57"/>
  <c r="P30" i="53" l="1"/>
  <c r="AI73" i="57"/>
  <c r="P30" i="54"/>
  <c r="AI74" i="57"/>
  <c r="AI75" i="57" s="1"/>
  <c r="AI76" i="57" s="1"/>
  <c r="P30" i="52"/>
  <c r="AI64" i="57"/>
  <c r="AI66" i="57" s="1"/>
  <c r="P10" i="51" s="1"/>
  <c r="Q10" i="51" s="1"/>
  <c r="R10" i="51" s="1"/>
  <c r="AI77" i="57"/>
  <c r="P11" i="51" s="1"/>
  <c r="AG75" i="57"/>
  <c r="AH75" i="57"/>
  <c r="AF75" i="57"/>
  <c r="AF76" i="57" s="1"/>
  <c r="AF66" i="57"/>
  <c r="O10" i="51" s="1"/>
  <c r="AJ64" i="57"/>
  <c r="AJ66" i="57" s="1"/>
  <c r="Y72" i="57"/>
  <c r="Z77" i="57" s="1"/>
  <c r="M11" i="51" s="1"/>
  <c r="AJ71" i="57"/>
  <c r="AJ72" i="57" s="1"/>
  <c r="AK136" i="57" s="1"/>
  <c r="AE66" i="57"/>
  <c r="AE75" i="57"/>
  <c r="AJ73" i="57"/>
  <c r="X66" i="57"/>
  <c r="P9" i="51" l="1"/>
  <c r="Q9" i="51" s="1"/>
  <c r="AJ74" i="57"/>
  <c r="Q11" i="51"/>
  <c r="AI44" i="52" s="1"/>
  <c r="AI45" i="52" s="1"/>
  <c r="O9" i="51"/>
  <c r="AJ75" i="57"/>
  <c r="R11" i="51" l="1"/>
  <c r="AI48" i="52"/>
  <c r="AI49" i="52" s="1"/>
  <c r="R9" i="51" l="1"/>
</calcChain>
</file>

<file path=xl/comments1.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3"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2.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3.xml><?xml version="1.0" encoding="utf-8"?>
<comments xmlns="http://schemas.openxmlformats.org/spreadsheetml/2006/main">
  <authors>
    <author>ANDREA PAOLA BELLO VARGAS</author>
  </authors>
  <commentList>
    <comment ref="Q28"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4.xml><?xml version="1.0" encoding="utf-8"?>
<comments xmlns="http://schemas.openxmlformats.org/spreadsheetml/2006/main">
  <authors>
    <author>ANDREA PAOLA BELLO VARGAS</author>
  </authors>
  <commentList>
    <comment ref="Q33" authorId="0" shapeId="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5.xml><?xml version="1.0" encoding="utf-8"?>
<comments xmlns="http://schemas.openxmlformats.org/spreadsheetml/2006/main">
  <authors>
    <author>Microsoft Office User</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List>
</comments>
</file>

<file path=xl/comments6.xml><?xml version="1.0" encoding="utf-8"?>
<comments xmlns="http://schemas.openxmlformats.org/spreadsheetml/2006/main">
  <authors>
    <author>tc={EC8C2207-55F4-DB43-8029-AB7D3456768C}</author>
  </authors>
  <commentList>
    <comment ref="C17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Cómo se calcularon estas ponderaciones? $$?</t>
        </r>
      </text>
    </comment>
  </commentList>
</comments>
</file>

<file path=xl/sharedStrings.xml><?xml version="1.0" encoding="utf-8"?>
<sst xmlns="http://schemas.openxmlformats.org/spreadsheetml/2006/main" count="1622" uniqueCount="453">
  <si>
    <t>SECRETARÍA DISTRITAL DE LA MUJER</t>
  </si>
  <si>
    <t>Código: DE-FO-05</t>
  </si>
  <si>
    <t xml:space="preserve">DIRECCIONAMIENTO ESTRATEGICO </t>
  </si>
  <si>
    <t>Versión: 07</t>
  </si>
  <si>
    <t>FORMULACIÓN Y SEGUIMIENTO PLANES DE ACCIÓN DE PROYECTOS</t>
  </si>
  <si>
    <t>Fecha de Emisión: 23 de septiembre de 2020</t>
  </si>
  <si>
    <t>Página 1 de 2</t>
  </si>
  <si>
    <t>NOMBRE DEL PROYECTO</t>
  </si>
  <si>
    <t>7718 - Implementación del Sistema Distrital de Cuidado</t>
  </si>
  <si>
    <t>FECHA DE REPORTE</t>
  </si>
  <si>
    <t xml:space="preserve"> </t>
  </si>
  <si>
    <t>TIPO DE REPORTE</t>
  </si>
  <si>
    <t>FORMULACION</t>
  </si>
  <si>
    <t>ACTUALIZACION</t>
  </si>
  <si>
    <t>SEGUIMIENTO</t>
  </si>
  <si>
    <t>x</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</si>
  <si>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</si>
  <si>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</si>
  <si>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</si>
  <si>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</si>
  <si>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</si>
  <si>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</si>
  <si>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</si>
  <si>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documento de lineamientos técnicos para la formulación de las bases del Sistema Distrital de Cuidado. (Objetivo 1) (Indicador 2. Meta PDD)</t>
  </si>
  <si>
    <t>MAGNITUD META VIGENCIA ACTUAL</t>
  </si>
  <si>
    <t>PONDERACIÓN META (%)</t>
  </si>
  <si>
    <t>TRIMESTRE REPORTADO</t>
  </si>
  <si>
    <t>ENE-MAR</t>
  </si>
  <si>
    <t>ABR-JUN</t>
  </si>
  <si>
    <t>JUL-SEP</t>
  </si>
  <si>
    <t>OCT-DIC</t>
  </si>
  <si>
    <t>EJECUCIÓN PRESUPUESTAL DEL PROYECTO</t>
  </si>
  <si>
    <t>X</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</si>
  <si>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</si>
  <si>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</si>
  <si>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</si>
  <si>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</si>
  <si>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</si>
  <si>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</si>
  <si>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</si>
  <si>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</si>
  <si>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</si>
  <si>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</si>
  <si>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N/A</t>
  </si>
  <si>
    <t>La reserva asociada al contrato No. 399 de 2020 por valor de $9.000.000, se pagó en su totalidad en el mes de marzo de 2021, el contrato apoyó la coordinación de acciones para la formulación e implementación del Sistema Distrital de Cuidado durante el mes de enero de 2021.</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</si>
  <si>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</si>
  <si>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</si>
  <si>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</si>
  <si>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</si>
  <si>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</si>
  <si>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</si>
  <si>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</si>
  <si>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</si>
  <si>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</si>
  <si>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</si>
  <si>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</si>
  <si>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</si>
  <si>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</si>
  <si>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</si>
  <si>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</si>
  <si>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</si>
  <si>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</si>
  <si>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</si>
  <si>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Respecto al contrato 815 de 2021 cuyo objeto es “Contratar el levantamiento de la línea base del Sistema Distrital de cuidado” se presentaron demoras en la fase de recolección de información cuantitativa, ya que se presentaron situaciones de lluvias, alta rotación del personal y desconfianza a recibir visitas ante el incremento de casos Covid en la ciudad. Para resolverlo, se tramitó una prórroga del contrato, la cual tiene como plazo de ejecución el 31 de marzo de 2022, fecha en la que se terminará todo el proceso.</t>
  </si>
  <si>
    <t>Con el diseño de la estrategia de corresponsabilidad con el sector privado se impulsará la corresponsabilidad como pilar del sistema y aportará a la sostenibilidad del mismo permitiendo beneficiar a las mujeres cuidadoras y a las personas que requieren altos niveles de apoyo en Bogotá.
Con la puesta en marcha del primer centro de lavado comunitario, las mujeres cuidadoras pueden disminuir la sobrecarga de trabajos de cuidado y obtener tiempo libre para formarse o desarrollar actividades de descanso y respiro, retomando sus proyectos de vida y mejorando así su calidad de vida. Los hombres que accedan al centro de lavado podrán asistir de manera simultánea a talleres de cambio cultural donde aprenderán a realizar otras tareas de cuidado y ssobre la redistribución de estos trabajos en el hogar.
La investigación para el diagnóstico del cuidado comunitario permitirá plantear futuras estrategias de corresponsabilidad entre diferentes sectores y tener en cuenta las iniciativas comunitarias.
El Convenio Interadminisrativo para la articulación de servicios intersectoriales en el marco del Sistema Distrital de Cuidado facilitará la puesta en operación de los servicios de los diferentes sectores de la administración distrital en las manzanas del cuidado. Esto permitrá que la población objetivo del sistema acceda de manera mas rápida y eficaz a la oferta una vez se inaguren las manzanas del cuidado. 
Contar con un documento del modelo operativo permite tener un insumo que oriente y de claridad sobre la operación del Sistema. Contar con herramientas para registrar la operación permite identificar los avances en la intersectorialidad y los cuellos de botella de la implementación del proyecto (SIDICU) en las manzanas del cuidado y las unidades móviles de servicios de cuidado, permitiendo brindar servicios de manera oportuna a las personas cuidadoras y a las personas que requieren cuidado. 
El documento del modelo financiero permite al proyecto avanzar en la definición de los lineamientos para identificar posibles fuentes de financiación, financiadores y costear la operación del Sistema Distrital de Cuidado, con lo cual lograr su sostenibilidad.</t>
  </si>
  <si>
    <t>Nota aclaratoria del reporte de avance: en atención al tipo de anualización de la meta la cual es creciente, se hizo una revisión y ajuste a la fórmula de cálculo del reporte de avance. En las celdas D31 a I31, y P31, se encuentra el reporte realizado con la fórmula anterior y en las celdas D30 hasta la O30 se presenta el reporte de avance con la nueva fórmula.</t>
  </si>
  <si>
    <t>DESCRIPCIÓN DE LA ACTIVIDAD</t>
  </si>
  <si>
    <t>PONDERACIÓN VERTICAL (Porcentual)</t>
  </si>
  <si>
    <t>CRONOGRAMA %</t>
  </si>
  <si>
    <t>DESCRIPCIÓN CUALITATIVA DEL AVANCE POR ACTIVIDAD</t>
  </si>
  <si>
    <t>CRITERIOS DE SEGUIMIENTO</t>
  </si>
  <si>
    <t>ACUMULADO</t>
  </si>
  <si>
    <t xml:space="preserve">Logros y beneficios y Retrasos y alternativas de solución (2.000 caracteres) </t>
  </si>
  <si>
    <t xml:space="preserve">Definir la estrategia de corresponsabilidad del Sistema Distrital de Cuidado,  con el sector privado </t>
  </si>
  <si>
    <t>Programación</t>
  </si>
  <si>
    <t>Ejecución</t>
  </si>
  <si>
    <t>Metas 1 y 2</t>
  </si>
  <si>
    <t xml:space="preserve">Definir la estrategia de corresponsabilidad del Sistema Distrital de Cuidado, con el sector comunitario  </t>
  </si>
  <si>
    <t>En el marco de la investigación “Diagnóstico cualitativo de cuidado comunitario” realizada por el Observatorio de Mujeres y Equidad de Género (OMEG) de la SDMujer, la cual es insumo para definir la estrategia de corresponsabilidad del Sistema Distrital de Cuidado con el sector comunitario , se logró la caracterización de un total de 119 iniciativas de cuidado comunitario, la realización de 10 grupos focales y 24 entrevistas en las localidades Los Mártires, Engativá, Kennedy, Usme, San Cristóbal, Bosa, Usaquén y Ciudad Bolívar.
Así mismo, se consolidaron 8 directorios de actores de cuidado comunitario correspondientes a las 8 áreas de las manzanas del cuidado estudiadas en el diagnóstico, se realizó el análisis de información y se generaron: 8 informes de resultados por localidad, 8 cartografías de cuidado comunitario y 1 presentación final con resultados.</t>
  </si>
  <si>
    <t>Diseño del modelo de viabilidad jurídica del Sistema Distrital de Cuidado</t>
  </si>
  <si>
    <t xml:space="preserve">Se suscribió el Convenio Marco Interadministrativo que tiene como objeto: "Aunar esfuerzos administrativos para la articulación de servicios intersectoriales en el marco del Sistema Distrital de Cuidado que garantice la prestación efectiva, oportuna, eficiente y eficaz de los servicios", por parte de quince (15) entidades que participan en la implementación del Sistema Distrital de Cuidado: 1. Secretaría Distrital de Integración Social; 2. Secretaría Distrital de Ambiente; 3. Secretaría Distrital de Cultura, Recreación y Deporte; 4. Secretaría Distrital de Salud; 5. Secretaría Distrital de Educación; 6. Secretaría Distrital de Desarrollo Económico; 7. Secretaría General; 8. Secretaría Distrital de la Mujer; 9.Unidad Administrativa Especial de Servicios Públicos; 10. Instituto Distrital de Protección y Bienestar Animal; 11. Jardín Botánico; 12. Instituto Distrital para la Protección de la Niñez y la Juventud; 13. Instituto Distrital de las Artes; 14. Instituto Distrital de Recreación y Deporte; 15 Instituto Distrital de Turismo. El Convenio Marco fue publicado en SECOP I el día 12 de noviembre de 2021, quedando oficiales a su vez lo anexos: 1. Formato del contrato de adhesión al convenio interadministrativo; 2. Formato del acuerdo particular de coordinación, mecanismo por el cual se desarrollará el Convenio.  </t>
  </si>
  <si>
    <t>Diseño del modelo operativo del Sistema Distrital de Cuidado</t>
  </si>
  <si>
    <t xml:space="preserve">Durante la vigencia se elaboró el documento del Modelo Operativo del Sistema Distrital de Cuidado en el marco de la consultoria con Dalberg. Dicho documento contiene: i) Introducción, ii) Contexto del SIDICU, iii) Modelo operativo con a) Priorización de las zonas de trabajo, b) Oferta de servicios, c)Procesos para la provisión de servicios, d) Medición y aprendizaje; y iv) Estructura de la organización. Este Modelo Operativo aplica para las Manzanas del Cuidado y las Unidades Móviles del Cuidado. </t>
  </si>
  <si>
    <t>Cálculo avance producto 2 en SPI: (con el avance de la meta del PDD)</t>
  </si>
  <si>
    <t>Diseño y seguimiento del modelo financiero  del Sistema Distrital de Cuidado</t>
  </si>
  <si>
    <t>Cálculo avance producto 3 en SPI:</t>
  </si>
  <si>
    <t>Diseño del modelo de seguimiento y monitoreo del Sistema Distrital de Cuidado</t>
  </si>
  <si>
    <t>Durante la vigencia se definió que la Dirección de Gestión de Conocimiento de la SDMujer se encargará de la licitación para el diseño del sistema de información del SIDICU que comprenderá el Modelo de Seguimiento y Monitoreo.
Por otra parte, se cuenta con la herramienta de programación y monitoreo de los servicios prestados en las manzanas del cuidado y en las unidades móviles; así mismo se cuenta con los módulos de formación, talleres de cambio cultural, relevos y atenciones psicojurídicas en el Sistema de Información -SIMISIONAL de la SDMujer para el registro de los servicios brindados desde el proyecto. 
Respecto al contrato 815 de 2021 cuyo objeto es “Contratar el levantamiento de la línea base del Sistema Distrital de cuidado”, se avanzó en el registro de un 26% de avance del proceso de levantamiento de información cuantitativa con corte al 10 de diciembre, y en términos cualitativos se finalizó la recolección de información vía grupos focales. A partir de lo anterior, la firma Proyectamos SAS solicitó prorrogar el contrato, ya que por situaciones imprevistas no se lograría terminar la recolección de información en los tiempos previstos. Así mismo, la SDMujer avanzó en la revisión de los indicadores planteados por la firma Proyectamos, donde se consolidó un documento con observaciones y aportes conceptuales. 
Finalmente, referente al proceso contractual cuyo objeto era “Contratar la consultoría para el diseño del modelo de evaluación del Sistema Distrital de Cuidado”, se definió no continuar con el proceso durante la vigencia 2021 conforme al lineamiento brindado por la Dirección de Contratación referente a los términos necesarios para adelantar el proceso y la ejecución del mismo.</t>
  </si>
  <si>
    <t>ELABORÓ</t>
  </si>
  <si>
    <t>Firma:</t>
  </si>
  <si>
    <t>APROBÓ</t>
  </si>
  <si>
    <t>REVISIÓN OFICINA ASESORA DE PLANEACIÓN</t>
  </si>
  <si>
    <t xml:space="preserve">VoBo. </t>
  </si>
  <si>
    <r>
      <t>Nombre:</t>
    </r>
    <r>
      <rPr>
        <sz val="10"/>
        <rFont val="Times New Roman"/>
        <family val="1"/>
      </rPr>
      <t xml:space="preserve"> Erika Natalia Moreno Salamanca</t>
    </r>
  </si>
  <si>
    <r>
      <t xml:space="preserve">Nombre: </t>
    </r>
    <r>
      <rPr>
        <sz val="10"/>
        <rFont val="Times New Roman"/>
        <family val="1"/>
      </rPr>
      <t>Diana María Parra Romero</t>
    </r>
  </si>
  <si>
    <r>
      <t xml:space="preserve">Nombre: </t>
    </r>
    <r>
      <rPr>
        <sz val="10"/>
        <rFont val="Times New Roman"/>
        <family val="1"/>
      </rPr>
      <t>Sandra Catalina Campos Romero</t>
    </r>
  </si>
  <si>
    <t>Cargo: Lideresa Técnica SIDICU</t>
  </si>
  <si>
    <t>Cargo: Gerenta de Proyecto</t>
  </si>
  <si>
    <t>Cargo: Jefa Oficina Asesora de Planeación</t>
  </si>
  <si>
    <t>MES 1</t>
  </si>
  <si>
    <t>MES 2</t>
  </si>
  <si>
    <t>MES 3</t>
  </si>
  <si>
    <t>MES 4</t>
  </si>
  <si>
    <t>MES 5</t>
  </si>
  <si>
    <t>MES 6</t>
  </si>
  <si>
    <t>MES 7</t>
  </si>
  <si>
    <t>MES 8</t>
  </si>
  <si>
    <t>MES 9</t>
  </si>
  <si>
    <t>MES 10</t>
  </si>
  <si>
    <t>MES 11</t>
  </si>
  <si>
    <t>MES 12</t>
  </si>
  <si>
    <t>En porcentaje de avance</t>
  </si>
  <si>
    <t>Avance nueva fórmula</t>
  </si>
  <si>
    <t>Coordinar y articular las instancias y entidades del nivel distrital para la implementación del Sistema Distrital de Cuidado. (Objetivo 1) (Indicador 2. Meta PDD)</t>
  </si>
  <si>
    <t>Las reservas asociadas a los contratos No. 373 de 2020 por valor de $6.000.000 y 737 de 2020 por $6.000.000, se pagaron en su totalidad durante los meses de enero y febrero; Para el contrato 737 de 2020 de Alejandra Fierro, en agosto se liberaron recursos por valor de $1.200.000 contra liquidación del contrato. Los contratos mencionados apoyaron en la preparación de la Comisión Intersectorial del Sistema Distrital de Cuidado, contribuyendo así a la formulación e implementación del Sistema.</t>
  </si>
  <si>
    <t>COORDINAR Y ARTICULAR (13) ENTIDADES DEL NIVEL DISTRITAL PARA LA IMPLEMENTACIÓN DEL SISTEMA DISTRITAL DE CUIDADO</t>
  </si>
  <si>
    <t>Liderar  y operar la Comisión Intersectorial del Sistema Distrital de Cuidado</t>
  </si>
  <si>
    <t xml:space="preserve">Identificar, monitorear y hacer seguimiento  a las acciones intersectoriales de Sistema Distrital de Cuidado </t>
  </si>
  <si>
    <t xml:space="preserve">Promover la participación ciudadana en el marco de la Comisión Intersectorial del Sistema Distrital de Cuidado </t>
  </si>
  <si>
    <t>Se promovió la participación ciudadana por medio de la realización de dos sesiones del Mecanismo de participación y seguimiento de la Comisión Intersectorial del Sistema Distital de Cuidado. La primera sesión realizada el 24 de septiembre. La segunda sesión realizada el 29 de noviembre con el siguiente orden del día: (i) Testimonios; (ii) Avancces del Sistema Distrital de Cuidado; (iii) Intervenciones de los integrantes del mecanismo de participación y seguimiento (iv) Cierre y conclusiones. A este espacio asistieron las 9 representantes de los consejos consultivos, distritales, y de las organizaciones de cuidadores de la ciudad; 4 mujeres indígenas delegadas por parte de la comunidad Bakata.  Por parte del Distrito asistieron las siguientes entidades: Secretaría Distrital de Salud, Secretaria de Educación Distrital, Secretaría de Cultura, Recreación y Deporte, Secretaría Distrital de Integración Social, Instituto Distrital de Recreación y Deporte, y la Secretaría Distrital de la Mujer.</t>
  </si>
  <si>
    <t>Gestionar una estrategia para la adecuación de infraestructura de la estrategia de manzanas de cuidado. (Objetivo 2)</t>
  </si>
  <si>
    <t>GESTIONAR 1 ESTRATEGIA PARA LA ADECUACIÓN DE INFRAESTRUCTURA DE MANZANAS DE CUIDADO</t>
  </si>
  <si>
    <t>Con la inauguración de las manzanas de cuidado las mujeres cuidadoras pueden liberar tiempo para acceder a los servicios ofertados: recibir orientación ocupacional a través de talleres, finalizar la educación básica y bachillerato a través de la formación flexible, conseguir formación técnica y en emprendimiento y empleabilidad, desarrollar habilidades digitales y disfrutar de actividades que promueven su bienestar y descanso.
Así mismo las personas con discapacidad que ellas cuidan podrán desarrollar habilidades para su autonomía. Los niños y niñas desarrollar habilidades sociales y cognitivas. Personas mayores que requieren altos niveles de apoyo acceso a actividades recreativas, físicas y culturales para mejorar su bienestar.
La ciudadanía en general podrá desarrollar habilidades para la redistribución de los trabajos de cuidado en los hogares.</t>
  </si>
  <si>
    <t>Diagnosticar las necesidades de cuidado de la población beneficiara de las (8) manzanas de cuidado</t>
  </si>
  <si>
    <t>Metas 3, 4 y 7</t>
  </si>
  <si>
    <t xml:space="preserve">Articular las acciones intersectoriales para la puesta en operación de 6 manzanas del cuidado. </t>
  </si>
  <si>
    <t>Durante la vigencia se articularon acciones intersectoriales para la prestación de servicios en el marco del Sistema Distrital de Cuidado con lo cual se logró la inauguración de un total de 5 manzanas del cuidado: San Cristóbal, Usme, Los Mártires, Kennedy y Usaquén.
Adicionalmente, se realizó seguimiento a la implementación de los servicios en las manzanas del cuidado en operación: Ciudad Bolívar, Bosa, San Cristóbal, Usme, Los Mártires, Kennedy y Usaquén. De acuerdo con el seguimiento realizado a los servicios pactados con los sectores se presenta el estado de ejecución: 
1. Cuidadoras: Ciudad Bolívar 94%, Bosa 90%, Usme 89%, San Cristóbal: 88%, Kennedy 83%, Los Mártires 75% y Usaquén 57% de implementación. 
2. Niños/as: Bosa 86%, Ciudad Bolívar 80%, San Cristóbal y Kennedy 67%, Los Mártires y Usaquén 57%, y Usme 50% de implementación. 
3. Adultas/os mayores: Ciudad Bolívar, Bosa, Usme, San Cristóbal, Kennedy, Los Mártires y Usaquén con el 100% de implementación.
4. Personas con discapacidad: Ciudad Bolívar, Bosa, Usme, San Cristóbal, Kennedy, Los Mártires y Usaquén con el 100% de implementación.
5. Ciudadanía en general: Ciudad Bolívar, Bosa y San Cristóbal 100%, Kennedy 67%, Usme y Los Mártires 50% y Usaquén con el 33% de los servicios implementados.
En promedio, al finalizar la vigencia se cuenta con una implementación del 81,1% de los servicios programados en las 7 Manzanas de Cuidado que se encuentran en operación.</t>
  </si>
  <si>
    <t xml:space="preserve">Monitorear las acciones intersectoriales de las 8 manzanas del cuidado.  </t>
  </si>
  <si>
    <t>Diseñar e implementar una estrategia de cuidado a cuidadoras.  (Objetivo 2)</t>
  </si>
  <si>
    <t>El valor de la reserva asociada al contrato No. 746 de 2020 de Angie Carolina Rodriguez Cardona por valor de $1.800.000 fue liberado en el mes de mayo de 2021.</t>
  </si>
  <si>
    <t>DISEÑAR E IMPLEMENTAR (1)  ESTRATEGIA DE CUIDADO A CUIDADORAS</t>
  </si>
  <si>
    <t xml:space="preserve">Actualización del documento de la Estrategia de cuidado a cuidadoras </t>
  </si>
  <si>
    <t>Se cuenta con el documento de la Estrategia de Cuidado a Cuidadoras, actualizado y publicado en la página web del Sistema Distrital de Cuidado. Esta nueva versión contempla una sección de “Modelo de fortalecimiento de capacidades a cuidadoras” que recoge los aportes de la consultora Natalia Ruíz del PNUD. El documento final contempla 5 apartados: 1. Introducción, 2. Marco Conceptual, 3. Caracterización de Cuidadoras, 4. Diseño e implementación de la Oferta de Cuidado a Cuidadoras y 5. Bibliografía. 
Así mismo, se desarrollaron y aprobaron dos documentos de caracterización de mujeres cuidadoras de grupos poblacionales: indígenas y afrodescendientes, esto en cumplimiento a las acciones afirmativas concertadas en el marco del artículo 66 del Plan Distrital de Desarrollo. Estos documentos expresan las particularidades culturales sobre el trabajo de cuidado no remunerado que realizan estas comunidades.
El 22 de julio se lanzó la estrategia de cuidado a cuidadoras, la cual contempla la oferta distrital de servicios para cuidadoras. Se realizó durante la conmemoración del día internacional del trabajo doméstico y la inauguración de la manzana de Kennedy. Este evento contó con la participación del director del SENA regional Distrito Capital, Enrique Romero Contreras, y la alcaldesa mayor de Bogotá, Claudia López.
Adicional, se elaboró el modelo básico de atención de los servicios de orientación psicojurídica, el cual está compuesto por: i) encuadre; ii) orientación; iii) activación oferta institucional; iv) asesoría jurídica; v) acompañamiento; vi) cierre; para cada etapa el modelo contiene los lineamientos de prestación del servicio psicosocial y jurídico para cuidadoras, teniendo en cuenta sus particularidades y principales necesidades. Además, responderá a la pregunta orientadora ¿cuáles son las diferencias que tendrían las orientaciones psicojurídicas para cuidadoras en comparación con los servicios ya prestados por la SDMujer?.</t>
  </si>
  <si>
    <t>Implementación del componente de formación para cuidadoras</t>
  </si>
  <si>
    <t xml:space="preserve">Monitoreo y seguimiento a la implementación del componente de respiro para cuidadoras </t>
  </si>
  <si>
    <t>Definición y puesta en marcha del programa de relevos de cuidado</t>
  </si>
  <si>
    <t>Nombre: Sandra Catalina Campos Romero</t>
  </si>
  <si>
    <t>Diseñar documento para la implementación de la estrategia pedagógica para la valoración, la resignificación, el reconocimiento y la redistribución del trabajo de cuidado no remunerado que realizan las mujeres en Bogotá.  (Objetivo 3) (Indicador 1 Meta PDD)</t>
  </si>
  <si>
    <t>DISEÑAR (1) DOCUMENTO PARA LA IMPLEMENTACIÓN DE LA ESTRATEGIA PEDAGÓGICA PARA LA VALORACIÓN, LA RESIGNIFICACIÓN, EL RECONOCIMIENTO Y LA REDISTRIBUCIÓN DEL TRABAJO DE CUIDADO NO REMUNERADO QUE REALIZAN LAS MUJERES EN BOGOTÁ</t>
  </si>
  <si>
    <t>Diseño del componente de sensibilización de la estrategia de cambio cultural
[Talleres: mujeres - hombres]</t>
  </si>
  <si>
    <t>Durante la vigencia se diseñó la metodología de los talleres "A cuidar se aprende" y "Cuidamos a las que nos cuidan". Así mismo elaboró:
-Módulos: 1. Amistades solidarias; 2. Del cuidado al autocuidado. 3. Reconstruyendo la maternidad. 4. Parejas compañeras, pactos igualitarios. 5. Transformando el hogar, de los talleres "Cuidamos a las que nos cuidan". Los cuatro primeros ajustados para trabajar con mujeres negras, afrodescendientes, raizales, palenqueras, y los módulos 1, 2, 3 y 5 ajustados para trabajar con mujeres indígenas.
-Módulos de "A cuidar se aprende" y "Cuidamos a las que nos cuidan" para trabajar con hombres y mujeres trans.
-Módulos virtuales "Del cuidado al autocuidado", "Amistades solidarias", "Parejas compañeras", "Transformando el hogar" y "Reconstruyendo la maternidad" del taller "Cuidamos a las que nos cuidan", con enfoque diferencial para mujeres indígenas.
-Versión virtual de los módulos del taller "A cuidar se aprende" para adolescentes y hombres mayores.
-Metodologías del taller "A cuidar se aprende" dirigidas a hombres que viven en áreas rurales, y a hombres negros y afrocolombianos. 
-Módulo virtual "Descubriendo nuestras autonomías" del taller "Cuidamos a las que nos cuidan"
-Encuestas ex-ante y ex-post para medir cambios en las percepciones de los participantes en talleres "A cuidar se aprende" y de las participantes del módulo "Del cuidado al autocuidado" de los talleres "Cuidamos a las que nos cuidan".
-Libretas pedagógicas que se entregan en los talleres "Cuidamos a las que nos cuidan" y "A cuidar se aprende".
-Diseño de contenidos de las libretas pedagógicas que se entregarán a mujeres afrocolombianas y negras, e indígenas que asistan a los talleres de cambio cultural.</t>
  </si>
  <si>
    <t>Metas 5 y 6</t>
  </si>
  <si>
    <t xml:space="preserve">Diseño y ajuste del componente de amplificación [Red de Aliados del Cuidado] </t>
  </si>
  <si>
    <t>Durante la vigencia se logró la creación de:
-Propuesta de logos para la red de alianzas del cuidado.
-Documento y dos presentaciones de power point sobre la Red de alianzas del cuidado con los actores priorizados para h acer parte de esta.
-Brochure donde se señalan los pasos que debe seguir una entidad para hacer parte de la "Red de Alianzas del cuidado". 
-Documento con la oferta desglosada de talleres de cambio cultural para ofrecer en el marco de la Red de Alianzas del Cuidado.
-Guion para el video promocional de la Red de Alianzas del Cuidado. El vídeo hace parte de los materiales gratuitos que se les entregarán a las organizaciones vinculadas a la Red con el fin de que amplifiquen el mensaje de la redistribución de los cuidados al interior de sus organizaciones y al exterior a través de sus redes sociales y página web.
-Versión final del kit de comunicación de la Red de Alianzas del Cuidado, los cuales son materiales gratuitos que serán entregados a las empresas, universidades u organizaciones de la sociedad civil vinculadas a la Red con el fin de que amplifiquen el mensaje de la redistribución de los trabajos de cuidado a través de sus redes sociales y página web. 
-Certificado de vinculación a la red y acta de compromisos que asume la entidad/organización que se vincula a la red.
-Contenidos de un repositorio de información sobre el cuidado y la redistribución del trabajo de cuidado, el cual se alojará en la página web del Sistema Distrital de Cuidado y está dirigido a las entidades que hagan parte de la Red de Alianzas del Cuidado de tal manera que puedan tener herramientas pedagógicas para activar conversaciones en torno a la redistribución del trabajo de cuidado.</t>
  </si>
  <si>
    <t>Diseño al componente de formación 
[Escuela del cuidado para hombres]</t>
  </si>
  <si>
    <t>Durante la vigencia se realizó el lanzamiento de la Escuela "Hombres al cuidado: el reto es hacernos cargo", creada por la Secretaría Distrital de Cultura, Recreación y Deporte. El equipo de cambio cultural del Sistema Distrital de Cuidado aportó técnicamente en la elaboración de la línea base de esta escuela, en la revisión de documentos técnicos para su diseño y en la realización del evento de lanzamiento. La Escuela hace parte de la Estrategia pedagógica y de cambio cultural del Sistema Distrital de Cuidado.
Adicionalmente, se apoyó técnicamente al Instituto Distrital de Participación y Acción Comunal - IDPAC en el diseño del Ciclo de formación en Cuidado y Convivencia en los siguientes frentes: 
1) Se definió la estructura general y la ruta de acción del ciclo de formación en "Cuidado y convivencia" el cual será virtual y está compuesto por tres cursos, y se construyó cronograma de trabajo para diseñar e implementar el ciclo de cuidado y convivencia. 
2) Se construyó un documento con acuerdos para la articulación entre IDPAC y SDMujer en el marco del ciclo de formación en Cuidado y Convivencia donde se establece cómo este ciclo aportará en términos de metas a cada institución. 
3) Se consolidó versión final revisada por IDPAC y por directivas de la SDMujer de los tres módulos que componen el primer curso del Ciclo de formación en Cuidado y Convivencia. 
4) Versión final del módulo 3 del segundo curso "La redistribución del cuidado desde lo cotidiano" del ciclo de formación en cuidado y convivencia y versión preliminar del módulo 1 del tercer curso "Cuidado en lo público" de este ciclo.</t>
  </si>
  <si>
    <t>Diseño de la estrategia de comunicación</t>
  </si>
  <si>
    <t xml:space="preserve">Actualización del documento de la Estrategia pedagogica y de cambio cultural </t>
  </si>
  <si>
    <t>Se logró actualizar el documento de la Estrategia pedagógia y de cambio cultural, el cual fue diagramado por el equipo de comunicaciones de la entidad y publicado en la página web del Sistema Distrital de Cuidado.</t>
  </si>
  <si>
    <t>Implementar una estrategia para  reconocimiento y la redistribución del trabajo de cuidado no remunerado entre hombres y mujeres.  (Objetivo 3) (Indicador 1 Meta PDD)</t>
  </si>
  <si>
    <t>IMPLEMENTAR 1 ESTRATEGIA PARA EL RECONOCIMIENTO Y LA REDISTRIBUCIÓN DEL TRABAJO DE CUIDADO NO REMUNERADO ENTRE HOMBRES Y MUJERES</t>
  </si>
  <si>
    <t>Logros y beneficios y Retrasos y alternativas de solución (2.000 caracteres)</t>
  </si>
  <si>
    <t xml:space="preserve">Implementación de los talleres de cambio cultural </t>
  </si>
  <si>
    <t xml:space="preserve">Producción e implementación de la estrategia de comunicaciones </t>
  </si>
  <si>
    <t>Implementación del componente de amplificación [Red de Alianzas del Cuidado]</t>
  </si>
  <si>
    <t>Monitoreo y seguimiento a acciones intersectoriales</t>
  </si>
  <si>
    <t>Gestionar la implementación de una estrategia unidades móviles.  (Objetivo 2)</t>
  </si>
  <si>
    <t>Las unidades móviles de cuidado permiten a la ciudadanía ubicada en lugares apartados y de difícil acceso de la cuidad, acceder a los servicios ofertados por el Sistema Distrital de Cuidado. Las personas cuidadoras pueden liberar tiempo para recibir orientación ocupacional a través de talleres, terminar la educación básica y el bachillerato a través de la formación flexible, conseguir formación técnica y en emprendimiento y empleabilidad, desarrollar habilidades digitales y disfrutar de actividades que promueven su bienestar y descanso. Así mismo las personas con discapacidad que ellas cuidan podrán desarrollar habilidades para su autonomía. Los niños y niñas desarrollar habilidades sociales y cognitivas. Personas mayores que requieren altos niveles de apoyo acceso a actividades recreativas, físicas y culturales para mejorar su bienestar.
La ciudadanía en general podrá desarrollar  habilidades en el cuidado para la redistribución de los trabajos de cuidado en los hogares.</t>
  </si>
  <si>
    <t>Definir y poner en marcha dos unidades móviles de servicios de cuidado (Urbana y Rural)</t>
  </si>
  <si>
    <t>Articular las acciones intersectoriales para la puesta en operación de 2 unidades moviles de servicios de cuidado (Urbana y Rural)</t>
  </si>
  <si>
    <t>Se llevó a cabo la articulación de acciones intersectoriales para la operación de las unidades móviles así como el seguimiento a las atenciones en cada una de estas, por medio de la Mesa Local de Unidades Móviles de acuerdo con la circular 001 del 08 de junio emitida por la presidencia de la Comisión Intersectorial del Sistema Distrital de Cuidado. En este sentido la mesa sesionó los días 12 de julio, 12 de agosto, 29 de octubre, 30 de noviembre y el 20 de diciembre. En la última sesión de la vigencia se socializaron los resultados en términos de la ejecución total de la segunda fase de operación, el número de atenciones totales, el balance del cierre por cada una de las zonas y los servicios prestados por cada entidad, así como los retos y desafíos para el 2022.</t>
  </si>
  <si>
    <t>Monitorear las acciones intersectoriales de las 2 unidades móviles de servicios de cuidado (urbana y rural)</t>
  </si>
  <si>
    <t>Nombre: Erika Natalia Moreno Salamanca</t>
  </si>
  <si>
    <t>Nombre: Diana María Parra Romero</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</si>
  <si>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</si>
  <si>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</si>
  <si>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</si>
  <si>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</si>
  <si>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</si>
  <si>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</si>
  <si>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</si>
  <si>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</si>
  <si>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</si>
  <si>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</si>
  <si>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</si>
  <si>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</si>
  <si>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MAGNITUD FÍSICA</t>
  </si>
  <si>
    <t>AVANCE
 %</t>
  </si>
  <si>
    <r>
      <t xml:space="preserve">Formular e implementar una estrategia pedagógica para la valoración, la resignificación, el reconocimiento y la redistribución del trabajo de cuidado no remunerado que realizan las mujeres en Bogotá.
</t>
    </r>
    <r>
      <rPr>
        <b/>
        <sz val="10"/>
        <color indexed="8"/>
        <rFont val="Times New Roman"/>
        <family val="1"/>
      </rPr>
      <t>(Meta 5 y 6)</t>
    </r>
  </si>
  <si>
    <t>54 Estrategia pedagógica para la valoración, la resignificación, el reconocimiento y la redistribución del trabajo de cuidado no remunerado implementada</t>
  </si>
  <si>
    <t>Creciente</t>
  </si>
  <si>
    <t>Se mide el avance de la estrategia de manera creciente, cargando el avance del diseño en la vigencia 2020 y 2021 y la implementación de la misma a partir del 2021 y durante el 2022, 2023 y 2024</t>
  </si>
  <si>
    <r>
      <t xml:space="preserve">Formular las bases técnicas y coordinar la implementación del sistema distrital del cuidado. </t>
    </r>
    <r>
      <rPr>
        <b/>
        <sz val="10"/>
        <color indexed="8"/>
        <rFont val="Times New Roman"/>
        <family val="1"/>
      </rPr>
      <t>(Meta 1 y 2)</t>
    </r>
  </si>
  <si>
    <t>55 Porcentaje de avance en la definición técnica y coordinación para la implementación del sistema distrital de cuidado</t>
  </si>
  <si>
    <t>Suma</t>
  </si>
  <si>
    <t xml:space="preserve">El porcentaje de avance anual se distribuyó en partes iguales para hace el cálculo, es decir para la vigencia 2021 cada meta proyecto de inversión tiene asignado un 9% de avance. </t>
  </si>
  <si>
    <r>
      <t xml:space="preserve">Gestionar la implementación, en la ciudad y la ruralidad, de la estrategia de manzanas del cuidado y unidades móviles de servicios del cuidado para las personas que requieren cuidado y para los y las cuidadoras de personas y animales domésticos.
</t>
    </r>
    <r>
      <rPr>
        <b/>
        <sz val="10"/>
        <color indexed="8"/>
        <rFont val="Times New Roman"/>
        <family val="1"/>
      </rPr>
      <t>(Meta 3, 4 y 7)</t>
    </r>
  </si>
  <si>
    <t>58  Estrategias de manzanas del cuidado y unidades móviles de servicios del cuidado implementadas</t>
  </si>
  <si>
    <t>Se mide el avance de las 2 estrategias de manera creciente, cargando el avance del diseño en la vigencia 2020 y 2021 y la implementación de las mismas durante el 2021, 2022, 2023 y 2024</t>
  </si>
  <si>
    <t>PROGRAMACIÓN 20212 PROYECTO DE INVERSIÓN</t>
  </si>
  <si>
    <t>No. De la Meta</t>
  </si>
  <si>
    <t>Descripción de la meta</t>
  </si>
  <si>
    <t>Tipo de anualización</t>
  </si>
  <si>
    <t xml:space="preserve">Año 1. ppto
ajustado </t>
  </si>
  <si>
    <t>Año 2 - ppto prog.pptal ajuste
(8-nov-2021)</t>
  </si>
  <si>
    <t>Año 3</t>
  </si>
  <si>
    <t>Año 4</t>
  </si>
  <si>
    <t>Año 5</t>
  </si>
  <si>
    <t>Total</t>
  </si>
  <si>
    <t>Anualización creciente</t>
  </si>
  <si>
    <t>0.30</t>
  </si>
  <si>
    <t>0.70</t>
  </si>
  <si>
    <t>Presupuesto</t>
  </si>
  <si>
    <t>Anualización constante</t>
  </si>
  <si>
    <t>Anualización suma</t>
  </si>
  <si>
    <t>Diseñar documento para la implementación de la estrategia pedagógica
para la valoración, la resignificación, el reconocimiento y la redistribución del trabajo de cuidado no remunerado que realizan las mujeres en Bogotá.  (Objetivo 3) (Indicador 1 Meta PDD)</t>
  </si>
  <si>
    <t>PROGRAMACIÓN POR COMPONENTE DE GASTO / 2021 (AJUSTADA ENERO 2021)</t>
  </si>
  <si>
    <t>Descripción del componente de gasto</t>
  </si>
  <si>
    <t>Valor por componente de gasto ajustada (10-mar-2021)</t>
  </si>
  <si>
    <t>Valor por componente de gasto ajustada (8-nov-2021)</t>
  </si>
  <si>
    <t xml:space="preserve">Maquinaria y equipo </t>
  </si>
  <si>
    <t>Maquinaria y equipo</t>
  </si>
  <si>
    <t>Otros bienes transportables (excepto productos metálicos, maquinaria y equipo)</t>
  </si>
  <si>
    <t>Productos metálicos y paquetes de software</t>
  </si>
  <si>
    <t>Servicios de alojamiento; servicios de suministro de comidas y bebidas; servicios de transporte; y servicios de distribución de electricidad, gas y agua</t>
  </si>
  <si>
    <t xml:space="preserve">Servicio de alojamiento, servicios de suministro de comidas y bebidas; servicios de transportes, y servicios de distribución de lectricidad, gas y agua </t>
  </si>
  <si>
    <t>Servicios financieros y servicios conexos, servicios inmobiliarios y servicios de leasing</t>
  </si>
  <si>
    <t>Servicios para la comunidad, sociales y personales</t>
  </si>
  <si>
    <t>Servicios para la comunidad sociales y personales</t>
  </si>
  <si>
    <t xml:space="preserve">Servicios prestados a las empresas y servicios de producción </t>
  </si>
  <si>
    <t>Servicios prestados a las empresas y servicios de producción</t>
  </si>
  <si>
    <t>Total general</t>
  </si>
  <si>
    <t>Total (mar-10-2021)</t>
  </si>
  <si>
    <t>Año 2 - ppto prog.pptal ajuste
(10-mar-2021)</t>
  </si>
  <si>
    <t>Indicadores Plan de Desarollo / Programación Indicadores 2020-2024</t>
  </si>
  <si>
    <t>Año 1</t>
  </si>
  <si>
    <t>Año 2</t>
  </si>
  <si>
    <t>Total 2020-2024</t>
  </si>
  <si>
    <t>ene</t>
  </si>
  <si>
    <t>feb</t>
  </si>
  <si>
    <t>mar</t>
  </si>
  <si>
    <t>abril</t>
  </si>
  <si>
    <t>mayo</t>
  </si>
  <si>
    <t>junio</t>
  </si>
  <si>
    <t>julio</t>
  </si>
  <si>
    <t>agosto</t>
  </si>
  <si>
    <t>septiembre</t>
  </si>
  <si>
    <t>octubre</t>
  </si>
  <si>
    <t>noviembre</t>
  </si>
  <si>
    <t>diciembre</t>
  </si>
  <si>
    <t>TOTAL AVANCE</t>
  </si>
  <si>
    <t>1 documento</t>
  </si>
  <si>
    <t>Ind. 55 Porcentaje de avance en la definición técnica y coordinación para la implementación del sistema distrital de cuidado</t>
  </si>
  <si>
    <t>Meta 1</t>
  </si>
  <si>
    <t>13 entidades</t>
  </si>
  <si>
    <t>Meta 2</t>
  </si>
  <si>
    <t>PDD</t>
  </si>
  <si>
    <t>1 estrategia</t>
  </si>
  <si>
    <t>Ind. 58 Estrategias de manzanas del cuidado y unidades móviles de servicios del cuidado implementadas</t>
  </si>
  <si>
    <t>Meta 3</t>
  </si>
  <si>
    <t>Meta 7</t>
  </si>
  <si>
    <t>Meta 4</t>
  </si>
  <si>
    <t>Ind.54 Estrategia pedagógica para la valoración, la resignificación, el reconocimiento y la redistribución del trabajo de cuidado no remunerado implementada</t>
  </si>
  <si>
    <t>Meta 5</t>
  </si>
  <si>
    <t>Meta 6</t>
  </si>
  <si>
    <t>metas 5 y 6</t>
  </si>
  <si>
    <t>ene mar</t>
  </si>
  <si>
    <t>abril a junio</t>
  </si>
  <si>
    <t>julio a septiembre</t>
  </si>
  <si>
    <t>octubre a noviembre</t>
  </si>
  <si>
    <t>metas 3 4 y 7</t>
  </si>
  <si>
    <t>Año 2 - ppto prog.pptal ajuste</t>
  </si>
  <si>
    <t>PONDERACIÓN POR PRESUPUESTO</t>
  </si>
  <si>
    <t>AÑO 2 - CORREO SORJUELA OAP 21-DIC-2020</t>
  </si>
  <si>
    <t>Diseñar 1 documento de lineamientos técnicos para la formulación de las bases del Sistema Distrital de Cuidado</t>
  </si>
  <si>
    <t>Coordinar y articular las instancias y entidades del nivel distrital para la mplementación del Sistema Distrital de Cuidado. (Objetivo 1) (Indicador 2. Meta PDD)</t>
  </si>
  <si>
    <t>Coordinar y articular 12 entidades del nivel distrital para la implementación del Sistema Distrital de Cuidado</t>
  </si>
  <si>
    <t>Gestionar 1 estrategia para la adecuación de infraestructura de manzanas de cuidado</t>
  </si>
  <si>
    <t>Diseñar e implementar 1 estrategia de cuidado a cuidadoras</t>
  </si>
  <si>
    <t>Diseñar 1 documento para la implementación de la estrategia pedagógica para la valoración, la resignificación, el reconocimiento y la redistribución del trabajo de cuidado no remunerado que realizan las mujeres en Bogotá.</t>
  </si>
  <si>
    <t>sA</t>
  </si>
  <si>
    <t>Implementar 1 estrategia para el reconocimiento y la redistribución del trabajo de cuidado no remunerado entre hombres y mujeres.</t>
  </si>
  <si>
    <t>Gestionar la implementación de 1 estrategia unidades móviles</t>
  </si>
  <si>
    <t>Total SIDICU</t>
  </si>
  <si>
    <t>PROGRAMACIÓN INICIAL PROYECTO DE INVERSIÓN</t>
  </si>
  <si>
    <t>Código de concepto</t>
  </si>
  <si>
    <t>Componente del gasto</t>
  </si>
  <si>
    <t xml:space="preserve">Año 1 </t>
  </si>
  <si>
    <t>Personal contratado para apoyar las actividades propias de los proyectos de inversión de la entidad</t>
  </si>
  <si>
    <t>Mantenimiento, mejoramiento y reparaciones</t>
  </si>
  <si>
    <t>Fortalecimiento de canales de comunicación entre la administración y la ciudadanía</t>
  </si>
  <si>
    <t>Otros gastos operativos</t>
  </si>
  <si>
    <t>Alquiler de vehículos para apoyar el desarrollo de las actividades misionales de la Entidad</t>
  </si>
  <si>
    <t>Tipo de anualización:</t>
  </si>
  <si>
    <t>Metas con Anualización Decreciente:</t>
  </si>
  <si>
    <t>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t>
  </si>
  <si>
    <t>Metas con Anualización Creciente:</t>
  </si>
  <si>
    <t>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t>
  </si>
  <si>
    <t>Metas con anualizacón constante:</t>
  </si>
  <si>
    <t xml:space="preserve">El valor programado para cada año es el mismo, y debe ser igual a la cantidad programada para la meta del proyecto y los años no se suman para obtener la cantidad total de la meta. </t>
  </si>
  <si>
    <t>La magnitud total esperada debe ser programada por lo menos dos años consecutivos. Para el primer año del plan, la anualización de la magnitud puede ser inferior a la de la programación, atendiendo que no se programa la totalidad de la vigencia, sino solo un semestre.</t>
  </si>
  <si>
    <t>Metas con Anualización Suma:</t>
  </si>
  <si>
    <t>La sumatoria de la anualización debe ser igual a la cantidad programada para la meta del proyecto</t>
  </si>
  <si>
    <t>% META 2021</t>
  </si>
  <si>
    <t>DISEÑAR 1 DOCUMENTO DE LINEAMIENTOS TÉCNICOS PARA LA FORMULACIÓN DE LAS BASES DEL SISTEMA DISTRITAL DE CUIDADO</t>
  </si>
  <si>
    <t>UNIDADES MOVILES</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</si>
  <si>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</si>
  <si>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</si>
  <si>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avance a marzo</t>
  </si>
  <si>
    <t>Cualitativo marzo:</t>
  </si>
  <si>
    <t>Comisión: entidades ancla manzanas del cuidado a implementar en 2021. Implementar en 2021 manzana de Suba. Aprobación Reglamento Interno de la Comisión. UTA: articulación entidades para servicios en dupla. Fecha manzana Usme 28 de abril. Creación subcomisión UTA para estrategia cambio cultural.</t>
  </si>
  <si>
    <t>Cualitativo mayo:</t>
  </si>
  <si>
    <t xml:space="preserve">Sesión ordinaria de la UTA el 21/05: (i) Inauguración Manzana de Cuidado – Usme, (ii) Revisión Minuto a Minuto Usme; se revisió la ficha técnica de la manzana del cuidado de Usme y el minuto minuto de la inauguración estableciendo lugares y responsables de las actividades para el lanzamiento. </t>
  </si>
  <si>
    <t>Cualitativo junio:</t>
  </si>
  <si>
    <t>Sesiones UTA: 8 de junio (i) Presentación ficha técnica  Manzana del Cuidado Los Mártires; (ii) Presentación resultados encuesta servicios manzana del cuidado Los Mártires; (iii) Presentación socialización con población trans. 25 de junio: (i) Inauguración Manzana del Cuidado Kennedy.</t>
  </si>
  <si>
    <t>Cualitativo julio:</t>
  </si>
  <si>
    <t>Sesión UTA: Definición servicios manzana Kennedy e inauguración manzana. Sesión Comisión Intersectorial: Manzanas fijas y móviles segundo semestre 2021; Socialización Proyecto de Acuerdo reglamentación Sistema Distrital de Cuidado; Aprobación Convenio Interadministrativo para operación del Sistema.</t>
  </si>
  <si>
    <t>Cualitativo agosto:</t>
  </si>
  <si>
    <t>UTA 25/08 Manzanas del Cuidado y unidades móviles II sem 2021; SIDICU en el POT. Compromisos: Realizar visita técnica a Usaquén y enviar definición de servicios para manzana; Realizar visita Liceo Femenino Mercedes Nariño-Rafael Uribe Uribe para explorar posibilidad entidad ancla de la manzana.</t>
  </si>
  <si>
    <t>Cualitativo septiembre:</t>
  </si>
  <si>
    <t>Sesión UTA: 14092021 orden del día: Ficha técnica de la Manzana del Cuidado de la localidad de Usaquén, y Minuto a minuto de la inauguración de la Manzana del Cuidado de la localidad de Usaquén. Sesión mecanismo de participación 24092021: avances e impacto SIDICU; Intervenciones integrantes.</t>
  </si>
  <si>
    <t>Cualitativo octubre:</t>
  </si>
  <si>
    <t>Sesión UTA: 14102021 orden del día: (i) Lanzamiento estrategia de transformación cultural; (ii) Conmemoración primer año de implementación del Sistema Distrital de Cuidado; (iii) Sistema de Información del Sistema Distrital de Cuidado; (iv) Varios</t>
  </si>
  <si>
    <t>Cualitativo noviembre:</t>
  </si>
  <si>
    <t>Comisión intersectorial 22112021 orden del día: (i) Sistema de Información SIDICU – Fase 1; (ii) Implementación Programa Relevos Casa a Casa; (iii) Comunicaciones e imagen del Sistema Distrital de Cuidado; (iv) Convenio Interadministrativo para la operación del Sistema Distrital de Cuidado</t>
  </si>
  <si>
    <r>
      <t>Estrategias de comunicacion diseñadas:</t>
    </r>
    <r>
      <rPr>
        <b/>
        <sz val="11"/>
        <color rgb="FF00B050"/>
        <rFont val="Calibri (Cuerpo)"/>
      </rPr>
      <t xml:space="preserve"> se reporta con el avance acumulado en % de la actividad 4 meta 5.</t>
    </r>
  </si>
  <si>
    <t>Se avanzó en propuesta contenidos comunicativos, en el marco de la alianza con ONU Mujeres. Diseño de guión atención para conmutador SDMujer para redireccionar a los servicios del Sistema. Diseño del brief para construir contenidos digitales para la parrilla de redes sociales de la SDMujer.</t>
  </si>
  <si>
    <t>caulitativo mayo:</t>
  </si>
  <si>
    <t xml:space="preserve">Se realizó reunión de coordinación estratégica para evaluar los componentes del documento macro de la estrategia de comunicaciones del Sistema Distrital de Cuidado, enfocado en los objetivos del Sistema, sus públicos, necesidades y mensajes clave. </t>
  </si>
  <si>
    <t>caulitativo junio:</t>
  </si>
  <si>
    <t>Se realizó documento con la proyección presupuestal del Plan de Medios e Impresos para las comunicaciones del Sistema Distrital de Cuidado en 2022.</t>
  </si>
  <si>
    <t>caulitativo julio:</t>
  </si>
  <si>
    <t>Primer borrador del documento de la Estrategia de Comunicación del Sistema Distrital de Cuidado, incluyendo objetivos, públicos, mensajes clave, líneas rectoras y campañas.</t>
  </si>
  <si>
    <t>Avance documento Estrategia de Comunicaciones del Sistema Distrital de Cuidado con ajustes sobre identificación de: problemas de comunicación, mensajes clave, objetivos de la estrategia de comunicaciones; ajustes técnicos a mensajes clave de estrategias cambio cultural y cuidado a cuidadoras.</t>
  </si>
  <si>
    <t>Taller sobre el Sistema Distrital de Cuidado con Secretarios entidades participantes en el Sistema. Se presentó la estrategia de comunicaciones, avances de  la SDMujer y se expuso los aportes que podrían brindar las entidades.</t>
  </si>
  <si>
    <t>Se inició creación de nueva campaña enfocada en personas que requieren cuidado, en conjunto con Dirección de Enfoque Diferencial de la entidad. Se incluyeron avances de implementación de herramientas de comunicación del Sistema Distrital de Cuidado en la Estrategia de Comunicaciones de la entidad.</t>
  </si>
  <si>
    <t xml:space="preserve">En Comisión Intersectorial del Sistema Distrital de Cuidado el 22 de noviembe, se presentaron los retos en materia del diseño e implementación de estrategia de comunicaciones y se acordó iniciar la gestión para articular las acciones de las entidades del Distrito que conforman el Sistema. </t>
  </si>
  <si>
    <t>Para indicadores de gestión en SPI</t>
  </si>
  <si>
    <t xml:space="preserve">Había de enero 5% de avance y 0,0125.
Si 100 es 0,25, el avance % cuánto es? </t>
  </si>
  <si>
    <t>abril:</t>
  </si>
  <si>
    <t>mayo:</t>
  </si>
  <si>
    <t>junio:</t>
  </si>
  <si>
    <r>
      <t>Estrategias Para Organizar Y Fortalecer La Administracion Publica Realizados:</t>
    </r>
    <r>
      <rPr>
        <b/>
        <sz val="11"/>
        <color rgb="FF00B050"/>
        <rFont val="Calibri (Cuerpo)"/>
      </rPr>
      <t xml:space="preserve"> se reporta con manzanas inauguradas y unidades móviles.Cualitativo con las gestiones.</t>
    </r>
  </si>
  <si>
    <t>manzanas</t>
  </si>
  <si>
    <t>Equivaldría al 0,45, se tendría que actualizar la formulación del indicador-proyecto</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</si>
  <si>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</si>
  <si>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</si>
  <si>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</si>
  <si>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</si>
  <si>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</si>
  <si>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Cualitativo marzo: </t>
  </si>
  <si>
    <t>Inauguración manzana del cuidado San Cristóbal. Unidades móviles: Educación Flexible 49 cuidadoras; Formac Complem 55 cuidadoras; Talleres A cuidar se aprende 1 hombre; Atención psicológica 4 cuidadoras; Arte de Cuidarte 63 niños; Actividad Física 1 persona discapacidad, 11 niños, 49 cuidadoras.</t>
  </si>
  <si>
    <t>Cualitativo abril:</t>
  </si>
  <si>
    <t xml:space="preserve">Se definieron los productos en alianza con ONU Mujeres y trabajo conjunto con Sancho para la implementación y puesta en marcha de la estrategia de comunicación enfocada en cambio cultural y pedagogía. </t>
  </si>
  <si>
    <t>Inauguración manzana del cuidadoUsme. Unidades móviles: se realizaron 1572 atenciones: Rural 604 y Urbana 968. Las atenciones están discriminadas de la siguiente manera: (i) 1449 atenciones a cuidadoras; (ii) 53 personas que requieren cuidado; (iii)  70 ciudadanía en general.</t>
  </si>
  <si>
    <t xml:space="preserve">Inauguración manzana del cuidado Los Mártires. Unidades móviles: 1483 atenciones discriminadas así: cuidadoras 1262; personas que requieren cuidado niñas y niños 108; adultas mayores 7, personas con discapacidad 1 y ciudadanía en general 105. </t>
  </si>
  <si>
    <t>Inauguración manzana del cuidado Kennedys. Unidades móviles: ampliación operación hasta 6 de septiembre. 1.490 atenciones en las unidades móviles discriminadas así: cuidadoras 1.243; personas que requieren cuidado: niñas y niños 89; personas con discapacidad 4 y ciudadanía en general 154.</t>
  </si>
  <si>
    <t>Del 8 de marzo al 8 de agosto se totalizan 6.531 atenciones en las unidades móviles, primer ciclo.</t>
  </si>
  <si>
    <t>Inauguración manzana del cuidado Usaquén. 25.022 atenciones a la fecha en 7 manzanas. Nuevo servicio SDIS en unidades móviles: atención socio-jurídica personas mayores. Al corte 7.679 atenciones en las unidades móviles.</t>
  </si>
  <si>
    <t>Del 8 de marzo al 31 de octubre se han realizado 9.585 atenciones en las unidades móviles.</t>
  </si>
  <si>
    <t>Durante la vigencia se han registrado un total de 48.210 atenciones en las 7 manzanas del cuidado inauguradas; y desde el 8 de marzo al 31 de octubre se cuenta con un total de 11.124 atenciones en las unidades móviles, rural y urbana.</t>
  </si>
  <si>
    <t>Proyecto de inversión "7718 - Implementación del Sistema Distrital de Cuidado"</t>
  </si>
  <si>
    <t>Metas Proyecto inversión</t>
  </si>
  <si>
    <t>Presupuesto 2020</t>
  </si>
  <si>
    <t>Ponderación 2020</t>
  </si>
  <si>
    <t>Programación 2020 SEGPLAN</t>
  </si>
  <si>
    <t xml:space="preserve">META </t>
  </si>
  <si>
    <t>DISEÑAR (1)  DOCUMENTO DE LINEAMIENTOS TÉCNICOS PARA LA FORMULACIÓN DE LAS BASES DEL SISTEMA DISTRITAL DE CUIDADO.</t>
  </si>
  <si>
    <t>COORDINAR Y ARTICULAR (12) ENTIDADES DEL NIVEL DISTRITAL PARA LA IMPLEMENTACIÓN DEL SISTEMA DISTRITAL DE CUIDADO. (OBJETIVO 1)</t>
  </si>
  <si>
    <t>GESTIONAR (1) ESTRATEGIA PARA LA ADECUACIÓN DE INFRAESTRUCTURA DE MANZANAS DE CUIDADO.</t>
  </si>
  <si>
    <t>DISEÑAR E IMPLEMENTAR 1 ESTRATEGIA DE CUIDADO A CUIDADORAS</t>
  </si>
  <si>
    <t>DISEÑAR (1) DOCUMENTO PARA LA IMPLEMENTACIÓN DE LA ESTRATEGIA PEDAGÓGICA PARA LA VALORACIÓN, LA RESIGNIFICACIÓN, EL RECONOCIMIENTO Y LA REDISTRIBUCIÓN DEL TRABAJO DE CUIDADO NO REMUNERADO QUE REALIZAN LAS MUJERES EN BOGOTÁ.</t>
  </si>
  <si>
    <t>IMPLEMENTAR (1) ESTRATEGIA PARA EL RECONOCIMIENTO Y LA REDISTRIBUCIÓN DEL TRABAJO DE CUIDADO NO REMUNERADO ENTRE HOMBRES Y MUJERES.</t>
  </si>
  <si>
    <t>GESTIONAR LA IMPLEMENTACIÓN DE (1) ESTRATEGIA UNIDADES MÓVILES</t>
  </si>
  <si>
    <t>Diseñar documento de lineamientos técnicos para la formulación de las bases del Sistema Distrital de Cuidado. (Objetivo 1)</t>
  </si>
  <si>
    <t>Coordinar y articular las instancias y entidades del nivel distrital para la implementación del Sistema Distrital de Cuidado. (Objetivo 1)</t>
  </si>
  <si>
    <t>Gestionar la adecuación de infraestructura de la estrategia de manzanas de cuidado. (Objetivo 2)</t>
  </si>
  <si>
    <t>Gestionar la implementación de la estrategia unidades móviles.  (Objetivo 2)</t>
  </si>
  <si>
    <t>Desarrollar acciones para la atención a mujeres cuidadoras.  (Objetivo 2)</t>
  </si>
  <si>
    <t>Diseñar documento para la implementación de la estrategia pedagógica para la valoración, la resignificación, el reconocimiento y la redistribución del trabajo de cuidado no remunerado que realizan las mujeres en Bogotá.  (Objetivo 3)</t>
  </si>
  <si>
    <t>Formular acciones para el reconocimiento y la redistribución del trabajo de cuidado no remunerado entre hombres y mujeres.  (Objetivo 3)</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</si>
  <si>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</si>
  <si>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</si>
  <si>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</si>
  <si>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</si>
  <si>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</si>
  <si>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</si>
  <si>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</si>
  <si>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</si>
  <si>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</si>
  <si>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</si>
  <si>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</si>
  <si>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</si>
  <si>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</si>
  <si>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</si>
  <si>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</si>
  <si>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</si>
  <si>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</si>
  <si>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En el marco de la alianza con ONUMujeres, se definió la Estrategia de corresponsabilidad con el sector privado del Sistema Distrital de Cuidado para la cual se elaboró un documento el cual contiene: (i) Marco conceptual; (ii) Estrategia de articulación del sector privado con el Sistema Distrital de Cuidado con las siguientes líneas de acción: 1. Inversión social, 2. Empleabilidad, 3. Emprendimiento, 4. Fortalecimiento de la industria del cuidado, 5. Apoyo en la difusión del Sistema.
Adicionalmente, en trabajo gestionado con la Asociación Colombiana de Empresarios (ANDI) se concretó inauguración del primer centro de lavado comunitario en la manzana de cuidado de Usme, con el aporte de lavadoras por parte de la empresa Whirpool. 
Por otra parte, se definió ruta de empleabilidad de mujeres cuidadoras en alianza con la Secretaría Distrital de Desarrollo Económico y Asociación BPrO en el sector de atención al cliente y se hizo acuerdo de intercambio de información y confidencialidad para compartir bases de datos de cuidadoras a la empresa empleadora.</t>
  </si>
  <si>
    <t>Se realizó reprogramación de la inauguración de la manzana del cuidado de Santa Fe debido a que la entrega de la infraestructura de la entidad ancla se aplazó para el 2022.</t>
  </si>
  <si>
    <t>Desde la asistencia técnica brindada por Bloomberg en la clasificación a segunda ronda de los Global Mayors Challenge, se implementó el prototipo del programa de cuidado Casa a Casa en 20 hogares de la localidad Bosa. Como producto se cuenta con tres informes: dos de investigación (Caracterización de participantes y, Percepciones del programa y cartografía emocional) y uno del sistema de captura de información del proceso, elaborados por el CIDER de la Universidad de Los Andes. 
Por otra parte, el Consorcio Betagroup-Incap continúa con la implementación del Programa de relevos domiciliarios o Cuidado Casa a Casa. En el periodo del 20 de octubre al 9 de diciembre, el Operador ha reportado el agendamiento de 4.896 visitas, y la realización de 2.244 visitas domiciliarias para la consecusión de 1.858 beneficiarias del Programa. Se precisa que, si bien el Operador reportó el listado de 1.858 beneficiarias y realización de su respectivo plan de trabajo, los soportes se encuentran en proceso de documentación física para ser entregada a la SDMujer.
Específicamente en diciembre se desarrollaron 3 comités operativos donde se presentaron los reportes y avances del cumplimiento contractual del programa. En el comité extraordinario del 3 de diciembre el operador solicitó una prórroga al contrato, ya que por situaciones imprevistas no se lograba su ejecución antes del 31 de diciembre, prórroga que se encuentra en estudio por parte de la SDMujer. En esta sesión la Secretaría compartió un informe con situaciones evidenciadas desde el esquema de monitoreo y seguimiento de la entidad, requiriendo al operador dar respuesta a los requerimientos que las ciudadanas han expresado.
Adicionalmente, se realizaron 3 grupos focales con cuidadoras que no tienen posibilidad de acceder a las manzanas del cuidado o a las unidades móviles en las localidades de Bosa, Ciudad Bolívar y Kennedy, con el objetivo de recoger sus percepciones sobre el programa y mejorar su diseño para 2022.</t>
  </si>
  <si>
    <t>Se lideró y operó la Comisión Intersectorial del Sistema Distrital de Cuidado a través de:
-Sesiones de la Comisión Intersectorial del Sistema Distrital de Cuidado el 24/02/2021, 09/07/2021, 22/11/2021 y 21/12/2021.
-Sesiones ordinarias de la Unidad Técnica de Apoyo (UTA) en las siguientes fechas: 28/01/2021, 01/03/2021, 25/03/2021, 27/04/2021, 21/05/2021, 8/06/2021, 25/06/2021, 07/07/2021, 25/08/2021, 14/09/2021, 14/10/2021 y 14/12/2021.
-Sesión extraordinaria de UTA el 4 de marzo del 2021.</t>
  </si>
  <si>
    <t>La operación y coordinación de la Comisión Intersectorial del Sistema Distrital de Cuidado permite definir técnicamente los aspectos relevantes para la puesta en operación de las manzanas del cuidado y las unidades móviles en donde se brindan servicios para las cuidadoras y para las personas que requieren cuidado.
El seguimiento de los servicios brindados en el Sistema Distrital de Cuidado permite a la población objetivo contar con una oferta que responda a sus necesidades y obtener información clara y actualizada.
La puesta en operación del Mecanismo de Partipación y Seguimiento de la Comisión Intersectorial permite a la ciudadania a través de los representantes de los consejos consultivos y distritales de la ciudad, incidir en el Sistema Disitral de Cuidado.</t>
  </si>
  <si>
    <t>Durante la vigencia se identificaron servicios de 8 entidades del Distrito que se implementaron en las manzanas del cuidado de San Cristóbal, Usme, Kennedy, Los Mártires y Usaquén. Las entidades prestadoras de los servicios fueron:
Para cuidadoras: Secretaría Distrital de Educación (SED); Secretaría Distrital de la Mujer (SDMujer); Secretaría Distrital de Desarrollo Económico (SDDE); Secretaría Distrital de Integración Social (SDIS); Secretaría Distrital de Salud (SDS); Instituto Distrital de Recreación y Deporte (IDRD); Instituto Distrital de Protección y Bientestar Animal (IDPYBA), y Secretaría Distrital del Hábitat. 
Para personas que requieren cuidado: Secretaría Distrital de Integración Social (SDIS);  Secretaría Distrital de Salud (SDS); Instituto Distrital de Recreación y Deporte (IDRD), e Instituto Distrital de Protección y Bientestar Animal (IDPYBA).
Para la ciudadanía en general: Secretaría Distrital de la Mujer (SDMujer)  y Secretaría Distrital del Hábitat.</t>
  </si>
  <si>
    <t>Se lideró y operó la Comisión Intersectorial del Sistema Distrital de Cuidado a través de:
-Sesiones de la Comisión Intersectorial del Sistema Distrital de Cuidado el 24/02/2021, 09/07/2021, 22/11/2021 y 21/12/2021.
-Sesiones ordinarias de la Unidad Técnica de Apoyo (UTA) en las siguientes fechas: 28/01/2021, 01/03/2021, 25/03/2021, 27/04/2021, 21/05/2021, 8/06/2021, 25/06/2021, 07/07/2021, 25/08/2021, 14/09/2021, 14/10/2021 y 14/12/2021.
-Sesión extraordinaria de UTA el 4 de marzo del 2021.
Así mismo, se realizó los servicios intersectoriales que se prestaron en las manzanas del cuidado de San Cristóbal, Usme, Los Mártires, Kennedy y Usaquén.
Se promovió la participación ciudadana por medio de la realización de dos sesiones del Mecanismo de participación y seguimiento de la Comisión Intersectorial del Sistema Distital de Cuidado.</t>
  </si>
  <si>
    <t>En el comité extraordinario del 3 de diciembre el operador del prograama de relevos solicitó una prórroga al contrato, ya que por situaciones imprevistas no se lograba su ejecución antes del 31 de diciembre, prórroga que se encuentra en estudio por parte de la SDMujer.</t>
  </si>
  <si>
    <t>El Distrito cuenta con el diseño de una oferta de “cuidado a cuidadoras”, la cual contiene 5 servicios de formación y 9 servicios de respiro para las trabajadoras del cuidado de Bogotá, que les permite mejorar sus condiciones de vida y de bienestar. 
Los cursos de formación complementaria o procesos de certificación de saberes permiten a las mujeres desarrollar habilidades útiles para sus trabajos de cuidado o para el acceso al mercado laboral.
La implementación de los espacios respiro, que incluyen el enfoque étnico diferencial, beneficia a las personas trabajadoras de cuidado con tiempo de descanso, bienestar y autocuidado, acorde a las necesidades de las cuidadoras en general y las mujeres étnicas.
La ejecución del programa de relevos permitirá a las personas cuidadoras reducir el tiempo dedicado al trabajo de cuidado indirecto no remunerado de dentro de su hogar para que puedan acceder a procesos de formación que generen oportunidades para su autonomía y desarrollo personal.</t>
  </si>
  <si>
    <t>Durante la vigencia, se logró la articulación de 13 sectores distritales para fortalecer el diseño de la estrategia de comunicaciones, creándose y consolidándose un grupo de comunicaciones del SIDICU -integrado por los 13 sectores- desde donde se recibieron aportes inicialmente de parte de la Secretaría Distrital de Ambiente. Así mismo, la SDMujer adelantó la creación de una propuesta de nuevo nombre y slogan para la estrategia, con sus respectivas propuestas gráficas para el nuevo nombre y slogan.
Por otra parte, se inició la creación de una campaña enfocada en las personas que requieren cuidado, en conjunto con la Dirección de Enfoque Diferencial de la entidad, tema que se retomará en la vigencia 2022, y se incluyeron los avances de comunicaciones del Sistema en el seguimiento a la Estrategia de Comunicaciones de la SDMujer.
Adicionalmente, en el marco de la ejecución del convenio 819 de 2021 entre la SDMujer y ONUMujeres, la agencia SANCHO BBDO presentó una campaña sobre Corresponsabilidad y cuidado la cual se encuentra en ajustes de acuerdo con la retroalimentación brindada entre ONUMujeres y la SDMujer, para su implementación en 2022.
También se realizó un Hackaton (espacio creativo), en el que participaron expertos de La Silla Vacía y de la SDMujer, con el objetivo de identificar problemas de comunicación del SIDICU en términos de posicionamiento y divulgación, y consolidar propuestas para el diseño de la estrategia referentes a de tareas de comunicación, mensajes claves, tácticas en terreno, comunicación masiva y comunitaria. A partir de los resultados, en 2022 se seguirá avanzando en la consolidación de la estrategia.
Finalmente, con los insumos anteriores se avanzó en la elaboración del documento de la estrategia el cual contiene: i) Introducción, ii) Problemas y objetivos de comunicación, iii) Conceptos clave, iv) Audiencias, v) Campañas, vi) Tácticas, vii) Acciones Distritales.</t>
  </si>
  <si>
    <t>Se logró actualizar el documento de la Estrategia pedagógia y de cambio cultural, el cual fue diagramado por el equipo de comunicaciones de la entidad y publicado en la página web del Sistema Distrital de Cuidado.
Referente al diseño de los componentes de la estrategia se logró:
Sensibilización: diseño de los talleres de cambio cultural "A cuidar se aprende" y "Cuidamos a las que nos cuidan", para trabajar con mujeres negras, afrodescendientes, raizales, palenqueras, e indígenas; hombres y mujeres trans; adolescentes y hombres mayores; hombres rurales; hombres negros y afrocolombianos. Encuestas ex-ante y ex-post para medir cambios en las percepciones de los participantes de los talleres. Libreta pedagógica para mujeres que asisten a los talleres "Cuidamos a las que nos cuidan", incluida versión con enfoque indígena y otra con enfoque afro.
Amplificación: elaboración de brochure de la estrategia pedagógica y de cambio cultural, oferta de talleres para compartir con posibles aliados y aliadas y de la Red de Alianzas del Cuidado. Kit de comunicación para entregar a los aliados y las aliadas de la Red de Alianzas del Cuidado. Guion para el video promocional de la Red de Alianzas del Cuidado. Certificado de vinculación a la red y acta de compromisos que asume la entidad/organización que se vincula a la red. Repositorio de información sobre el cuidado y la redistribución del trabajo de cuidado alojado en la web del SIDICU.
Formación: versión final de los tres módulos que componen el primer y segundo curso del Ciclo de formación en Cuidado y Conviviencia que se adelanta en articulación con el IDPAC.
Comunicación: se avanzó en la elaboración del documento de la estrategia el cual contiene: i) Introducción, ii) Problemas y objetivos de comunicación, iii) Conceptos clave, iv) Audiencias, v) Campañas, vi) Tácticas, vii) Acciones Distritales.</t>
  </si>
  <si>
    <t>El diseño de documentos y actividades de la estrategia pedagógica y de cambio cultural beneficia a la ciudadanía en tanto que le permite recibir unas actividades con criterios técnicos sólidos y que sean ajustadas a sus realidades. Así, los materiales de los talleres de cambio cultural se han ajustado al enfoque diferencial teniendo en cuenta las realidades diversas de mujeres negras, afro e indígenas. Igualmente, se han apoyado las acciones intersectoriales de tal manera que tengan los criterios técnicos que exije el Sistema Distrital de Cuidado.</t>
  </si>
  <si>
    <t>En el marco de la implementación de la estrategia de comunicaciones del Sistema Distrital de Cuidado, durante la vigencia se realizó el cubrimiento de diversos eventos como:
-Lanzamiento de 5 manzanas del cuidado
-Lanzamiento unidades móviles del cuidado
-Sesiones de la Comisión Intersectorial del Sistema Distrital de Cuidado
 -Visita de embajadores y diplomáticos a la manzana del cuidado de Ciudad Bolívar y a la manzana de Bosa.
-Visita Departamento Nacional de Planeación a la Manzana del Cuidado de Ciudad Bolívar. 
-Visita de Jim Anderson (Bloomberg Philanthropies)
-Conmemoración Distrital del Día Internacional de la Mujer, Día de la Familia, Día Internacional del Trabajo Doméstico
- Conversatorio CLACSO: políticas de cuidados en ciudades latinoamericanas 
-V edición del Premio Antonio Restrepo Barco
-Well - being Cities Award – 2021
-Mayors Challenge Bloomberg - 2021
-Balance de Gestión de la SDMujer
- Lanzamiento Oferta Cuidado a Cuidadoras y Estrategia de Cambio Cultural
Para el cubrimiento de estos eventos así como para la difusión del Sistema Distrital de Cuidado se produjo: 
-Comunicados de prensa
-Redacción e insumos para boletines de prensa
-Parrilla de sinergis distrital
-Parrilla de sostenimiento 
-Narrativa, libreto de presentación, montaje y logística de eventos
-Monitoreo de medios
-Contenido material P.O.P
-Cubrimiento para redes sociales 
-Videos
-Crónicas audiovisuales
-Cuñas radiales
-Pauta digital 
-Menciones en TV 
-Bicivallas
Así mismo, se actualizó la página web del Sistema Distrital de Cuidado con formularios de preinscripción a servicios en manzanas del cuidado y unidades móviles, actualización de landing page con lo referente al Mecanismo de Participación y Seguimiento, y Programa Cuidado Casa a Casa.</t>
  </si>
  <si>
    <t xml:space="preserve">La implementación de talleres de cambio cultural de la SDMujer, de experiencias artísticas con énfasis en masculinidades (IDARTES), de lecturas en voz alta de BibloRed y la Escuela Hombres al Cuidado del IDPAC permite a la ciudadanía acceder a una oferta de espacios donde pueden conocer y reflexionar sobre los trabajos de cuidado y la redistribución de estos en los hogares. Esto permite que las personas aumenten su disposición a transformar las creencias personales en favor de la redistribución y el reconocimiento del cuidado. Asimismo, la vinculación de empresas y universidades a la Red de Alianzas del cuidado permite que los trabajadores y las trabajadores o personas cercanas a estas entidades incentiven la transformación de sus creencias para reconocer y redistribuir estos trabajos. </t>
  </si>
  <si>
    <t>Valor por componente de gasto ajustada (28-dic-2021)</t>
  </si>
  <si>
    <t>Año 2 - ppto prog.pptal ajuste
(28-dic-2021)</t>
  </si>
  <si>
    <t>Para la construcción del Modelo Financiero del Sistema de Cuidado, se costeó la Manzana del Cuidado "prototipo", teniendo como referencia los costos de construcción y/u optimización de equipamientos ancla reportados por los diferentes sectores en el Contenido Programático del Plan de Ordenamiento Territorial. 
Además, se avanzó en la elaboración de la herramienta de costeo del modelo financiero macro en alianza con el PNUD. Para esto se recibió información de las secretarías: Educación, Mujer, Desarrollo Económico, Hábitat, Salud, Cultura, Integración Social; y de las entidades: Instituto Distrital de Recreación y Deportes, Instituto Distrital de Turismo, Instituto Distrital de las Artes, Instituto Distrital de Protección y Bienestar Animal, y Jardín Botánico. La información incluye el costo de recurso humano, materiales, transporte, infraestructura, servicios públicos, entre otros, de los servicios que cada entidad presta en el marco del Sistema Distrital de Cuidado.
Por otra parte, en el marco de la consultoría con la Universidad de los Andes, se cuenta con tres entregables del capítulo de financiación del Modelo Financiero: 
1) Mapeo (identificación) de fuentes de financiación y financiadores "potenciales”
2) Matriz de potenciales mecanismos de financiación y financiadores, y escenarios
3) Potenciales aliados estratégicos.
Teniendo en cuenta los insumos previos, se elaboró el documento preliminar del Modelo Financiero del Sistema Distrital de Cuidado que contiene: objetivo, alcance, introducción, marco normativo, servicios ofertados, costeo estrategias de territorialización, costeo servicios generales, financiamiento.</t>
  </si>
  <si>
    <t>En el marco de la implementación de la estrategia pedagógica y de cambio cultural, se llevaron a cabo en la vigencia un total de 438 talleres de cambio cultural con un total de 5.123 personas vinculadas.
Así mismo se implementó la estrategia de comunicaciones con el cubrimiento de eventos y la elaboración y gestión de contenidos del Sistema Distrital de Cuidado como parrilla de contenido para redes sociales de la SDMujer, producción de piezas gráficas y de videos, comunicados de prensa, montaje de eventos, entre otros.
En el marco de la Red de Alianzas de Cuidado, se llevaron a cabo talleres de cambio cultural en las Universidades: Nacional de Colombia, de la Salle, Distrital, y los Andes; en empresas como General Motors, ETB, Grupo Bolívar, y CREG.
Adicionalmente, se realizó seguimiento a la implementación de acciones intersectoriales de cambio cultural por parte de IDARTES con una participación de 275 personas, Biblored con una participación de 858 personas e IDPAC con 214 personas participantes de las acciones pedagógicas de la Escuela Hombres al Cuidado.</t>
  </si>
  <si>
    <t>En el marco del diseño de la estrategia pedagógica, durante la vigencia:
Se logró actualizar el documento de la Estrategia pedagógia y de cambio cultural, el cual fue diagramado por el equipo de comunicaciones de la entidad y publicado en la página web del Sistema Distrital de Cuidado.
Referente al diseño de los componentes de la estrategia se logró:
Sensibilización: diseño de los talleres de cambio cultural "A cuidar se aprende" y "Cuidamos a las que nos cuidan", para trabajar con mujeres negras, afrodescendientes, raizales, palenqueras, e indígenas; hombres y mujeres trans; adolescentes y hombres mayores; hombres rurales; hombres negros y afrocolombianos. Encuestas ex-ante y ex-post para medir cambios en las percepciones de los participantes de los talleres. Libreta pedagógica para mujeres que asisten a los talleres "Cuidamos a las que nos cuidan", incluida versión con enfoque indígena y otra con enfoque afro.
Amplificación: elaboración de brochure de la estrategia pedagógica y de cambio cultural, oferta de talleres para compartir con posibles aliados y aliadas y de la Red de Alianzas del Cuidado. Kit de comunicación para entregar a los aliados y las aliadas de la Red de Alianzas del Cuidado. Guion para el video promocional de la Red de Alianzas del Cuidado. Certificado de vinculación a la red y acta de compromisos que asume la entidad/organización que se vincula a la red. Repositorio de información sobre el cuidado y la redistribución del trabajo de cuidado alojado en la web del SIDICU.
Formación: versión final de los tres módulos que componen el primer y segundo curso del Ciclo de formación en Cuidado y Conviviencia que se adelanta en articulación con el IDPAC.
Comunicación: se avanzó en la elaboración del documento de la estrategia el cual contiene: i) Introducción, ii) Problemas y objetivos de comunicación, iii) Conceptos clave, iv) Audiencias, v) Campañas, vi) Tácticas, vii) Acciones Distritales.
En lo que refiere a la implementación de la estrategia pedagógica:
Se llevaron a cabo en la vigencia un total de 438 talleres de cambio cultural con un total de 5.123 personas vinculadas.
Así mismo se implementó la estrategia de comunicaciones con el cubrimiento de eventos y la elaboración y gestión de contenidos del Sistema Distrital de Cuidado como parrilla de contenido para redes sociales de la SDMujer, producción de piezas gráficas y de videos, comunicados de prensa, montaje de eventos, entre otros.
En el marco de la Red de Alianzas de Cuidado, se llevaron a cabo talleres de cambio cultural en las Universidades: Nacional de Colombia, de la Salle, Distrital, y los Andes; en empresas como General Motors, ETB, Grupo Bolívar, y CREG.</t>
  </si>
  <si>
    <t>En el marco del diseño del documento de lineamientos técnicos en la vigencia 2021 se cuenta con:
-Documento que contiene la Estrategia de corresponsabilidad con el sector privado, producto de la consultoría con ONUMujeres.
-Informe de la investigación para el diagnóstico del cuidado comunitario realizada por el Observatorio de Mujeres y Equidad de Género (OMEG) de la SDMujer.
-Suscripción del Convenio Interadministrativo para la articulación de servicios intersectoriales en el marco del Sistema Distrital de Cuidado.
-Documento que contiene el Modelo operativo del Sistema Distrital de Cuidado.
-Herramienta para registrar la información sobre operación de los servicios de todos los sectores en las manzanas y unidades móviles
-Documento que contienen el Modelo financiero del Sistema Distrital de Cuidado.</t>
  </si>
  <si>
    <t>En lo que refiere al diseño de las bases técnicas del Sistema Distrital de Cuidado, se trabajó en la definición de la estrategia de corresponsabilidad del Sistema Distrital de Cuidado con el sector privado y con el sector comunitario. Además, en el diseño de 4 modelos: (i) Modelo jurídico, (ii) Modelo operativo, (iii) Modelo financiero, y (iv) Modelo de seguimiento y monitoreo para el Sistema Distrital de Cuidado.
-Estrategia de corresponsabilidad con el sector privado: se cuenta documento que contiene la Estrategia de corresponsabilidad con el sector privado, producto de la consultoría con ONUMujeres.
-Estrategia de corresponsabilidad con el sector comunitario: se cuenta con informe de la investigación para el diagnóstico del cuidado comunitario realizada por el Observatorio de Mujeres y Equidad de Género (OMEG) de la SDMujer.
-Modelo jurídico: se suscribió el Convenio Marco Interadministrativo que tiene como objeto: "Aunar esfuerzos administrativos para la articulación de servicios intersectoriales en el marco del Sistema Distrital de Cuidado que garantice la prestación efectiva, oportuna, eficiente y eficaz de los servicios", por parte de quince (15) entidades que participan en la implementación del Sistema Distrital de Cuidado.
-Modelo operativo: se cuenta con manuales operativos de las manzanas del cuidado y de las unidades móviles, y documento del Modelo operativo del Sistema Distrital de Cuidado.
-Modelo financiero: se cuenta con documento preliminar del modelo financiero del Sistema que contiene: objetivo, alcance, introducción, marco normativo, servicios ofertados, costeo estrategias de territorialización, costeo servicios generales, financiamiento.
-Modelo de seguimiento: se cuenta con herramienta para registrar la información sobre operación de los servicios de todos los sectores en las manzanas y unidades móviles. Se definió que la Dirección de Gestión de Conocimiento de la SDMujer se encargará de la licitación para el diseño del sistema de información del SIDICU que comprenderá el Modelo de Seguimiento y Monitoreo. 
Respecto a la coordinación para la implementación del Sistema Distrital de Cuidado, se ha liderado y operado la Comisión Intersectorial del Sistema a través de:
Se lideró y operó la Comisión Intersectorial del Sistema Distrital de Cuidado a través de:
-Sesiones de la Comisión Intersectorial del Sistema Distrital de Cuidado el 24/02/2021, 09/07/2021, 22/11/2021 y 21/12/2021.
-Sesiones ordinarias de la Unidad Técnica de Apoyo (UTA) en las siguientes fechas: 28/01/2021, 01/03/2021, 25/03/2021, 27/04/2021, 21/05/2021, 8/06/2021, 25/06/2021, 07/07/2021, 25/08/2021, 14/09/2021, 14/10/2021 y 14/12/2021.
-Sesión extraordinaria de UTA el 4 de marzo del 2021.
Así mismo, se realizó los servicios intersectoriales que se prestaron en las manzanas del cuidado de San Cristóbal, Usme, Los Mártires, Kennedy y Usaquén.
Se promovió la participación ciudadana por medio de la realización de dos sesiones del Mecanismo de participación y seguimiento de la Comisión Intersectorial del Sistema Distital de Cuidado.</t>
  </si>
  <si>
    <t xml:space="preserve">Durante la vigencia:
-Se realizaron talleres de cambio cultural en las Universidades: Nacional de Colombia, de la Salle, Distrital, y los Andes; en empresas como General Motors, ETB, Grupo Bolívar, y CREG, en el marco de la Red de Alianzas del Cuidado.
-Se realizó un podcast con CAMACOES en donde se habla sobre el reconocimiento y la redistribución del trabajo de cuidado, y la responsabilidad del sector privado.
-Se llevó a cabo un webinar con CAMACOES denominado “#ACuidarSeAprende en Clave Empresarial”.
-Se firmó el certificado de vinculación a la Red de Alianzas del Cuidado por parte de ACOPI y la Universidad de los Andes.
-Se entregó el kit de comunicación de la RAC a Universidad Nacional de Colombia, Universidad de la Salle, Universidad de los Andes, CAMACOES, ACOPI y CREG.
</t>
  </si>
  <si>
    <t>En la vigencia se realizó seguimiento a la implementación de las acciones intersectoriales en el marco de la Estrategia pedagógica de cambio cultural del Sistema Distrital de Cuidado con los siguientes resultados:
Componente de sensibilización
1. IDARTES: se realizaron experiencias artísticas con énfasis en masculinidades con una participación de 275 personas.
2. BibloRed: se realizaron actividades de lectura en voz alta con contenidos sobre la redistribución o el cuestionamiento de los roles tradicionales de género con una participación de 858 personas.
3. SDIS: se realizaron talleres de masculinidades corresponsables no violentas con 3.083 participantes.
Componente de formación
Se contó con 214 personas participantes de las acciones pedagógicas de la Escuela Hombres al Cuidado.</t>
  </si>
  <si>
    <t>Durante la vigencia se logró la puesta en operación 2 Unidades Móviles de Servicios de Cuidado, las cuales fueron inauguradas el 8 de marzo del 2021 gracias a una donación de la Open Society Foundation. Las unidades móviles son la estrategia itinerante del Sistema que llega a lugares de difícil acceso de la ciudadanía, priorizando la zona rural.
En el primer ciclo de 5 meses se llegó a las siguientes zonas de operación: i) Unidad móvil rural: Usme – vereda Olarte, Ciudad Bolívar – vereda Quiba Baja, Sumapaz – vereda San Juan; ii) Unidad móvil urbana: Rafael Uribe Uribe – Marruecos, Suba – Compartir, Engativá – Álamos. Para el segundo ciclo de operación que inició en el mes de agosto, se llegó a las siguientes zonas: i) Unidad móvil rural: Suba – Vereda Chorrillos, Ciudad Bolivar – Vereda Pasquilla, Sumapaz Vereda San Juan, finalizando la prestación de los servicios el día 23 de diciembre;  ii) Unidad móvil urbana: Suba – El Rincón, Usme – Gran Yomasa, Engativá – Álamos, finalizando la prestación de los servicios el día 24 de diciembre.
En las Unidades Móviles las personas lograron acceder a los siguientes servicios: 
·Para las cuidadoras: Formación: Educación Flexible para la nivelación de la educación básica secundaria, formación complementaria para el desarrollo de capacidades. Respiro: actividad física, atención psicológica y jurídica y servicio de promoción y prevención en salud. 
·Para las personas que requieren cuidado: actividad física y actividades lúdicas y de recreación para niños y niñas menores de 5 años.</t>
  </si>
  <si>
    <t>Durante la vigencia se logró implementar un total de 438 talleres de cambio cultural, vintulando a 5.123 personas así: 3.605 mujeres, 1.509 hombres, 3 personas intersexuales, y 6 personas NS/NR.
A continuación, se desagrega la aplicación de estos talleres por localidad:
- Antonio Nariño: 8 talleres con 58 personas: 12 hombres y 46 mujeres
- Bosa: 70 talleres con 676 personas: 257 hombres y 419 mujeres
- Chapinero: 9 talleres con 101 personas: 36 hombres y 65 mujeres
- Ciudad Bolívar: 29 talleres con 247 personas: 66 hombres, 180 mujeres y 1 intersexual
- Distrital: 33 talleres con 322 personas: 98 hombres y 224 mujeres
- Engativá: 20 talleres con 205 personas: 51 hombres y 154 mujeres
- Fontibón: 16 talleres con 173 personas: 23 hombres y 150 mujeres
- Kennedy: 23 talleres con 357 personas: 58 hombres y 299 mujeres
- La Candelaria: 18 talleres con 312 personas: 216 hombres y 96 mujeres
- Los Mártires: 15 talleres con 196 personas: 43 hombres, 152 mujeres y 1 persona NS/NR
- Puente Aranda: 18 talleres con 197 personas: 95 hombres y 102 mujeres
- Rafael Uribe Uribe: 20 talleres con 243 personas: 53 hombres y 190 mujeres
- San Cristóbal: 21 talleres con 282 personas: 69 hombres, 211 mujeres y 2 personas NS/NR
- Santa Fe: 28 talleres con 369 personas: 101 hombres, 267 mujeres y 1 persona NS/NR
- Suba: 45 talleres con 557 personas: 112 hombres y 445 mujeres
- Sumapaz: 7 talleres con 123 personas: 27 hombres y 96 mujeres
- Teusaquillo: 9 talleres con 75 personas: 41 hombres, 32 mujeres y 2 personas NS/NR
- Tunjuelito: 12 talleres con 108 personas: 44 hombres y 64 mujeres
- Usaquén: 18 talleres con 266 personas: 68 hombres y 198 mujeres
- Usme: 19 talleres con 256 personas: 39 hombres, 215 mujeres y 2 intersexuales</t>
  </si>
  <si>
    <t>Avance a diciembre</t>
  </si>
  <si>
    <t>Definición de estrategia de corresponsabilidad con el sector privado. Diagnóstico cualitativo de cuidado comunitario en 8 manzanas. Suscripción Convenio Interadministrativo para articulación de servicios intersectoriales en el marco del Sistema Distrital de Cuidado.</t>
  </si>
  <si>
    <t>Sesión Comisión Intersectorial del Sistema Distrital de Cuidado-SIDICU el 14-12-2021 con la agenda: (i) Sistema de Información Sistema Distrital de Cuidado; (ii) Comunicaciones del Sistema Distrital de Cuidado; (iii) Plan 2022; (iv)Varios.</t>
  </si>
  <si>
    <t>Definición de estrategia de corresponsabilidad con el sector privado. Diagnóstico cualitativo de cuidado comunitario en 8 manzanas. Sesión Comisión Intersectorial del Sistema Distrital de Cuidado-SIDICU el 14-12-2021.</t>
  </si>
  <si>
    <t>Finalizó formación a cuidadoras y gestión de atenciones en espacios respiro. Se continúa ejecución del programa de relevos con relevos de labores domésticas y acompañamientos a la formación.</t>
  </si>
  <si>
    <t>Se diseñó metodología del taller "A cuidar se aprende" dirigidas a hombres negros y afrocolombianos.  Actualización, diagramación y publicación en la página web del Sistema Distrital de Cuidado, del documento de la Estrategia pedagógia y de cambio cultural.</t>
  </si>
  <si>
    <t>16 talleres de cambio cultural con 182 personas. Entrega del kit de comunicaciones de la Red de Alianas del Cuidado a la CREG. Seguimiento a  acciones intersectoriales de sensibilización y formación en redistribución del cuidado.</t>
  </si>
  <si>
    <t>Actualización, diagramación y publicación en la página web del Sistema Distrital de Cuidado, del documento de la Estrategia pedagógia y de cambio cultural.. 438 talleres de cambio cultural con un total de 5.123 personas vinculadas.</t>
  </si>
  <si>
    <t>En 2021, se realizó la caracterización de 6.005 mujeres registradas en el SIMISIONAL, inscritas en las manzanas del cuidado a cursos de formación complementaria (Cursos SENA, UNAL) y a procesos de certificación de saberes en alianza con el SENA, identificandose que un 21% son jóvenes de 14 a 28 años, 64% son adultas de 29 a 59 años, 11% son mayores de 60 años y 4% NS/NR.
En cuanto al estado civil, 48% son solteras, 24% viven en unión marital de hecho, 19% son casadas, 6% divorciadas y 3% viudas.
El 15% de las inscritas pertenece al estrato 1, el 53% al estrato 2, 31% al estrato 3, 1% al estrato 4 y el 0,001% al estrato 6.
El 70% de las inscritas no son jefes de familia y el 30% si lo son.
Un 1,3% de ellas, es decir, 79 personas, se autoreconocen como afrocolombiano/afrodescendiente, 0,7%, es decir, 45 personas, se autorreconocen como indígenas, 2 personas como palenqueros, 3 como raizales y 1 como Rrom.
El 89.3% de las inscritas cuenta con una tablet, computador o smartphone desde el cual pueden acceder a internet, al igual que con acceso a internet en su casa y un 10,5% no tiene ninguno de los dos.
En lo que respecta al nivel de escolaridad, 44% cursaron la secundaria completa, 17% cuentan con un nivel técnico completo, 12% con secundaria incompleta, 8% con universidad completa, 6% con primaria completa, 4% con nivel tecnológico completo, 3% con universidad incompleta, 2% con técnica completa, 2% con primaria incompleta, 0,7% con posgrado incompleto, 0,5% con nivel tecnológico incompleto, 0,1% con posgrado incompleto, 0,1% sin escolaridad y 0,8% NS/NR.
El 100% de las participantes se autorreconocen como mujeres, 95% heterosexuales y 0,81% pertenecen a la comunidad LBTIQ.</t>
  </si>
  <si>
    <t>Durante la vigencia se logró un total de 58.200 atenciones en las 7 manzanas del cuidado en operación así:
1. Bosa: 16.682 (cuidadoras 12.017, personas que requieren cuidado: niños niñas 2.523, adultos y adultas mayores 768, personas con discapacidad 717; y ciudadanía en general 657)
2. Ciudad Bolívar: 11.309 (cuidadoras 7.068 personas que requieren cuidado: niños niñas 1.414, adultas/os mayores 1.675, personas con discapacidad 732; y ciudadanía en general: 420)
3. San Cristóbal: 7.159 atenciones (cuidadoras 5.146, personas que requieren cuidado: niños niñas 1.395, adultas/os mayores 110, personas con discapacidad 382; y ciudadanía en general 126)
4. Usme: 7.845 atenciones (cuidadoras 7.080, personas que requieren cuidado: niños niñas 501, adultas/os mayores 264)
5. Mártires: 3.843 atenciones (cuidadoras 2.800, personas que requieren cuidado: niños niñas 791, adultas/os mayores 125; y ciudadanía en general 127)
6. Kennedy: 7.039 atenciones (cuidadoras 6.345, personas que requieren cuidado: niños niñas 307, adultas/os mayores 128, personas con discapacidad 209; y ciudadanía en general 50)
7. Usaquén: 4.323 atenciones (cuidadoras 1.115, personas que requieren cuidado: niños niñas 709, adultas/os mayores 2.469; y ciudadanía en general 30).</t>
  </si>
  <si>
    <r>
      <t xml:space="preserve">5 manzanas del cuidado inauguradas. Seguimiento de los servicios ofrecidos en las manzanas de cuidado a través de las mesas locales del SIDICU, contándose con una implementación del 81,1%  en promedio de los servicios pactados. Se cuenta con 58.200 </t>
    </r>
    <r>
      <rPr>
        <sz val="8"/>
        <color rgb="FFFF0000"/>
        <rFont val="Times New Roman"/>
        <family val="1"/>
      </rPr>
      <t xml:space="preserve"> </t>
    </r>
    <r>
      <rPr>
        <sz val="8"/>
        <rFont val="Times New Roman"/>
        <family val="1"/>
      </rPr>
      <t>atenciones en las 7 manzanas de cuidado.</t>
    </r>
  </si>
  <si>
    <t xml:space="preserve">Durante la vigencia se realizaron un total de 21.233 atenciones en espacios respiro en las manzanas del cuidado y unidades móviles, así:
Manzanas del cuidado, 17.366:
IDRD: actividad física 6.444 y escuela de la bici 500
IDARTES: oferta cultural 4
SDIS: actividad física 5.669, actividades recreativas 483 y actividades de respiro 463
SDS: prevención y promoción en salud 2.412 y rehabilitación basada en comunidad y acciones colectivas 420, trabajo social y psicología 87
SDA-Jardín Botánico: naturaleza y cultura 98, avistamiento de aves 44
SDMujer: atención psicojurídica 723, cuidado menstrual 19
Unidades móviles, 3.867:
SDMujer: atención psicojurídica 867
IDRD: actividad física 2.584
SDS: prevención y promoción en salud 416
Específicamente, en 2021 se brindaron las siguientes atenciones en espacios respiro, dirigidas a mujeres cuidadoras pertenecientes a grupos étnicos:
Afro: un total de 113 atenciones, de las cuales 70 en el servicio de natación; 21 atenciones con el servicio de recorrido turístico brindado por el IDT; 15 atenciones con espacio respiro de Kilombo brindado por la Secretaría Distrital de Salud; y 7 atenciones en el espacio de habilidades socioemocionales brindado en articulación con la Dirección de Enfoque Diferencial de la SDMujer
Raizales: 53 atenciones, de las cuales 4 en el servicio de gym nocturno y 38 en el servicio de actividad física brindados por el IDRD; y 11 en el servicio de recorrido turístico brindado por el IDRD.
Indígenas: 16 atenciones en el espacio respiro de avistamiento de fauna en articulación con el IDPYBA y la Secretaría Distrital de Ambiente. </t>
  </si>
  <si>
    <r>
      <t>Producto de la articulación de diferentes acciones intersectoriales durante la vigencia se logró la puesta en marcha de 5 manzanas de cuidado: San Cristóbal, Usme, Los Mártires, Kennedy y Usaquén. 
Adicionalmente, en el marco de las mesas locales del Sistema Distrital de Cuidado se realizó la articulación operativa en territorio de los servicios programados y el seguimiento de los servicios implementados en las 7 manzanas del cuidado en operación (Ciudad Bolívar, Bosa, San Cristóbal, Usme, Los Mártires, Kennedy y Usaquén), contándose al finalizar la vigencia con una implementación promedio del 81.1% de los servicios pactados.
Así mismo, se realizó seguimiento a las atenciones brindadas por las diferentes entidades en el Sistema Distrital de Cuidado, contándose al finalizar la vigencia con un total d</t>
    </r>
    <r>
      <rPr>
        <sz val="10"/>
        <rFont val="Times New Roman"/>
        <family val="1"/>
      </rPr>
      <t xml:space="preserve">e 58.200 </t>
    </r>
    <r>
      <rPr>
        <sz val="10"/>
        <color rgb="FF000000"/>
        <rFont val="Times New Roman"/>
        <family val="1"/>
      </rPr>
      <t>atenciones en las 7 manzanas de cuidado en operación.
Finalmente, se cuenta con la caracterización de 6.005</t>
    </r>
    <r>
      <rPr>
        <sz val="10"/>
        <color rgb="FFFF0000"/>
        <rFont val="Times New Roman"/>
        <family val="1"/>
      </rPr>
      <t xml:space="preserve"> </t>
    </r>
    <r>
      <rPr>
        <sz val="10"/>
        <color rgb="FF000000"/>
        <rFont val="Times New Roman"/>
        <family val="1"/>
      </rPr>
      <t>mujeres inscritas durante la vigencia a cursos de formación complementaria y certificación de saberes, en las manzanas del cuidado.</t>
    </r>
  </si>
  <si>
    <t>Durante la vigencia se lograron 11.981 atenciones en las dos unidades móviles así:
Unidad Móvil Urbana: 8.402 atenciones, distribuidas asi: personas cuidadoras 7.292, niños y niñas 464, personas mayores 85, personas con discapacidad 23, ciudadanía en general 538
Unidad Móvil Rural: 3.579 atenciones, distribuidas asi: personas cuidadoras 2.882, niños y niñas 358, personas mayores 46, ciudadanía en general 289</t>
  </si>
  <si>
    <t>El 8 de marzo del 2021se logró la puesta en operación de 2 Unidades Móviles de Servicios de Cuidado, gracias a la donación realizada por la Open Society Foundation. En el primer ciclo de 5 meses llegó a las siguientes zonas de operación: i) Unidad móvil rural: Usme – vereda Olarte, Ciudad Bolívar – vereda Quiba Baja, Sumapaz – vereda San Juan; ii) Unidad móvil urbana: Rafael Uribe Uribe – Marruecos, Suba – Compartir, Engativá – Álamos. Para el segundo ciclo de operación que inició en el mes de agosto se establecieron las siguientes zonas: i) Unidad móvil rural: Suba – Vereda Chorrillos, Ciudad Bolivar – Vereda Pasquilla, Sumapaz Vereda San Juan. ii) Unidad móvil urbana: Suba – El Rincón, Usme – Gran Yomasa, Engativá – Álamos.
En las Unidades Móviles las personas pueden acceder a los siguientes servicios: 
-Para las cuidadoras: Formación: Educación Flexible para la nivelación de la educación básica secundaria, formación complementaria para el desarrollo de capacidades. Respiro: actividad física, atención psicológica y jurídica y servicio de promoción y prevención en salud. 
-Para las personas que requieren cuidado: actividad física y actividades lúdicas y de recreación para niños y niñas menores de 5 años.
Durante la vigencia se lograron 11.981 atenciones en las dos unidades móviles así:
Unidad Móvil Urbana: 8.402 atenciones
Unidad Móvil Rural: 3.579 atenciones</t>
  </si>
  <si>
    <t>58.200 atenciones en las 7 manzanas de cuidado. Continúa implementación del programa de relevos con relevos de labores domésticas y acompañamientos a la formación. Al corte 11.981 atenciones en las unidades móviles.</t>
  </si>
  <si>
    <t>En la vigencia se logró un total de 11.981 atenciones en las unidades móviles. Unidad Móvil Urbana: 8.402 atenciones, Unidad Móvil Rural: 3.579 atenciones.</t>
  </si>
  <si>
    <t>Cualitativo diciembre:</t>
  </si>
  <si>
    <t>Comisión intersectorial 14122021 orden del día: (i) Sistema de Información Sistema Distrital de Cuidado; (ii) Comunicaciones del Sistema Distrital de Cuidado; (iii)  Plan 2022; (iv)Varios</t>
  </si>
  <si>
    <t>Se realizó Hackaton con expertos de La Silla Vacía y SDMujer, para identificar problemas de comunicación del SIDICU sobre posicionamiento y divulgación, y consolidar propuestas para el diseño de la estrategia sobre tareas de comunicación, mensajes claves, tácticas en terreno, comunicación masiva.</t>
  </si>
  <si>
    <t>Durante la vigencia se han registrado un total de 58.200 atenciones en las 7 manzanas del cuidado en operación; y desde el 8 de marzo al 24 de diciembre se lograron  11.981 atenciones en las unidades móviles, rural y urbana.</t>
  </si>
  <si>
    <t>Durante la vigencia se firmó el convenio DC-012-2021 entre la SDMujer y el SENA bajo el cual se brindaron cursos de formación complementaria y certificación de saberes en el marco del Sistema Distrital de Cuidado en las 20 localidades del Distrito, en las manzanas del cuidado y unidades móviles. 
En el marco de la alianza con el SENA, se ofrecieron:
-148 cursos de formación complementaria en aplicación de herramientas de información y comunicación con intensidad de 40 horas
-1 curso sobre Limpieza en áreas y superficies con intensidad de 40 horas 
-1 curso en Inglés básico
-1 curso de Primeros auxilios a primera infancia, con intensidad de 40 horas
-Desde el proceso de evaluación y certificación de saberes se llevaron a cabo 4 procesos con un total de 296 personas inscritas.
-Adicionalmente, se apoyó la certificación de 4 trabajadoras del cuidado no remunerado que participaron en el prototipo del programa de cuidado Casa a Casa de Bloomberg.
Para el curso diseñado por la Universidad Nacional "Herramientas para cuidadoras en el reconocimiento de su trabajo de cuidado", se logró abrir un total de 54 cursos.
En total durante la vigencia se logró la formación/certificación de 3.680 mujeres: 173 en procesos de certificación de saberes en alianza con el SENA, 752 en el curso de la universidad Nacional, y 2.755 en cursos de formación complementaria en alianza con el SENA.</t>
  </si>
  <si>
    <t>Se actualizó y publicó en la página web del Sistema Distrital de Cuidado, el documento de la Estrategia de Cuidado a Cuidadoras.
Componente formación: se logró la firma del convenio DC-012-2021 entre el SENA y la SDMujer bajo el cual se abrieron un total de 151 cursos de formación complementaria y 4 procesos de certificación de saberes a mujeres cuidadoras en 2 normas de cuidado. 
También se logró la creación de un curso de formación complementaria diseñado con la Universidad Nacional desde el cual se abrieron 54 cursos. 
Componente respiro: se realizó el seguimiento a las acciones intersectoriales del componente respiro de la estrategia contándose con un total de 21.233 atenciones al finalizar la vigencia. 
Se realizó la contratación de 3 personas de los grupos étnicos indígenas y afro que entre otras actividades, gestionaron y dinamizaron los servicios respiro para estas comunidades. Con base en las gestiones realizadas por las referentas, se avanzó en la implementación de los espacios respiro para mujeres cuidadoras afro, raizales, indígenas y gitanas.
Programa de relevos: se cuenta con documento del diseño técnico del programa de Cuidado Casa a Casa realizado por ONU Mujeres. Se finalizó la implementación del prototipo del programa de relevos o Cuidado Casa a Casa y la aplicación final del proyecto en el Global Mayors Challenge, con la asesoría técnica de la consultora de Bloomberg. Adicional, en el periodo del 20 de octubre al 9 de diciembre, el Operador territorial del programa de relevos reportó el agendamiento de 4.896 visitas, y la realización de 2.244 visitas domiciliarias para la consecusión de 1.858 beneficiarias del Programa. Si bien el Operador reportó el listado de 1.858 beneficiarias y realización de su respectivo plan de trabajo, los soportes se encuentran en proceso de documentación física para ser entregada a la SDMujer.</t>
  </si>
  <si>
    <t>Producto de la articulación de diferentes acciones intersectoriales durante la vigencia 2021, se logró la puesta en marcha de 5 manzanas de cuidado: San Cristóbal, Usme, Los Mártires, Kennedy y Usaquén. 
A partir de julio, en el marco de las mesas locales del Sistema Distrital de Cuidado se realizó la articulación operativa en territorio y el seguimiento de los servicios ofrecidos en las manzanas de cuidado, contando al finalizar la vigencia con un promedio de implementación de servicios del 81,1%. 
Así mismo, se realizó seguimiento a las atenciones brindadas por las diferentes entidades en el Sistema Distrital de Cuidado, contándose con un total de 58.200 atenciones en las 7 manzanas de cuidado en operación.
Adicionalmente, se actualizó y publicó en la página web del Sistema Distrital de Cuidado, el documento de la Estrategia de Cuidado a Cuidadoras. Desde el componente de formación se logró la firma del convenio DC-012-2021 entre el SENA y la SDMujer bajo el cual se abrieron un total de 151 cursos de formación complementaria y 4 procesos de certificación de saberes a mujeres cuidadoras en 2 normas de cuidado. También se logró la creación de un curso de formación complementaria diseñado con la Universidad Nacional con 54 cursos abiertos. 
Desde el componente respiro, se realizó el seguimiento a las acciones intersectoriales del componente respiro de la estrategia contándose con un total de 21.233 atenciones al finalizar la vigencia. 
Por otra parte, en lo que refiere al programa de relevos: se cuenta con documento del diseño técnico del programa de Cuidado Casa a Casa realizado por ONU Mujeres. Se finalizó la implementación del prototipo del programa de relevos o Cuidado Casa a Casa y la aplicación final del proyecto en el Global Mayors Challenge, con la asesoría técnica de la consultora de Bloomberg. Adicional, en el periodo del 20 de octubre al 9 de diciembre, el Operador territorial del programa de relevos reportó el agendamiento de 4.896 visitas, y la realización de 2.244 visitas domiciliarias para la consecusión de 1.858 beneficiarias del Programa. Si bien el Operador reportó el listado de 1.858 beneficiarias y realización de su respectivo plan de trabajo, los soportes se encuentran en proceso de documentación física para ser entregada a la SDMujer.
Unidades móviles del cuidado:
El 8 de marzo del 2021se logró la puesta en operación de 2 Unidades Móviles de Servicios de Cuidado, gracias a la donación realizada por la Open Society Foundation. En el primer ciclo de 5 meses llegó a las siguientes zonas de operación: i) Unidad móvil rural: Usme – vereda Olarte, Ciudad Bolívar – vereda Quiba Baja, Sumapaz – vereda San Juan; ii) Unidad móvil urbana: Rafael Uribe Uribe – Marruecos, Suba – Compartir, Engativá – Álamos. 
Para el segundo ciclo de operación que inició en el mes de agosto y hasta diciembre, se establecieron las siguientes zonas: i) Unidad móvil rural: Suba – Vereda Chorrillos, Ciudad Bolivar – Vereda Pasquilla, Sumapaz Vereda San Juan. ii) Unidad móvil urbana: Suba – El Rincón, Usme – Gran Yomasa, Engativá – Álamos.
En las unidades móviles de servicios del cuidado se logró realizar un total de 11.981 atenciones durante la vigencia. Unidad Móvil Urbana: 8.402 atenciones, y Unidad Móvil Rural: 3.579 atenciones.</t>
  </si>
  <si>
    <t>Diseñar 1 Documento De Lineamientos Técnicos Para La Formulación De Las Bases Del Sistema Distrital De Cuidado.</t>
  </si>
  <si>
    <t>Coordinar Y Articular 13 Secretarías Del Nivel Distrital Para La Implementación Del Sistema Distrital De Cuidado</t>
  </si>
  <si>
    <t>Gestionar 1 Estrategia Para La Adecuación De Infraestructura De Manzanas De Cuidado.</t>
  </si>
  <si>
    <t>Diseñar E Implementar 1 Estrategia De Cuidado A Cuidadoras</t>
  </si>
  <si>
    <t>Diseñar 1 Documento Para La Implementación De La Estrategia Pedagógica Para La Valoración, La Resignificación, El Reconocimiento Y La Redistribución Del Trabajo De Cuidado No Remunerado Que Realizan Las Mujeres En Bogotá.</t>
  </si>
  <si>
    <t>Implementar 1 Estrategia Para El Reconocimiento Y La Redistribución Del Trabajo De Cuidado No Remunerado Entre Hombres Y Mujeres.</t>
  </si>
  <si>
    <t>Gestionar La Implementación De 1 Estrategia De Unidades Móviles De Cuidado</t>
  </si>
  <si>
    <t>Meta</t>
  </si>
  <si>
    <t>No. Meta</t>
  </si>
  <si>
    <t>Avance %</t>
  </si>
  <si>
    <t>Formato de Ajuste</t>
  </si>
  <si>
    <t>VIGENCIA</t>
  </si>
  <si>
    <t>RESERVA</t>
  </si>
  <si>
    <t>Ejecución Plan de Acción</t>
  </si>
  <si>
    <t>Ejecución Seguimiento</t>
  </si>
  <si>
    <t>Validación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</si>
</sst>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6" formatCode="&quot;$&quot;\ #,##0;[Red]\-&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0_ ;[Red]\-#,##0\ "/>
    <numFmt numFmtId="173" formatCode="&quot;$&quot;\ #,##0"/>
    <numFmt numFmtId="174" formatCode="0.0%"/>
    <numFmt numFmtId="175" formatCode="[$$-240A]\ #,##0;[Red][$$-240A]\ #,##0"/>
    <numFmt numFmtId="176" formatCode="#,##0;[Red]#,##0"/>
    <numFmt numFmtId="177" formatCode="_-* #,##0.00\ _€_-;\-* #,##0.00\ _€_-;_-* &quot;-&quot;\ _€_-;_-@_-"/>
    <numFmt numFmtId="178" formatCode="0.00000"/>
    <numFmt numFmtId="179" formatCode="0.0000"/>
    <numFmt numFmtId="180" formatCode="0.000"/>
    <numFmt numFmtId="181" formatCode="0.0"/>
    <numFmt numFmtId="182" formatCode="[$$-240A]\ #,##0;\-[$$-240A]\ #,##0"/>
    <numFmt numFmtId="183" formatCode="&quot;$&quot;#,##0"/>
    <numFmt numFmtId="184" formatCode="0.0000000"/>
    <numFmt numFmtId="185" formatCode="0.000000"/>
    <numFmt numFmtId="186" formatCode="[$$-240A]\ #,##0"/>
    <numFmt numFmtId="187" formatCode="#,##0.000"/>
    <numFmt numFmtId="188" formatCode="0.000000000000E+00"/>
    <numFmt numFmtId="189" formatCode="_-[$$-240A]* #,##0.00_-;\-[$$-240A]* #,##0.00_-;_-[$$-240A]* &quot;-&quot;??_-;_-@_-"/>
  </numFmts>
  <fonts count="81">
    <font>
      <sz val="11"/>
      <color theme="1"/>
      <name val="Calibri"/>
      <family val="2"/>
      <scheme val="minor"/>
    </font>
    <font>
      <sz val="12"/>
      <color theme="1"/>
      <name val="Calibri"/>
      <family val="2"/>
      <scheme val="minor"/>
    </font>
    <font>
      <sz val="11"/>
      <color indexed="8"/>
      <name val="Calibri"/>
      <family val="2"/>
    </font>
    <font>
      <sz val="10"/>
      <name val="Arial"/>
      <family val="2"/>
    </font>
    <font>
      <sz val="12"/>
      <name val="Times New Roman"/>
      <family val="1"/>
    </font>
    <font>
      <b/>
      <sz val="12"/>
      <name val="Times New Roman"/>
      <family val="1"/>
    </font>
    <font>
      <b/>
      <sz val="10"/>
      <name val="Times New Roman"/>
      <family val="1"/>
    </font>
    <font>
      <sz val="10"/>
      <name val="Times New Roman"/>
      <family val="1"/>
    </font>
    <font>
      <b/>
      <i/>
      <sz val="10"/>
      <name val="Times New Roman"/>
      <family val="1"/>
    </font>
    <font>
      <sz val="10"/>
      <name val="Arial Narrow"/>
      <family val="2"/>
    </font>
    <font>
      <sz val="10"/>
      <name val="Arial Narrow"/>
      <family val="2"/>
    </font>
    <font>
      <b/>
      <sz val="9"/>
      <name val="Times New Roman"/>
      <family val="1"/>
    </font>
    <font>
      <sz val="8"/>
      <name val="Calibri"/>
      <family val="2"/>
    </font>
    <font>
      <b/>
      <sz val="8"/>
      <name val="Times New Roman"/>
      <family val="1"/>
    </font>
    <font>
      <sz val="8"/>
      <name val="Times New Roman"/>
      <family val="1"/>
    </font>
    <font>
      <sz val="11"/>
      <name val="Times New Roman"/>
      <family val="1"/>
    </font>
    <font>
      <b/>
      <sz val="11"/>
      <name val="Times New Roman"/>
      <family val="1"/>
    </font>
    <font>
      <sz val="14"/>
      <name val="Times New Roman"/>
      <family val="1"/>
    </font>
    <font>
      <b/>
      <sz val="14"/>
      <name val="Times New Roman"/>
      <family val="1"/>
    </font>
    <font>
      <b/>
      <sz val="10"/>
      <color indexed="8"/>
      <name val="Times New Roman"/>
      <family val="1"/>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12"/>
      <color theme="1"/>
      <name val="Calibri"/>
      <family val="2"/>
      <scheme val="minor"/>
    </font>
    <font>
      <sz val="42"/>
      <color theme="0"/>
      <name val="Segoe UI"/>
      <family val="2"/>
    </font>
    <font>
      <sz val="10"/>
      <color theme="1"/>
      <name val="Times New Roman"/>
      <family val="1"/>
    </font>
    <font>
      <b/>
      <sz val="10"/>
      <color theme="0"/>
      <name val="Times New Roman"/>
      <family val="1"/>
    </font>
    <font>
      <sz val="10"/>
      <color rgb="FFFF0000"/>
      <name val="Times New Roman"/>
      <family val="1"/>
    </font>
    <font>
      <sz val="8"/>
      <name val="Calibri"/>
      <family val="2"/>
      <scheme val="minor"/>
    </font>
    <font>
      <b/>
      <sz val="10"/>
      <color theme="1"/>
      <name val="Times New Roman"/>
      <family val="1"/>
    </font>
    <font>
      <sz val="11"/>
      <color theme="1"/>
      <name val="Times New Roman"/>
      <family val="1"/>
    </font>
    <font>
      <b/>
      <sz val="9"/>
      <color theme="1"/>
      <name val="Times New Roman"/>
      <family val="1"/>
    </font>
    <font>
      <b/>
      <sz val="11"/>
      <color theme="1"/>
      <name val="Times New Roman"/>
      <family val="1"/>
    </font>
    <font>
      <b/>
      <sz val="9"/>
      <color rgb="FF000000"/>
      <name val="Tahoma"/>
      <family val="2"/>
    </font>
    <font>
      <sz val="9"/>
      <color rgb="FF000000"/>
      <name val="Tahoma"/>
      <family val="2"/>
    </font>
    <font>
      <sz val="9"/>
      <name val="Times New Roman"/>
      <family val="1"/>
    </font>
    <font>
      <sz val="9"/>
      <color theme="1"/>
      <name val="Calibri"/>
      <family val="2"/>
      <scheme val="minor"/>
    </font>
    <font>
      <sz val="9"/>
      <name val="Calibri"/>
      <family val="2"/>
      <scheme val="minor"/>
    </font>
    <font>
      <sz val="14"/>
      <color rgb="FF333333"/>
      <name val="Arial"/>
      <family val="2"/>
    </font>
    <font>
      <b/>
      <sz val="11"/>
      <color theme="1"/>
      <name val="Calibri"/>
      <family val="2"/>
      <scheme val="minor"/>
    </font>
    <font>
      <b/>
      <sz val="10"/>
      <color rgb="FFFFFFFF"/>
      <name val="Times New Roman"/>
      <family val="1"/>
    </font>
    <font>
      <sz val="10"/>
      <color rgb="FFFFFFFF"/>
      <name val="Times New Roman"/>
      <family val="1"/>
    </font>
    <font>
      <b/>
      <sz val="10"/>
      <color rgb="FF000000"/>
      <name val="Times New Roman"/>
      <family val="1"/>
    </font>
    <font>
      <sz val="10"/>
      <color rgb="FF000000"/>
      <name val="Times New Roman"/>
      <family val="1"/>
    </font>
    <font>
      <b/>
      <sz val="8"/>
      <color rgb="FFFFFFFF"/>
      <name val="Times New Roman"/>
      <family val="1"/>
    </font>
    <font>
      <sz val="8"/>
      <color rgb="FF000000"/>
      <name val="Calibri"/>
      <family val="2"/>
    </font>
    <font>
      <sz val="8"/>
      <color theme="1"/>
      <name val="Times New Roman"/>
      <family val="1"/>
    </font>
    <font>
      <b/>
      <sz val="8"/>
      <color theme="0"/>
      <name val="Times New Roman"/>
      <family val="1"/>
    </font>
    <font>
      <b/>
      <sz val="8"/>
      <color theme="1"/>
      <name val="Calibri"/>
      <family val="2"/>
      <scheme val="minor"/>
    </font>
    <font>
      <sz val="8"/>
      <color theme="1"/>
      <name val="Calibri"/>
      <family val="2"/>
      <scheme val="minor"/>
    </font>
    <font>
      <sz val="10"/>
      <color rgb="FF000000"/>
      <name val="Calibri"/>
      <family val="2"/>
    </font>
    <font>
      <b/>
      <sz val="7"/>
      <name val="Times New Roman"/>
      <family val="1"/>
    </font>
    <font>
      <sz val="7"/>
      <name val="Times New Roman"/>
      <family val="1"/>
    </font>
    <font>
      <sz val="7"/>
      <name val="Calibri"/>
      <family val="2"/>
      <scheme val="minor"/>
    </font>
    <font>
      <b/>
      <sz val="7"/>
      <color theme="1"/>
      <name val="Calibri"/>
      <family val="2"/>
      <scheme val="minor"/>
    </font>
    <font>
      <sz val="7"/>
      <color theme="1"/>
      <name val="Calibri"/>
      <family val="2"/>
      <scheme val="minor"/>
    </font>
    <font>
      <sz val="7"/>
      <name val="Calibri"/>
      <family val="2"/>
    </font>
    <font>
      <b/>
      <sz val="10"/>
      <color theme="6" tint="-0.249977111117893"/>
      <name val="Times New Roman"/>
      <family val="1"/>
    </font>
    <font>
      <b/>
      <sz val="11"/>
      <color rgb="FF00B050"/>
      <name val="Calibri (Cuerpo)"/>
    </font>
    <font>
      <sz val="11"/>
      <color rgb="FF000000"/>
      <name val="Calibri"/>
      <family val="2"/>
      <scheme val="minor"/>
    </font>
    <font>
      <sz val="11"/>
      <color rgb="FFFF0000"/>
      <name val="Times New Roman"/>
      <family val="1"/>
    </font>
    <font>
      <sz val="8"/>
      <color rgb="FF000000"/>
      <name val="Times New Roman"/>
      <family val="1"/>
    </font>
    <font>
      <sz val="14"/>
      <color theme="0"/>
      <name val="Times New Roman"/>
      <family val="1"/>
    </font>
    <font>
      <b/>
      <sz val="14"/>
      <color theme="0"/>
      <name val="Times New Roman"/>
      <family val="1"/>
    </font>
    <font>
      <sz val="11"/>
      <color theme="0"/>
      <name val="Times New Roman"/>
      <family val="1"/>
    </font>
    <font>
      <b/>
      <sz val="8"/>
      <name val="Calibri"/>
      <family val="2"/>
      <scheme val="minor"/>
    </font>
    <font>
      <sz val="10"/>
      <name val="Times New Roman"/>
      <family val="1"/>
      <charset val="1"/>
    </font>
    <font>
      <sz val="11"/>
      <color rgb="FF00B050"/>
      <name val="Calibri"/>
      <family val="2"/>
      <scheme val="minor"/>
    </font>
    <font>
      <sz val="8"/>
      <color rgb="FFFF0000"/>
      <name val="Times New Roman"/>
      <family val="1"/>
    </font>
    <font>
      <sz val="10"/>
      <color theme="1"/>
      <name val="Calibri"/>
      <family val="2"/>
      <scheme val="minor"/>
    </font>
    <font>
      <b/>
      <sz val="9"/>
      <color theme="1"/>
      <name val="Calibri"/>
      <family val="2"/>
      <scheme val="minor"/>
    </font>
    <font>
      <sz val="9"/>
      <color rgb="FFFF0000"/>
      <name val="Calibri"/>
      <family val="2"/>
      <scheme val="minor"/>
    </font>
  </fonts>
  <fills count="3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rgb="FF0070C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bgColor indexed="64"/>
      </patternFill>
    </fill>
    <fill>
      <patternFill patternType="solid">
        <fgColor theme="9" tint="0.79998168889431442"/>
        <bgColor indexed="64"/>
      </patternFill>
    </fill>
    <fill>
      <patternFill patternType="solid">
        <fgColor rgb="FFFFF2CC"/>
        <bgColor indexed="64"/>
      </patternFill>
    </fill>
    <fill>
      <patternFill patternType="solid">
        <fgColor rgb="FF00B050"/>
        <bgColor indexed="64"/>
      </patternFill>
    </fill>
    <fill>
      <patternFill patternType="solid">
        <fgColor rgb="FFFF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79646"/>
        <bgColor rgb="FF000000"/>
      </patternFill>
    </fill>
    <fill>
      <patternFill patternType="solid">
        <fgColor theme="9"/>
        <bgColor indexed="64"/>
      </patternFill>
    </fill>
    <fill>
      <patternFill patternType="solid">
        <fgColor rgb="FFCCCCFF"/>
        <bgColor indexed="64"/>
      </patternFill>
    </fill>
  </fills>
  <borders count="138">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rgb="FF000000"/>
      </left>
      <right style="thin">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medium">
        <color rgb="FF000000"/>
      </left>
      <right style="thin">
        <color rgb="FF000000"/>
      </right>
      <top style="medium">
        <color indexed="64"/>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rgb="FF000000"/>
      </left>
      <right style="medium">
        <color indexed="64"/>
      </right>
      <top style="thin">
        <color rgb="FF000000"/>
      </top>
      <bottom/>
      <diagonal/>
    </border>
    <border>
      <left style="medium">
        <color indexed="64"/>
      </left>
      <right style="medium">
        <color rgb="FF000000"/>
      </right>
      <top style="thin">
        <color rgb="FF000000"/>
      </top>
      <bottom/>
      <diagonal/>
    </border>
    <border>
      <left style="thin">
        <color rgb="FF000000"/>
      </left>
      <right style="medium">
        <color indexed="64"/>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indexed="64"/>
      </left>
      <right style="medium">
        <color rgb="FF000000"/>
      </right>
      <top/>
      <bottom style="medium">
        <color rgb="FF000000"/>
      </bottom>
      <diagonal/>
    </border>
    <border>
      <left style="thin">
        <color indexed="64"/>
      </left>
      <right style="medium">
        <color indexed="64"/>
      </right>
      <top/>
      <bottom style="medium">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thin">
        <color rgb="FF000000"/>
      </bottom>
      <diagonal/>
    </border>
  </borders>
  <cellStyleXfs count="35">
    <xf numFmtId="0" fontId="0" fillId="0" borderId="0"/>
    <xf numFmtId="0" fontId="22" fillId="3" borderId="71" applyNumberFormat="0" applyAlignment="0" applyProtection="0"/>
    <xf numFmtId="49" fontId="24" fillId="0" borderId="0" applyFill="0" applyBorder="0" applyProtection="0">
      <alignment horizontal="left" vertical="center"/>
    </xf>
    <xf numFmtId="0" fontId="25" fillId="4" borderId="72" applyNumberFormat="0" applyFont="0" applyFill="0" applyAlignment="0"/>
    <xf numFmtId="0" fontId="25" fillId="4" borderId="73" applyNumberFormat="0" applyFont="0" applyFill="0" applyAlignment="0"/>
    <xf numFmtId="0" fontId="27" fillId="5" borderId="0" applyNumberFormat="0" applyProtection="0">
      <alignment horizontal="left" wrapText="1" indent="4"/>
    </xf>
    <xf numFmtId="0" fontId="28" fillId="5" borderId="0" applyNumberFormat="0" applyProtection="0">
      <alignment horizontal="left" wrapText="1" indent="4"/>
    </xf>
    <xf numFmtId="0" fontId="26" fillId="6" borderId="0" applyNumberFormat="0" applyBorder="0" applyAlignment="0" applyProtection="0"/>
    <xf numFmtId="16" fontId="29" fillId="0" borderId="0" applyFont="0" applyFill="0" applyBorder="0" applyAlignment="0">
      <alignment horizontal="left"/>
    </xf>
    <xf numFmtId="0" fontId="30" fillId="7" borderId="0" applyNumberFormat="0" applyBorder="0" applyProtection="0">
      <alignment horizontal="center" vertical="center"/>
    </xf>
    <xf numFmtId="167" fontId="22" fillId="0" borderId="0" applyFont="0" applyFill="0" applyBorder="0" applyAlignment="0" applyProtection="0"/>
    <xf numFmtId="41" fontId="22" fillId="0" borderId="0" applyFont="0" applyFill="0" applyBorder="0" applyAlignment="0" applyProtection="0"/>
    <xf numFmtId="169" fontId="9" fillId="0" borderId="0" applyFont="0" applyFill="0" applyBorder="0" applyAlignment="0" applyProtection="0"/>
    <xf numFmtId="168" fontId="22" fillId="0" borderId="0" applyFont="0" applyFill="0" applyBorder="0" applyAlignment="0" applyProtection="0"/>
    <xf numFmtId="166" fontId="22" fillId="0" borderId="0" applyFont="0" applyFill="0" applyBorder="0" applyAlignment="0" applyProtection="0"/>
    <xf numFmtId="164" fontId="22" fillId="0" borderId="0" applyFont="0" applyFill="0" applyBorder="0" applyAlignment="0" applyProtection="0"/>
    <xf numFmtId="171" fontId="3" fillId="0" borderId="0" applyFont="0" applyFill="0" applyBorder="0" applyAlignment="0" applyProtection="0"/>
    <xf numFmtId="170" fontId="22" fillId="0" borderId="0" applyFont="0" applyFill="0" applyBorder="0" applyAlignment="0" applyProtection="0"/>
    <xf numFmtId="164" fontId="2" fillId="0" borderId="0" applyFont="0" applyFill="0" applyBorder="0" applyAlignment="0" applyProtection="0"/>
    <xf numFmtId="165" fontId="25" fillId="0" borderId="0" applyFont="0" applyFill="0" applyBorder="0" applyAlignment="0" applyProtection="0"/>
    <xf numFmtId="0" fontId="31" fillId="8" borderId="0" applyNumberFormat="0" applyBorder="0" applyAlignment="0" applyProtection="0"/>
    <xf numFmtId="0" fontId="3" fillId="0" borderId="0"/>
    <xf numFmtId="0" fontId="3" fillId="0" borderId="0"/>
    <xf numFmtId="0" fontId="25" fillId="0" borderId="0"/>
    <xf numFmtId="0" fontId="32" fillId="0" borderId="0"/>
    <xf numFmtId="0" fontId="10" fillId="0" borderId="0"/>
    <xf numFmtId="0" fontId="9" fillId="0" borderId="0"/>
    <xf numFmtId="0" fontId="3" fillId="0" borderId="0"/>
    <xf numFmtId="9" fontId="22"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28" fillId="0" borderId="0" applyFill="0" applyBorder="0">
      <alignment wrapText="1"/>
    </xf>
    <xf numFmtId="0" fontId="23" fillId="0" borderId="0"/>
    <xf numFmtId="0" fontId="33" fillId="5" borderId="0" applyNumberFormat="0" applyBorder="0" applyProtection="0">
      <alignment horizontal="left" indent="1"/>
    </xf>
    <xf numFmtId="0" fontId="1" fillId="0" borderId="0"/>
  </cellStyleXfs>
  <cellXfs count="957">
    <xf numFmtId="0" fontId="0" fillId="0" borderId="0" xfId="0"/>
    <xf numFmtId="0" fontId="7" fillId="9" borderId="1" xfId="21" applyFont="1" applyFill="1" applyBorder="1" applyAlignment="1">
      <alignment vertical="center" wrapText="1"/>
    </xf>
    <xf numFmtId="0" fontId="7" fillId="9" borderId="2" xfId="21" applyFont="1" applyFill="1" applyBorder="1" applyAlignment="1">
      <alignment vertical="center" wrapText="1"/>
    </xf>
    <xf numFmtId="0" fontId="7" fillId="9" borderId="0" xfId="21" applyFont="1" applyFill="1" applyAlignment="1">
      <alignment vertical="center" wrapText="1"/>
    </xf>
    <xf numFmtId="0" fontId="7" fillId="9" borderId="3" xfId="21" applyFont="1" applyFill="1" applyBorder="1" applyAlignment="1">
      <alignment vertical="center" wrapText="1"/>
    </xf>
    <xf numFmtId="0" fontId="6" fillId="9" borderId="2" xfId="21" applyFont="1" applyFill="1" applyBorder="1" applyAlignment="1">
      <alignment vertical="center" wrapText="1"/>
    </xf>
    <xf numFmtId="0" fontId="6" fillId="9" borderId="0" xfId="21" applyFont="1" applyFill="1" applyAlignment="1">
      <alignment vertical="center" wrapText="1"/>
    </xf>
    <xf numFmtId="0" fontId="6" fillId="9" borderId="1" xfId="21" applyFont="1" applyFill="1" applyBorder="1" applyAlignment="1">
      <alignment vertical="center" wrapText="1"/>
    </xf>
    <xf numFmtId="0" fontId="6" fillId="9" borderId="0" xfId="21" applyFont="1" applyFill="1" applyAlignment="1">
      <alignment horizontal="left" vertical="center" wrapText="1"/>
    </xf>
    <xf numFmtId="0" fontId="8" fillId="9" borderId="0" xfId="21" applyFont="1" applyFill="1" applyAlignment="1">
      <alignment horizontal="center" vertical="center" wrapText="1"/>
    </xf>
    <xf numFmtId="9" fontId="7" fillId="10" borderId="4" xfId="28" applyFont="1" applyFill="1" applyBorder="1" applyAlignment="1" applyProtection="1">
      <alignment horizontal="center" vertical="center" wrapText="1"/>
      <protection locked="0"/>
    </xf>
    <xf numFmtId="9" fontId="6" fillId="0" borderId="5" xfId="21" applyNumberFormat="1" applyFont="1" applyBorder="1" applyAlignment="1">
      <alignment horizontal="center" vertical="center" wrapText="1"/>
    </xf>
    <xf numFmtId="0" fontId="0" fillId="11" borderId="4" xfId="0" applyFill="1" applyBorder="1"/>
    <xf numFmtId="9" fontId="7" fillId="11" borderId="4" xfId="28" applyFont="1" applyFill="1" applyBorder="1" applyAlignment="1" applyProtection="1">
      <alignment horizontal="center" vertical="center" wrapText="1"/>
      <protection locked="0"/>
    </xf>
    <xf numFmtId="9" fontId="6" fillId="11" borderId="5" xfId="21" applyNumberFormat="1" applyFont="1" applyFill="1" applyBorder="1" applyAlignment="1">
      <alignment horizontal="center" vertical="center" wrapText="1"/>
    </xf>
    <xf numFmtId="0" fontId="0" fillId="12" borderId="4" xfId="0" applyFill="1" applyBorder="1"/>
    <xf numFmtId="0" fontId="0" fillId="13" borderId="4" xfId="0" applyFill="1" applyBorder="1"/>
    <xf numFmtId="9" fontId="7" fillId="13" borderId="4" xfId="28" applyFont="1" applyFill="1" applyBorder="1" applyAlignment="1" applyProtection="1">
      <alignment horizontal="center" vertical="center" wrapText="1"/>
      <protection locked="0"/>
    </xf>
    <xf numFmtId="9" fontId="6" fillId="13" borderId="5" xfId="21" applyNumberFormat="1" applyFont="1" applyFill="1" applyBorder="1" applyAlignment="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7" fillId="11" borderId="11" xfId="28" applyFont="1" applyFill="1" applyBorder="1" applyAlignment="1" applyProtection="1">
      <alignment horizontal="center" vertical="center" wrapText="1"/>
      <protection locked="0"/>
    </xf>
    <xf numFmtId="9" fontId="6" fillId="11" borderId="12" xfId="21" applyNumberFormat="1" applyFont="1" applyFill="1" applyBorder="1" applyAlignment="1">
      <alignment horizontal="center" vertical="center" wrapText="1"/>
    </xf>
    <xf numFmtId="9" fontId="6" fillId="13" borderId="11" xfId="21" applyNumberFormat="1" applyFont="1" applyFill="1" applyBorder="1" applyAlignment="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6" fillId="0" borderId="0" xfId="21" applyNumberFormat="1" applyFont="1" applyAlignment="1">
      <alignment vertical="center" wrapText="1"/>
    </xf>
    <xf numFmtId="0" fontId="6" fillId="0" borderId="4" xfId="21" applyFont="1" applyBorder="1" applyAlignment="1">
      <alignment horizontal="left" vertical="center" wrapText="1"/>
    </xf>
    <xf numFmtId="0" fontId="6" fillId="10" borderId="4" xfId="21" applyFont="1" applyFill="1" applyBorder="1" applyAlignment="1">
      <alignment horizontal="left" vertical="center" wrapText="1"/>
    </xf>
    <xf numFmtId="9" fontId="7" fillId="0" borderId="4" xfId="29" applyFont="1" applyFill="1" applyBorder="1" applyAlignment="1" applyProtection="1">
      <alignment horizontal="center" vertical="center" wrapText="1"/>
      <protection locked="0"/>
    </xf>
    <xf numFmtId="167" fontId="7" fillId="20" borderId="4" xfId="10" applyFont="1" applyFill="1" applyBorder="1" applyAlignment="1" applyProtection="1">
      <alignment vertical="center" wrapText="1"/>
    </xf>
    <xf numFmtId="0" fontId="6" fillId="9" borderId="14" xfId="21" applyFont="1" applyFill="1" applyBorder="1" applyAlignment="1">
      <alignment vertical="center" wrapText="1"/>
    </xf>
    <xf numFmtId="0" fontId="6" fillId="0" borderId="7" xfId="21" applyFont="1" applyBorder="1" applyAlignment="1">
      <alignment horizontal="left" vertical="center" wrapText="1"/>
    </xf>
    <xf numFmtId="9" fontId="7" fillId="0" borderId="7" xfId="29" applyFont="1" applyFill="1" applyBorder="1" applyAlignment="1" applyProtection="1">
      <alignment horizontal="center" vertical="center" wrapText="1"/>
      <protection locked="0"/>
    </xf>
    <xf numFmtId="9" fontId="6" fillId="0" borderId="15" xfId="21" applyNumberFormat="1" applyFont="1" applyBorder="1" applyAlignment="1">
      <alignment horizontal="center" vertical="center" wrapText="1"/>
    </xf>
    <xf numFmtId="177" fontId="7" fillId="20" borderId="4" xfId="10" applyNumberFormat="1" applyFont="1" applyFill="1" applyBorder="1" applyAlignment="1" applyProtection="1">
      <alignment vertical="center" wrapText="1"/>
    </xf>
    <xf numFmtId="0" fontId="6" fillId="9" borderId="2" xfId="21" applyFont="1" applyFill="1" applyBorder="1" applyAlignment="1">
      <alignment horizontal="center" vertical="center" wrapText="1"/>
    </xf>
    <xf numFmtId="0" fontId="6" fillId="9" borderId="74" xfId="21" applyFont="1" applyFill="1" applyBorder="1" applyAlignment="1">
      <alignment vertical="center" wrapText="1"/>
    </xf>
    <xf numFmtId="0" fontId="6" fillId="9" borderId="75" xfId="21" applyFont="1" applyFill="1" applyBorder="1" applyAlignment="1">
      <alignment vertical="center" wrapText="1"/>
    </xf>
    <xf numFmtId="0" fontId="6" fillId="9" borderId="76" xfId="21" applyFont="1" applyFill="1" applyBorder="1" applyAlignment="1">
      <alignment vertical="center" wrapText="1"/>
    </xf>
    <xf numFmtId="0" fontId="7" fillId="9" borderId="17" xfId="21" applyFont="1" applyFill="1" applyBorder="1" applyAlignment="1">
      <alignment vertical="center" wrapText="1"/>
    </xf>
    <xf numFmtId="0" fontId="7" fillId="9" borderId="18" xfId="21" applyFont="1" applyFill="1" applyBorder="1" applyAlignment="1">
      <alignment vertical="center" wrapText="1"/>
    </xf>
    <xf numFmtId="0" fontId="7" fillId="9" borderId="19" xfId="21" applyFont="1" applyFill="1" applyBorder="1" applyAlignment="1">
      <alignment vertical="center" wrapText="1"/>
    </xf>
    <xf numFmtId="0" fontId="6" fillId="9" borderId="77" xfId="21" applyFont="1" applyFill="1" applyBorder="1" applyAlignment="1">
      <alignment horizontal="center" vertical="center" wrapText="1"/>
    </xf>
    <xf numFmtId="0" fontId="6" fillId="9" borderId="20" xfId="21" applyFont="1" applyFill="1" applyBorder="1" applyAlignment="1">
      <alignment horizontal="center" vertical="center" wrapText="1"/>
    </xf>
    <xf numFmtId="0" fontId="6" fillId="9" borderId="78" xfId="21" applyFont="1" applyFill="1" applyBorder="1" applyAlignment="1">
      <alignment vertical="center" wrapText="1"/>
    </xf>
    <xf numFmtId="0" fontId="8" fillId="0" borderId="0" xfId="21" applyFont="1" applyAlignment="1">
      <alignment horizontal="center" vertical="center" wrapText="1"/>
    </xf>
    <xf numFmtId="1" fontId="6" fillId="0" borderId="21" xfId="28" applyNumberFormat="1" applyFont="1" applyFill="1" applyBorder="1" applyAlignment="1" applyProtection="1">
      <alignment horizontal="center" vertical="center" wrapText="1"/>
    </xf>
    <xf numFmtId="0" fontId="5" fillId="2" borderId="0" xfId="21" applyFont="1" applyFill="1" applyAlignment="1">
      <alignment vertical="center" wrapText="1"/>
    </xf>
    <xf numFmtId="181" fontId="6" fillId="0" borderId="21" xfId="28" applyNumberFormat="1" applyFont="1" applyFill="1" applyBorder="1" applyAlignment="1" applyProtection="1">
      <alignment horizontal="center" vertical="center" wrapText="1"/>
    </xf>
    <xf numFmtId="0" fontId="34" fillId="0" borderId="0" xfId="0" applyFont="1" applyAlignment="1">
      <alignment vertical="center" wrapText="1"/>
    </xf>
    <xf numFmtId="0" fontId="35" fillId="21" borderId="12"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justify" vertical="center" wrapText="1"/>
    </xf>
    <xf numFmtId="6" fontId="7" fillId="0" borderId="4"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7" fillId="0" borderId="0" xfId="0" applyFont="1" applyAlignment="1">
      <alignment vertical="center" wrapText="1"/>
    </xf>
    <xf numFmtId="1" fontId="7" fillId="0" borderId="12" xfId="28" applyNumberFormat="1"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16" xfId="0" applyFont="1" applyBorder="1" applyAlignment="1">
      <alignment horizontal="justify" vertical="center" wrapText="1"/>
    </xf>
    <xf numFmtId="6" fontId="7" fillId="0" borderId="16" xfId="0" applyNumberFormat="1" applyFont="1" applyBorder="1" applyAlignment="1">
      <alignment horizontal="right" vertical="center" wrapText="1"/>
    </xf>
    <xf numFmtId="0" fontId="7" fillId="0" borderId="23" xfId="0" applyFont="1" applyBorder="1" applyAlignment="1">
      <alignment horizontal="center" vertical="center" wrapText="1"/>
    </xf>
    <xf numFmtId="182" fontId="35" fillId="21" borderId="24" xfId="0" applyNumberFormat="1" applyFont="1" applyFill="1" applyBorder="1" applyAlignment="1">
      <alignment horizontal="center" vertical="center" wrapText="1"/>
    </xf>
    <xf numFmtId="9" fontId="35" fillId="21" borderId="25" xfId="28" applyFont="1" applyFill="1" applyBorder="1" applyAlignment="1">
      <alignment horizontal="center" vertical="center" wrapText="1"/>
    </xf>
    <xf numFmtId="181" fontId="6" fillId="0" borderId="16" xfId="28" applyNumberFormat="1" applyFont="1" applyFill="1" applyBorder="1" applyAlignment="1" applyProtection="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justify" vertical="center" wrapText="1"/>
    </xf>
    <xf numFmtId="6" fontId="36" fillId="0" borderId="4" xfId="0" applyNumberFormat="1" applyFont="1" applyBorder="1" applyAlignment="1">
      <alignment horizontal="right" vertical="center" wrapText="1"/>
    </xf>
    <xf numFmtId="1" fontId="36" fillId="0" borderId="12" xfId="28" applyNumberFormat="1" applyFont="1" applyFill="1" applyBorder="1" applyAlignment="1">
      <alignment horizontal="center" vertical="center" wrapText="1"/>
    </xf>
    <xf numFmtId="0" fontId="7" fillId="0" borderId="4" xfId="0" applyFont="1" applyBorder="1" applyAlignment="1">
      <alignment horizontal="left" vertical="center" wrapText="1"/>
    </xf>
    <xf numFmtId="0" fontId="34" fillId="0" borderId="0" xfId="0" applyFont="1" applyAlignment="1">
      <alignment horizontal="center" vertical="center" wrapText="1"/>
    </xf>
    <xf numFmtId="9" fontId="7" fillId="0" borderId="4" xfId="28" applyFont="1" applyFill="1" applyBorder="1" applyAlignment="1">
      <alignment horizontal="center" vertical="center" wrapText="1"/>
    </xf>
    <xf numFmtId="9" fontId="36" fillId="0" borderId="4" xfId="28" applyFont="1" applyFill="1" applyBorder="1" applyAlignment="1">
      <alignment horizontal="center" vertical="center" wrapText="1"/>
    </xf>
    <xf numFmtId="9" fontId="7" fillId="0" borderId="16" xfId="28" applyFont="1" applyFill="1" applyBorder="1" applyAlignment="1">
      <alignment horizontal="center" vertical="center" wrapText="1"/>
    </xf>
    <xf numFmtId="0" fontId="7" fillId="19" borderId="0" xfId="0" applyFont="1" applyFill="1" applyAlignment="1">
      <alignment horizontal="center" vertical="center" wrapText="1"/>
    </xf>
    <xf numFmtId="0" fontId="7" fillId="19" borderId="0" xfId="0" applyFont="1" applyFill="1" applyAlignment="1">
      <alignment vertical="center" wrapText="1"/>
    </xf>
    <xf numFmtId="0" fontId="7" fillId="0" borderId="22" xfId="21" applyFont="1" applyBorder="1" applyAlignment="1">
      <alignment horizontal="center" vertical="center" wrapText="1"/>
    </xf>
    <xf numFmtId="0" fontId="13" fillId="22" borderId="4" xfId="21" applyFont="1" applyFill="1" applyBorder="1" applyAlignment="1">
      <alignment horizontal="center" vertical="center" wrapText="1"/>
    </xf>
    <xf numFmtId="2" fontId="6" fillId="0" borderId="16" xfId="28" applyNumberFormat="1" applyFont="1" applyFill="1" applyBorder="1" applyAlignment="1" applyProtection="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1" fontId="7" fillId="0" borderId="4" xfId="28" applyNumberFormat="1" applyFont="1" applyFill="1" applyBorder="1" applyAlignment="1">
      <alignment horizontal="center" vertical="center" wrapText="1"/>
    </xf>
    <xf numFmtId="182" fontId="35" fillId="21" borderId="4" xfId="0" applyNumberFormat="1" applyFont="1" applyFill="1" applyBorder="1" applyAlignment="1">
      <alignment horizontal="center" vertical="center" wrapText="1"/>
    </xf>
    <xf numFmtId="9" fontId="35" fillId="21" borderId="4" xfId="28" applyFont="1" applyFill="1" applyBorder="1" applyAlignment="1">
      <alignment horizontal="center" vertical="center" wrapText="1"/>
    </xf>
    <xf numFmtId="0" fontId="34" fillId="0" borderId="4" xfId="0" applyFont="1" applyBorder="1" applyAlignment="1">
      <alignment vertical="center" wrapText="1"/>
    </xf>
    <xf numFmtId="2" fontId="7" fillId="0" borderId="4" xfId="28" applyNumberFormat="1" applyFont="1" applyFill="1" applyBorder="1" applyAlignment="1">
      <alignment horizontal="center" vertical="center" wrapText="1"/>
    </xf>
    <xf numFmtId="9" fontId="34" fillId="0" borderId="0" xfId="0" applyNumberFormat="1" applyFont="1" applyAlignment="1">
      <alignment vertical="center" wrapText="1"/>
    </xf>
    <xf numFmtId="10" fontId="7" fillId="0" borderId="4" xfId="28" applyNumberFormat="1" applyFont="1" applyFill="1" applyBorder="1" applyAlignment="1">
      <alignment horizontal="center" vertical="center" wrapText="1"/>
    </xf>
    <xf numFmtId="180" fontId="6" fillId="0" borderId="16" xfId="28" applyNumberFormat="1" applyFont="1" applyFill="1" applyBorder="1" applyAlignment="1" applyProtection="1">
      <alignment horizontal="center" vertical="center" wrapText="1"/>
    </xf>
    <xf numFmtId="0" fontId="15" fillId="0" borderId="0" xfId="0" applyFont="1" applyAlignment="1">
      <alignment vertical="center"/>
    </xf>
    <xf numFmtId="0" fontId="15" fillId="0" borderId="79" xfId="0" applyFont="1" applyBorder="1" applyAlignment="1">
      <alignment vertical="center"/>
    </xf>
    <xf numFmtId="0" fontId="15" fillId="0" borderId="80" xfId="0" applyFont="1" applyBorder="1" applyAlignment="1">
      <alignment vertical="center"/>
    </xf>
    <xf numFmtId="0" fontId="15" fillId="0" borderId="81" xfId="0" applyFont="1" applyBorder="1" applyAlignment="1">
      <alignment vertical="center"/>
    </xf>
    <xf numFmtId="0" fontId="7" fillId="9" borderId="2" xfId="0" applyFont="1" applyFill="1" applyBorder="1" applyAlignment="1">
      <alignment vertical="center"/>
    </xf>
    <xf numFmtId="0" fontId="7" fillId="9" borderId="0" xfId="0" applyFont="1" applyFill="1" applyAlignment="1">
      <alignment vertical="center"/>
    </xf>
    <xf numFmtId="0" fontId="7" fillId="9" borderId="18" xfId="0" applyFont="1" applyFill="1" applyBorder="1" applyAlignment="1">
      <alignment vertical="center"/>
    </xf>
    <xf numFmtId="0" fontId="15" fillId="9" borderId="0" xfId="0" applyFont="1" applyFill="1" applyAlignment="1">
      <alignment vertical="center"/>
    </xf>
    <xf numFmtId="176" fontId="15" fillId="0" borderId="0" xfId="0" applyNumberFormat="1" applyFont="1" applyAlignment="1">
      <alignment vertical="center"/>
    </xf>
    <xf numFmtId="175" fontId="15" fillId="9" borderId="0" xfId="0" applyNumberFormat="1" applyFont="1" applyFill="1" applyAlignment="1">
      <alignment vertical="center"/>
    </xf>
    <xf numFmtId="176" fontId="15" fillId="0" borderId="0" xfId="13" applyNumberFormat="1" applyFont="1" applyBorder="1" applyAlignment="1">
      <alignment vertical="center"/>
    </xf>
    <xf numFmtId="166" fontId="17" fillId="0" borderId="0" xfId="14" applyFont="1" applyAlignment="1">
      <alignment vertical="center"/>
    </xf>
    <xf numFmtId="0" fontId="17" fillId="0" borderId="0" xfId="0" applyFont="1" applyAlignment="1">
      <alignment vertical="center"/>
    </xf>
    <xf numFmtId="9" fontId="16" fillId="0" borderId="0" xfId="28" applyFont="1" applyBorder="1" applyAlignment="1">
      <alignment horizontal="center" vertical="center"/>
    </xf>
    <xf numFmtId="0" fontId="15" fillId="0" borderId="0" xfId="0" applyFont="1" applyAlignment="1">
      <alignment vertical="center" wrapText="1"/>
    </xf>
    <xf numFmtId="9" fontId="15" fillId="0" borderId="0" xfId="28" applyFont="1" applyAlignment="1">
      <alignment vertical="center"/>
    </xf>
    <xf numFmtId="166" fontId="18" fillId="0" borderId="0" xfId="14" applyFont="1" applyAlignment="1">
      <alignment vertical="center"/>
    </xf>
    <xf numFmtId="0" fontId="18" fillId="0" borderId="0" xfId="0" applyFont="1" applyAlignment="1">
      <alignment vertical="center"/>
    </xf>
    <xf numFmtId="177" fontId="15" fillId="20" borderId="4" xfId="0" applyNumberFormat="1" applyFont="1" applyFill="1" applyBorder="1" applyAlignment="1">
      <alignment vertical="center" wrapText="1"/>
    </xf>
    <xf numFmtId="0" fontId="14" fillId="0" borderId="0" xfId="0" applyFont="1"/>
    <xf numFmtId="0" fontId="37" fillId="0" borderId="0" xfId="0" applyFont="1" applyAlignment="1">
      <alignment horizontal="center" vertical="center"/>
    </xf>
    <xf numFmtId="9" fontId="15" fillId="0" borderId="0" xfId="0" applyNumberFormat="1" applyFont="1" applyAlignment="1">
      <alignment vertical="center"/>
    </xf>
    <xf numFmtId="167" fontId="15" fillId="20" borderId="4" xfId="0" applyNumberFormat="1" applyFont="1" applyFill="1" applyBorder="1" applyAlignment="1">
      <alignment horizontal="center" vertical="center" wrapText="1"/>
    </xf>
    <xf numFmtId="0" fontId="14" fillId="0" borderId="0" xfId="0" applyFont="1" applyAlignment="1">
      <alignment vertical="center"/>
    </xf>
    <xf numFmtId="0" fontId="15" fillId="0" borderId="2" xfId="0" applyFont="1" applyBorder="1" applyAlignment="1">
      <alignment vertical="center"/>
    </xf>
    <xf numFmtId="0" fontId="15" fillId="0" borderId="18" xfId="0" applyFont="1" applyBorder="1" applyAlignment="1">
      <alignment vertical="center"/>
    </xf>
    <xf numFmtId="0" fontId="34" fillId="0" borderId="0" xfId="0" applyFont="1"/>
    <xf numFmtId="0" fontId="39" fillId="0" borderId="0" xfId="0" applyFont="1"/>
    <xf numFmtId="0" fontId="34" fillId="0" borderId="4" xfId="0" applyFont="1" applyBorder="1"/>
    <xf numFmtId="0" fontId="34" fillId="0" borderId="4" xfId="0" applyFont="1" applyBorder="1" applyAlignment="1">
      <alignment horizontal="center" vertical="center"/>
    </xf>
    <xf numFmtId="0" fontId="34" fillId="0" borderId="4" xfId="0" applyFont="1" applyBorder="1" applyAlignment="1">
      <alignment horizontal="justify" vertical="center" wrapText="1"/>
    </xf>
    <xf numFmtId="0" fontId="34" fillId="0" borderId="4" xfId="0" applyFont="1" applyBorder="1" applyAlignment="1">
      <alignment horizontal="center" vertical="center" wrapText="1"/>
    </xf>
    <xf numFmtId="1" fontId="34" fillId="0" borderId="4" xfId="0" applyNumberFormat="1" applyFont="1" applyBorder="1" applyAlignment="1">
      <alignment horizontal="center" vertical="center" wrapText="1"/>
    </xf>
    <xf numFmtId="181" fontId="34" fillId="0" borderId="4" xfId="10" applyNumberFormat="1" applyFont="1" applyBorder="1" applyAlignment="1">
      <alignment horizontal="center" vertical="center" wrapText="1"/>
    </xf>
    <xf numFmtId="1" fontId="34" fillId="0" borderId="4" xfId="10" applyNumberFormat="1" applyFont="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4" xfId="10" applyNumberFormat="1" applyFont="1" applyBorder="1" applyAlignment="1">
      <alignment horizontal="center" vertical="center" wrapText="1"/>
    </xf>
    <xf numFmtId="10" fontId="34" fillId="0" borderId="4" xfId="0" applyNumberFormat="1" applyFont="1" applyBorder="1" applyAlignment="1">
      <alignment horizontal="center" vertical="center"/>
    </xf>
    <xf numFmtId="9" fontId="6" fillId="0" borderId="4" xfId="21" applyNumberFormat="1" applyFont="1" applyBorder="1" applyAlignment="1">
      <alignment horizontal="center" vertical="center" wrapText="1"/>
    </xf>
    <xf numFmtId="167" fontId="7" fillId="20" borderId="16" xfId="10" applyFont="1" applyFill="1" applyBorder="1" applyAlignment="1" applyProtection="1">
      <alignment vertical="center" wrapText="1"/>
    </xf>
    <xf numFmtId="10" fontId="44" fillId="0" borderId="0" xfId="28" applyNumberFormat="1" applyFont="1" applyAlignment="1">
      <alignment vertical="center"/>
    </xf>
    <xf numFmtId="10" fontId="11" fillId="2" borderId="0" xfId="28" applyNumberFormat="1" applyFont="1" applyFill="1" applyAlignment="1">
      <alignment vertical="center" wrapText="1"/>
    </xf>
    <xf numFmtId="10" fontId="11" fillId="0" borderId="0" xfId="28" applyNumberFormat="1" applyFont="1" applyBorder="1" applyAlignment="1">
      <alignment horizontal="center" vertical="center"/>
    </xf>
    <xf numFmtId="10" fontId="45" fillId="0" borderId="0" xfId="28" applyNumberFormat="1" applyFont="1"/>
    <xf numFmtId="10" fontId="44" fillId="0" borderId="0" xfId="28" applyNumberFormat="1" applyFont="1"/>
    <xf numFmtId="10" fontId="46" fillId="0" borderId="0" xfId="28" applyNumberFormat="1" applyFont="1" applyAlignment="1">
      <alignment horizontal="center" vertical="center"/>
    </xf>
    <xf numFmtId="10" fontId="14" fillId="0" borderId="0" xfId="28" applyNumberFormat="1" applyFont="1" applyBorder="1" applyAlignment="1">
      <alignment vertical="center"/>
    </xf>
    <xf numFmtId="167" fontId="11" fillId="0" borderId="0" xfId="10" applyFont="1" applyAlignment="1">
      <alignment vertical="center" wrapText="1"/>
    </xf>
    <xf numFmtId="180" fontId="34" fillId="0" borderId="4" xfId="0" applyNumberFormat="1" applyFont="1" applyBorder="1" applyAlignment="1">
      <alignment horizontal="center" vertical="center"/>
    </xf>
    <xf numFmtId="180" fontId="39" fillId="0" borderId="0" xfId="0" applyNumberFormat="1" applyFont="1"/>
    <xf numFmtId="0" fontId="47" fillId="0" borderId="0" xfId="0" applyFont="1"/>
    <xf numFmtId="0" fontId="39" fillId="0" borderId="0" xfId="0" applyFont="1" applyAlignment="1">
      <alignment wrapText="1"/>
    </xf>
    <xf numFmtId="172" fontId="7" fillId="9" borderId="0" xfId="21" applyNumberFormat="1" applyFont="1" applyFill="1" applyAlignment="1">
      <alignment vertical="center" wrapText="1"/>
    </xf>
    <xf numFmtId="177" fontId="7" fillId="20" borderId="16" xfId="10" applyNumberFormat="1" applyFont="1" applyFill="1" applyBorder="1" applyAlignment="1" applyProtection="1">
      <alignment vertical="center" wrapText="1"/>
    </xf>
    <xf numFmtId="177" fontId="15" fillId="20" borderId="16" xfId="0" applyNumberFormat="1" applyFont="1" applyFill="1" applyBorder="1" applyAlignment="1">
      <alignment vertical="center" wrapText="1"/>
    </xf>
    <xf numFmtId="2" fontId="6" fillId="0" borderId="21" xfId="28" applyNumberFormat="1" applyFont="1" applyFill="1" applyBorder="1" applyAlignment="1" applyProtection="1">
      <alignment horizontal="center" vertical="center" wrapText="1"/>
    </xf>
    <xf numFmtId="0" fontId="40" fillId="10" borderId="4" xfId="0" applyFont="1" applyFill="1" applyBorder="1" applyAlignment="1">
      <alignment horizontal="center" vertical="center" wrapText="1"/>
    </xf>
    <xf numFmtId="0" fontId="15" fillId="0" borderId="4" xfId="0" applyFont="1" applyBorder="1" applyAlignment="1">
      <alignment vertical="center"/>
    </xf>
    <xf numFmtId="0" fontId="15" fillId="0" borderId="4" xfId="0" applyFont="1" applyBorder="1" applyAlignment="1">
      <alignment horizontal="center" vertical="center"/>
    </xf>
    <xf numFmtId="0" fontId="15" fillId="24" borderId="4" xfId="0" applyFont="1" applyFill="1" applyBorder="1" applyAlignment="1">
      <alignment horizontal="center" vertical="center"/>
    </xf>
    <xf numFmtId="0" fontId="15" fillId="24" borderId="0" xfId="0" applyFont="1" applyFill="1" applyAlignment="1">
      <alignment vertical="center"/>
    </xf>
    <xf numFmtId="9" fontId="15" fillId="0" borderId="4" xfId="0" applyNumberFormat="1" applyFont="1" applyBorder="1" applyAlignment="1">
      <alignment horizontal="center" vertical="center"/>
    </xf>
    <xf numFmtId="9" fontId="15" fillId="24" borderId="4" xfId="0" applyNumberFormat="1" applyFont="1" applyFill="1" applyBorder="1" applyAlignment="1">
      <alignment horizontal="center" vertical="center"/>
    </xf>
    <xf numFmtId="9" fontId="16" fillId="0" borderId="4" xfId="0" applyNumberFormat="1" applyFont="1" applyBorder="1" applyAlignment="1">
      <alignment horizontal="center" vertical="center"/>
    </xf>
    <xf numFmtId="0" fontId="16" fillId="0" borderId="4" xfId="0" applyFont="1" applyBorder="1" applyAlignment="1">
      <alignment horizontal="center" vertical="center"/>
    </xf>
    <xf numFmtId="9" fontId="6" fillId="0" borderId="16" xfId="21" applyNumberFormat="1" applyFont="1" applyBorder="1" applyAlignment="1">
      <alignment horizontal="center" vertical="center" wrapText="1"/>
    </xf>
    <xf numFmtId="0" fontId="49" fillId="25" borderId="82" xfId="24" applyFont="1" applyFill="1" applyBorder="1" applyAlignment="1">
      <alignment horizontal="center" vertical="center" wrapText="1"/>
    </xf>
    <xf numFmtId="0" fontId="50" fillId="25" borderId="83" xfId="24" applyFont="1" applyFill="1" applyBorder="1" applyAlignment="1">
      <alignment horizontal="center" vertical="center" wrapText="1"/>
    </xf>
    <xf numFmtId="0" fontId="49" fillId="25" borderId="84" xfId="24" applyFont="1" applyFill="1" applyBorder="1" applyAlignment="1">
      <alignment horizontal="center" vertical="center" wrapText="1"/>
    </xf>
    <xf numFmtId="0" fontId="49" fillId="25" borderId="85" xfId="24" applyFont="1" applyFill="1" applyBorder="1" applyAlignment="1">
      <alignment horizontal="center" vertical="center" wrapText="1"/>
    </xf>
    <xf numFmtId="0" fontId="49" fillId="25" borderId="86" xfId="24" applyFont="1" applyFill="1" applyBorder="1" applyAlignment="1">
      <alignment horizontal="center" vertical="center" wrapText="1"/>
    </xf>
    <xf numFmtId="0" fontId="49" fillId="25" borderId="87" xfId="24" applyFont="1" applyFill="1" applyBorder="1" applyAlignment="1">
      <alignment horizontal="center" vertical="center" wrapText="1"/>
    </xf>
    <xf numFmtId="0" fontId="49" fillId="25" borderId="88" xfId="24" applyFont="1" applyFill="1" applyBorder="1" applyAlignment="1">
      <alignment horizontal="center" vertical="center" wrapText="1"/>
    </xf>
    <xf numFmtId="0" fontId="34" fillId="0" borderId="0" xfId="24" applyFont="1" applyAlignment="1">
      <alignment vertical="center"/>
    </xf>
    <xf numFmtId="0" fontId="38" fillId="19" borderId="27" xfId="24" applyFont="1" applyFill="1" applyBorder="1" applyAlignment="1">
      <alignment horizontal="center" vertical="center"/>
    </xf>
    <xf numFmtId="0" fontId="38" fillId="19" borderId="35" xfId="24" applyFont="1" applyFill="1" applyBorder="1" applyAlignment="1">
      <alignment horizontal="center" vertical="center"/>
    </xf>
    <xf numFmtId="0" fontId="38" fillId="19" borderId="34" xfId="24" applyFont="1" applyFill="1" applyBorder="1" applyAlignment="1">
      <alignment horizontal="center" vertical="center"/>
    </xf>
    <xf numFmtId="0" fontId="38" fillId="26" borderId="0" xfId="24" applyFont="1" applyFill="1" applyAlignment="1">
      <alignment horizontal="center" vertical="center"/>
    </xf>
    <xf numFmtId="0" fontId="38" fillId="27" borderId="0" xfId="24" applyFont="1" applyFill="1" applyAlignment="1">
      <alignment horizontal="center" vertical="center"/>
    </xf>
    <xf numFmtId="0" fontId="52" fillId="0" borderId="91" xfId="24" applyFont="1" applyBorder="1" applyAlignment="1">
      <alignment horizontal="center" vertical="center" wrapText="1"/>
    </xf>
    <xf numFmtId="0" fontId="52" fillId="0" borderId="92" xfId="0" applyFont="1" applyBorder="1" applyAlignment="1">
      <alignment horizontal="center" vertical="center" wrapText="1"/>
    </xf>
    <xf numFmtId="0" fontId="52" fillId="0" borderId="93" xfId="0" applyFont="1" applyBorder="1" applyAlignment="1">
      <alignment horizontal="center" vertical="center" wrapText="1"/>
    </xf>
    <xf numFmtId="0" fontId="52" fillId="0" borderId="90" xfId="0" applyFont="1" applyBorder="1" applyAlignment="1">
      <alignment horizontal="center" vertical="center" wrapText="1"/>
    </xf>
    <xf numFmtId="0" fontId="51" fillId="0" borderId="94" xfId="24" applyFont="1" applyBorder="1" applyAlignment="1">
      <alignment horizontal="center" vertical="center" wrapText="1"/>
    </xf>
    <xf numFmtId="0" fontId="52" fillId="0" borderId="0" xfId="0" applyFont="1" applyAlignment="1">
      <alignment horizontal="center" vertical="center"/>
    </xf>
    <xf numFmtId="174" fontId="34" fillId="0" borderId="0" xfId="24" applyNumberFormat="1" applyFont="1" applyAlignment="1">
      <alignment vertical="center"/>
    </xf>
    <xf numFmtId="0" fontId="34" fillId="0" borderId="0" xfId="0" applyFont="1" applyAlignment="1">
      <alignment horizontal="center" vertical="center"/>
    </xf>
    <xf numFmtId="9" fontId="34" fillId="0" borderId="0" xfId="24" applyNumberFormat="1" applyFont="1" applyAlignment="1">
      <alignment vertical="center"/>
    </xf>
    <xf numFmtId="0" fontId="52" fillId="0" borderId="95" xfId="24" applyFont="1" applyBorder="1" applyAlignment="1">
      <alignment horizontal="center" vertical="center" wrapText="1"/>
    </xf>
    <xf numFmtId="183" fontId="52" fillId="0" borderId="8" xfId="0" applyNumberFormat="1" applyFont="1" applyBorder="1" applyAlignment="1">
      <alignment horizontal="right" vertical="center" wrapText="1"/>
    </xf>
    <xf numFmtId="183" fontId="52" fillId="0" borderId="4" xfId="0" applyNumberFormat="1" applyFont="1" applyBorder="1" applyAlignment="1">
      <alignment horizontal="right" vertical="center" wrapText="1"/>
    </xf>
    <xf numFmtId="183" fontId="52" fillId="0" borderId="5" xfId="0" applyNumberFormat="1" applyFont="1" applyBorder="1" applyAlignment="1">
      <alignment horizontal="right" vertical="center" wrapText="1"/>
    </xf>
    <xf numFmtId="183" fontId="52" fillId="0" borderId="96" xfId="0" applyNumberFormat="1" applyFont="1" applyBorder="1" applyAlignment="1">
      <alignment horizontal="right" vertical="center" wrapText="1"/>
    </xf>
    <xf numFmtId="0" fontId="52" fillId="0" borderId="0" xfId="0" applyFont="1" applyAlignment="1">
      <alignment horizontal="right" vertical="center" wrapText="1"/>
    </xf>
    <xf numFmtId="10" fontId="34" fillId="0" borderId="0" xfId="24" applyNumberFormat="1" applyFont="1" applyAlignment="1">
      <alignment horizontal="center" vertical="center"/>
    </xf>
    <xf numFmtId="10" fontId="34" fillId="0" borderId="0" xfId="24" applyNumberFormat="1" applyFont="1" applyAlignment="1">
      <alignment vertical="center"/>
    </xf>
    <xf numFmtId="0" fontId="52" fillId="0" borderId="97" xfId="0" applyFont="1" applyBorder="1" applyAlignment="1">
      <alignment horizontal="center" vertical="center" wrapText="1"/>
    </xf>
    <xf numFmtId="0" fontId="51" fillId="0" borderId="98" xfId="24" applyFont="1" applyBorder="1" applyAlignment="1">
      <alignment horizontal="center" vertical="center" wrapText="1"/>
    </xf>
    <xf numFmtId="0" fontId="38" fillId="26" borderId="0" xfId="24" applyFont="1" applyFill="1" applyAlignment="1">
      <alignment vertical="center"/>
    </xf>
    <xf numFmtId="10" fontId="38" fillId="26" borderId="0" xfId="24" applyNumberFormat="1" applyFont="1" applyFill="1" applyAlignment="1">
      <alignment horizontal="center" vertical="center"/>
    </xf>
    <xf numFmtId="10" fontId="38" fillId="27" borderId="0" xfId="24" applyNumberFormat="1" applyFont="1" applyFill="1" applyAlignment="1">
      <alignment horizontal="center" vertical="center"/>
    </xf>
    <xf numFmtId="0" fontId="34" fillId="0" borderId="0" xfId="24" applyFont="1" applyAlignment="1">
      <alignment horizontal="center" vertical="center"/>
    </xf>
    <xf numFmtId="180" fontId="38" fillId="26" borderId="0" xfId="24" applyNumberFormat="1" applyFont="1" applyFill="1" applyAlignment="1">
      <alignment horizontal="center" vertical="center"/>
    </xf>
    <xf numFmtId="180" fontId="38" fillId="27" borderId="0" xfId="24" applyNumberFormat="1" applyFont="1" applyFill="1" applyAlignment="1">
      <alignment horizontal="center" vertical="center"/>
    </xf>
    <xf numFmtId="184" fontId="34" fillId="0" borderId="0" xfId="0" applyNumberFormat="1" applyFont="1" applyAlignment="1">
      <alignment horizontal="center" vertical="center"/>
    </xf>
    <xf numFmtId="184" fontId="34" fillId="0" borderId="0" xfId="24" applyNumberFormat="1" applyFont="1" applyAlignment="1">
      <alignment vertical="center"/>
    </xf>
    <xf numFmtId="185" fontId="34" fillId="0" borderId="0" xfId="0" applyNumberFormat="1" applyFont="1" applyAlignment="1">
      <alignment horizontal="center" vertical="center"/>
    </xf>
    <xf numFmtId="0" fontId="52" fillId="0" borderId="102" xfId="24" applyFont="1" applyBorder="1" applyAlignment="1">
      <alignment horizontal="center" vertical="center" wrapText="1"/>
    </xf>
    <xf numFmtId="183" fontId="52" fillId="0" borderId="32" xfId="0" applyNumberFormat="1" applyFont="1" applyBorder="1" applyAlignment="1">
      <alignment horizontal="right" vertical="center" wrapText="1"/>
    </xf>
    <xf numFmtId="183" fontId="52" fillId="0" borderId="13" xfId="0" applyNumberFormat="1" applyFont="1" applyBorder="1" applyAlignment="1">
      <alignment horizontal="right" vertical="center" wrapText="1"/>
    </xf>
    <xf numFmtId="183" fontId="52" fillId="0" borderId="31" xfId="0" applyNumberFormat="1" applyFont="1" applyBorder="1" applyAlignment="1">
      <alignment horizontal="right" vertical="center" wrapText="1"/>
    </xf>
    <xf numFmtId="0" fontId="38" fillId="0" borderId="0" xfId="0" applyFont="1" applyAlignment="1">
      <alignment horizontal="center" vertical="center"/>
    </xf>
    <xf numFmtId="183" fontId="49" fillId="21" borderId="85" xfId="0" applyNumberFormat="1" applyFont="1" applyFill="1" applyBorder="1" applyAlignment="1">
      <alignment horizontal="right" vertical="center" wrapText="1"/>
    </xf>
    <xf numFmtId="0" fontId="49" fillId="0" borderId="105" xfId="24" applyFont="1" applyBorder="1" applyAlignment="1">
      <alignment horizontal="right" vertical="center"/>
    </xf>
    <xf numFmtId="0" fontId="49" fillId="21" borderId="30" xfId="24" applyFont="1" applyFill="1" applyBorder="1" applyAlignment="1">
      <alignment vertical="center" wrapText="1"/>
    </xf>
    <xf numFmtId="0" fontId="49" fillId="21" borderId="29" xfId="24" applyFont="1" applyFill="1" applyBorder="1" applyAlignment="1">
      <alignment horizontal="center" vertical="center" wrapText="1"/>
    </xf>
    <xf numFmtId="0" fontId="49" fillId="21" borderId="28" xfId="24" applyFont="1" applyFill="1" applyBorder="1" applyAlignment="1">
      <alignment horizontal="center" vertical="center" wrapText="1"/>
    </xf>
    <xf numFmtId="0" fontId="49" fillId="21" borderId="106" xfId="24" applyFont="1" applyFill="1" applyBorder="1" applyAlignment="1">
      <alignment horizontal="center" vertical="center" wrapText="1"/>
    </xf>
    <xf numFmtId="0" fontId="34" fillId="0" borderId="11" xfId="24" applyFont="1" applyBorder="1" applyAlignment="1">
      <alignment horizontal="center" vertical="center" wrapText="1"/>
    </xf>
    <xf numFmtId="0" fontId="34" fillId="0" borderId="4" xfId="24" applyFont="1" applyBorder="1" applyAlignment="1">
      <alignment horizontal="center" vertical="center" wrapText="1"/>
    </xf>
    <xf numFmtId="183" fontId="34" fillId="0" borderId="4" xfId="0" applyNumberFormat="1" applyFont="1" applyBorder="1" applyAlignment="1">
      <alignment horizontal="right" vertical="center" wrapText="1"/>
    </xf>
    <xf numFmtId="183" fontId="34" fillId="0" borderId="5" xfId="0" applyNumberFormat="1" applyFont="1" applyBorder="1" applyAlignment="1">
      <alignment horizontal="right" vertical="center" wrapText="1"/>
    </xf>
    <xf numFmtId="183" fontId="34" fillId="0" borderId="107" xfId="0" applyNumberFormat="1" applyFont="1" applyBorder="1" applyAlignment="1">
      <alignment horizontal="right" vertical="center" wrapText="1"/>
    </xf>
    <xf numFmtId="0" fontId="34" fillId="0" borderId="0" xfId="24" applyFont="1" applyAlignment="1">
      <alignment horizontal="center" vertical="center" wrapText="1"/>
    </xf>
    <xf numFmtId="186" fontId="49" fillId="21" borderId="110" xfId="24" applyNumberFormat="1" applyFont="1" applyFill="1" applyBorder="1" applyAlignment="1">
      <alignment vertical="center" wrapText="1"/>
    </xf>
    <xf numFmtId="186" fontId="49" fillId="21" borderId="111" xfId="24" applyNumberFormat="1" applyFont="1" applyFill="1" applyBorder="1" applyAlignment="1">
      <alignment vertical="center" wrapText="1"/>
    </xf>
    <xf numFmtId="0" fontId="34" fillId="0" borderId="0" xfId="24" applyFont="1" applyAlignment="1">
      <alignment vertical="center" wrapText="1"/>
    </xf>
    <xf numFmtId="9" fontId="34" fillId="0" borderId="0" xfId="24" applyNumberFormat="1" applyFont="1" applyAlignment="1">
      <alignment horizontal="center" vertical="center" wrapText="1"/>
    </xf>
    <xf numFmtId="0" fontId="49" fillId="21" borderId="82" xfId="24" applyFont="1" applyFill="1" applyBorder="1" applyAlignment="1">
      <alignment horizontal="center" vertical="center" wrapText="1"/>
    </xf>
    <xf numFmtId="0" fontId="50" fillId="21" borderId="83" xfId="24" applyFont="1" applyFill="1" applyBorder="1" applyAlignment="1">
      <alignment horizontal="center" vertical="center" wrapText="1"/>
    </xf>
    <xf numFmtId="0" fontId="49" fillId="21" borderId="84" xfId="24" applyFont="1" applyFill="1" applyBorder="1" applyAlignment="1">
      <alignment horizontal="center" vertical="center" wrapText="1"/>
    </xf>
    <xf numFmtId="0" fontId="49" fillId="21" borderId="85" xfId="24" applyFont="1" applyFill="1" applyBorder="1" applyAlignment="1">
      <alignment horizontal="center" vertical="center" wrapText="1"/>
    </xf>
    <xf numFmtId="0" fontId="49" fillId="21" borderId="86" xfId="24" applyFont="1" applyFill="1" applyBorder="1" applyAlignment="1">
      <alignment horizontal="center" vertical="center" wrapText="1"/>
    </xf>
    <xf numFmtId="0" fontId="49" fillId="21" borderId="87" xfId="24" applyFont="1" applyFill="1" applyBorder="1" applyAlignment="1">
      <alignment horizontal="center" vertical="center" wrapText="1"/>
    </xf>
    <xf numFmtId="0" fontId="49" fillId="21" borderId="88" xfId="24" applyFont="1" applyFill="1" applyBorder="1" applyAlignment="1">
      <alignment horizontal="center" vertical="center" wrapText="1"/>
    </xf>
    <xf numFmtId="0" fontId="51" fillId="0" borderId="93" xfId="0" applyFont="1" applyBorder="1" applyAlignment="1">
      <alignment horizontal="center" vertical="center" wrapText="1"/>
    </xf>
    <xf numFmtId="183" fontId="51" fillId="0" borderId="4" xfId="0" applyNumberFormat="1" applyFont="1" applyBorder="1" applyAlignment="1">
      <alignment horizontal="right" vertical="center" wrapText="1"/>
    </xf>
    <xf numFmtId="183" fontId="51" fillId="0" borderId="13" xfId="0" applyNumberFormat="1" applyFont="1" applyBorder="1" applyAlignment="1">
      <alignment horizontal="right" vertical="center" wrapText="1"/>
    </xf>
    <xf numFmtId="0" fontId="7" fillId="0" borderId="22" xfId="21" applyFont="1" applyBorder="1" applyAlignment="1">
      <alignment horizontal="justify" vertical="center" wrapText="1"/>
    </xf>
    <xf numFmtId="173" fontId="7" fillId="9" borderId="0" xfId="21" applyNumberFormat="1" applyFont="1" applyFill="1" applyAlignment="1">
      <alignment vertical="center" wrapText="1"/>
    </xf>
    <xf numFmtId="0" fontId="54" fillId="30" borderId="0" xfId="0" applyFont="1" applyFill="1" applyAlignment="1">
      <alignment vertical="center" wrapText="1"/>
    </xf>
    <xf numFmtId="4" fontId="54" fillId="30" borderId="0" xfId="0" applyNumberFormat="1" applyFont="1" applyFill="1" applyAlignment="1">
      <alignment horizontal="right" vertical="center" wrapText="1"/>
    </xf>
    <xf numFmtId="183" fontId="51" fillId="0" borderId="55" xfId="0" applyNumberFormat="1" applyFont="1" applyBorder="1" applyAlignment="1">
      <alignment horizontal="right" vertical="center" wrapText="1"/>
    </xf>
    <xf numFmtId="183" fontId="51" fillId="0" borderId="12" xfId="0" applyNumberFormat="1" applyFont="1" applyBorder="1" applyAlignment="1">
      <alignment horizontal="right" vertical="center" wrapText="1"/>
    </xf>
    <xf numFmtId="0" fontId="34" fillId="0" borderId="0" xfId="0" applyFont="1" applyAlignment="1">
      <alignment vertical="center"/>
    </xf>
    <xf numFmtId="0" fontId="55" fillId="0" borderId="0" xfId="0" applyFont="1" applyAlignment="1">
      <alignment vertical="center"/>
    </xf>
    <xf numFmtId="0" fontId="56" fillId="29" borderId="0" xfId="0" applyFont="1" applyFill="1" applyAlignment="1">
      <alignment vertical="center"/>
    </xf>
    <xf numFmtId="4" fontId="56" fillId="29" borderId="0" xfId="0" applyNumberFormat="1" applyFont="1" applyFill="1" applyAlignment="1">
      <alignment vertical="center"/>
    </xf>
    <xf numFmtId="0" fontId="0" fillId="0" borderId="54" xfId="0" applyBorder="1" applyAlignment="1">
      <alignment vertical="center"/>
    </xf>
    <xf numFmtId="0" fontId="0" fillId="0" borderId="11" xfId="0" applyBorder="1" applyAlignment="1">
      <alignment vertical="center"/>
    </xf>
    <xf numFmtId="180" fontId="34" fillId="0" borderId="0" xfId="0" applyNumberFormat="1" applyFont="1" applyAlignment="1">
      <alignment vertical="center"/>
    </xf>
    <xf numFmtId="186" fontId="49" fillId="21" borderId="112" xfId="24" applyNumberFormat="1" applyFont="1" applyFill="1" applyBorder="1" applyAlignment="1">
      <alignment vertical="center"/>
    </xf>
    <xf numFmtId="0" fontId="48" fillId="29" borderId="22" xfId="0" applyFont="1" applyFill="1" applyBorder="1" applyAlignment="1">
      <alignment horizontal="right" vertical="center"/>
    </xf>
    <xf numFmtId="183" fontId="51" fillId="29" borderId="23" xfId="0" applyNumberFormat="1" applyFont="1" applyFill="1" applyBorder="1" applyAlignment="1">
      <alignment horizontal="right" vertical="center" wrapText="1"/>
    </xf>
    <xf numFmtId="10" fontId="51" fillId="0" borderId="0" xfId="28" applyNumberFormat="1" applyFont="1" applyAlignment="1">
      <alignment horizontal="center" vertical="center" wrapText="1"/>
    </xf>
    <xf numFmtId="0" fontId="51" fillId="0" borderId="0" xfId="0" applyFont="1" applyAlignment="1">
      <alignment horizontal="right" vertical="center" wrapText="1"/>
    </xf>
    <xf numFmtId="10" fontId="38" fillId="0" borderId="0" xfId="24" applyNumberFormat="1" applyFont="1" applyAlignment="1">
      <alignment horizontal="center" vertical="center"/>
    </xf>
    <xf numFmtId="0" fontId="38" fillId="0" borderId="0" xfId="0" applyFont="1" applyAlignment="1">
      <alignment horizontal="center" vertical="center" wrapText="1"/>
    </xf>
    <xf numFmtId="167" fontId="17" fillId="0" borderId="0" xfId="10" applyFont="1" applyAlignment="1">
      <alignment vertical="center"/>
    </xf>
    <xf numFmtId="0" fontId="55" fillId="0" borderId="0" xfId="0" applyFont="1"/>
    <xf numFmtId="0" fontId="13" fillId="31" borderId="4" xfId="21" applyFont="1" applyFill="1" applyBorder="1" applyAlignment="1">
      <alignment horizontal="center" vertical="center" wrapText="1"/>
    </xf>
    <xf numFmtId="0" fontId="13" fillId="0" borderId="4" xfId="21" applyFont="1" applyBorder="1" applyAlignment="1">
      <alignment horizontal="center" vertical="center" wrapText="1"/>
    </xf>
    <xf numFmtId="180" fontId="37" fillId="0" borderId="0" xfId="0" applyNumberFormat="1" applyFont="1" applyAlignment="1">
      <alignment horizontal="center" vertical="center"/>
    </xf>
    <xf numFmtId="180" fontId="57" fillId="0" borderId="0" xfId="0" applyNumberFormat="1" applyFont="1" applyAlignment="1">
      <alignment horizontal="center" vertical="center"/>
    </xf>
    <xf numFmtId="0" fontId="58" fillId="0" borderId="0" xfId="0" applyFont="1" applyAlignment="1">
      <alignment horizontal="center" vertical="center"/>
    </xf>
    <xf numFmtId="0" fontId="13" fillId="32" borderId="4" xfId="21" applyFont="1" applyFill="1" applyBorder="1" applyAlignment="1">
      <alignment horizontal="center" vertical="center" wrapText="1"/>
    </xf>
    <xf numFmtId="180" fontId="37" fillId="32" borderId="0" xfId="0" applyNumberFormat="1" applyFont="1" applyFill="1" applyAlignment="1">
      <alignment horizontal="center" vertical="center"/>
    </xf>
    <xf numFmtId="180" fontId="57" fillId="32" borderId="0" xfId="0" applyNumberFormat="1" applyFont="1" applyFill="1" applyAlignment="1">
      <alignment horizontal="center" vertical="center"/>
    </xf>
    <xf numFmtId="0" fontId="58" fillId="27" borderId="0" xfId="0" applyFont="1" applyFill="1" applyAlignment="1">
      <alignment horizontal="center" vertical="center"/>
    </xf>
    <xf numFmtId="178" fontId="57" fillId="27" borderId="0" xfId="0" applyNumberFormat="1" applyFont="1" applyFill="1" applyAlignment="1">
      <alignment horizontal="center" vertical="center"/>
    </xf>
    <xf numFmtId="0" fontId="58" fillId="0" borderId="0" xfId="0" applyFont="1"/>
    <xf numFmtId="0" fontId="14" fillId="33" borderId="0" xfId="0" applyFont="1" applyFill="1" applyAlignment="1">
      <alignment vertical="center"/>
    </xf>
    <xf numFmtId="179" fontId="37" fillId="34" borderId="0" xfId="0" applyNumberFormat="1" applyFont="1" applyFill="1" applyAlignment="1">
      <alignment horizontal="center" vertical="center"/>
    </xf>
    <xf numFmtId="180" fontId="12" fillId="33" borderId="0" xfId="0" applyNumberFormat="1" applyFont="1" applyFill="1" applyAlignment="1">
      <alignment horizontal="center" vertical="center"/>
    </xf>
    <xf numFmtId="0" fontId="52" fillId="0" borderId="0" xfId="0" applyFont="1" applyAlignment="1">
      <alignment vertical="center"/>
    </xf>
    <xf numFmtId="0" fontId="59" fillId="0" borderId="0" xfId="0" applyFont="1"/>
    <xf numFmtId="187" fontId="6" fillId="0" borderId="16" xfId="28" applyNumberFormat="1" applyFont="1" applyFill="1" applyBorder="1" applyAlignment="1" applyProtection="1">
      <alignment horizontal="center" vertical="center" wrapText="1"/>
    </xf>
    <xf numFmtId="9" fontId="7" fillId="0" borderId="0" xfId="30" applyFont="1" applyFill="1" applyBorder="1" applyAlignment="1" applyProtection="1">
      <alignment vertical="center" wrapText="1"/>
    </xf>
    <xf numFmtId="167" fontId="7" fillId="0" borderId="0" xfId="10" applyFont="1" applyFill="1" applyBorder="1" applyAlignment="1" applyProtection="1">
      <alignment vertical="center" wrapText="1"/>
    </xf>
    <xf numFmtId="0" fontId="60" fillId="31" borderId="4" xfId="21" applyFont="1" applyFill="1" applyBorder="1" applyAlignment="1">
      <alignment horizontal="center" vertical="center" wrapText="1"/>
    </xf>
    <xf numFmtId="0" fontId="60" fillId="0" borderId="4" xfId="21" applyFont="1" applyBorder="1" applyAlignment="1">
      <alignment horizontal="center" vertical="center" wrapText="1"/>
    </xf>
    <xf numFmtId="180" fontId="62" fillId="0" borderId="0" xfId="0" applyNumberFormat="1" applyFont="1" applyAlignment="1">
      <alignment horizontal="center" vertical="center"/>
    </xf>
    <xf numFmtId="180" fontId="63" fillId="0" borderId="0" xfId="0" applyNumberFormat="1" applyFont="1" applyAlignment="1">
      <alignment horizontal="center" vertical="center"/>
    </xf>
    <xf numFmtId="0" fontId="60" fillId="32" borderId="4" xfId="21" applyFont="1" applyFill="1" applyBorder="1" applyAlignment="1">
      <alignment horizontal="center" vertical="center" wrapText="1"/>
    </xf>
    <xf numFmtId="180" fontId="62" fillId="32" borderId="0" xfId="0" applyNumberFormat="1" applyFont="1" applyFill="1" applyAlignment="1">
      <alignment horizontal="center" vertical="center"/>
    </xf>
    <xf numFmtId="180" fontId="63" fillId="32" borderId="0" xfId="0" applyNumberFormat="1" applyFont="1" applyFill="1" applyAlignment="1">
      <alignment horizontal="center" vertical="center"/>
    </xf>
    <xf numFmtId="0" fontId="64" fillId="0" borderId="0" xfId="0" applyFont="1" applyAlignment="1">
      <alignment horizontal="center" vertical="center"/>
    </xf>
    <xf numFmtId="0" fontId="64" fillId="27" borderId="0" xfId="0" applyFont="1" applyFill="1" applyAlignment="1">
      <alignment horizontal="center" vertical="center"/>
    </xf>
    <xf numFmtId="178" fontId="63" fillId="27" borderId="0" xfId="0" applyNumberFormat="1" applyFont="1" applyFill="1" applyAlignment="1">
      <alignment horizontal="center" vertical="center"/>
    </xf>
    <xf numFmtId="0" fontId="64" fillId="0" borderId="0" xfId="0" applyFont="1"/>
    <xf numFmtId="0" fontId="61" fillId="33" borderId="0" xfId="0" applyFont="1" applyFill="1" applyAlignment="1">
      <alignment vertical="center"/>
    </xf>
    <xf numFmtId="179" fontId="62" fillId="34" borderId="0" xfId="0" applyNumberFormat="1" applyFont="1" applyFill="1" applyAlignment="1">
      <alignment horizontal="center" vertical="center"/>
    </xf>
    <xf numFmtId="180" fontId="65" fillId="33" borderId="0" xfId="0" applyNumberFormat="1" applyFont="1" applyFill="1" applyAlignment="1">
      <alignment horizontal="center" vertical="center"/>
    </xf>
    <xf numFmtId="181" fontId="38" fillId="35" borderId="4" xfId="10" applyNumberFormat="1" applyFont="1" applyFill="1" applyBorder="1" applyAlignment="1">
      <alignment horizontal="center" vertical="center" wrapText="1"/>
    </xf>
    <xf numFmtId="9" fontId="38" fillId="35" borderId="4" xfId="10" applyNumberFormat="1" applyFont="1" applyFill="1" applyBorder="1" applyAlignment="1">
      <alignment horizontal="center" vertical="center" wrapText="1"/>
    </xf>
    <xf numFmtId="9" fontId="15" fillId="23" borderId="4" xfId="0" applyNumberFormat="1" applyFont="1" applyFill="1" applyBorder="1" applyAlignment="1">
      <alignment horizontal="center" vertical="center"/>
    </xf>
    <xf numFmtId="0" fontId="7" fillId="0" borderId="4" xfId="21" applyFont="1" applyBorder="1" applyAlignment="1">
      <alignment horizontal="left" vertical="center"/>
    </xf>
    <xf numFmtId="0" fontId="7" fillId="24" borderId="4" xfId="21" applyFont="1" applyFill="1" applyBorder="1" applyAlignment="1">
      <alignment horizontal="left" vertical="center"/>
    </xf>
    <xf numFmtId="180" fontId="37" fillId="23" borderId="0" xfId="0" applyNumberFormat="1" applyFont="1" applyFill="1" applyAlignment="1">
      <alignment horizontal="center" vertical="center"/>
    </xf>
    <xf numFmtId="188" fontId="15" fillId="0" borderId="0" xfId="0" applyNumberFormat="1" applyFont="1" applyAlignment="1">
      <alignment vertical="center"/>
    </xf>
    <xf numFmtId="183" fontId="7" fillId="0" borderId="8" xfId="0" applyNumberFormat="1" applyFont="1" applyBorder="1" applyAlignment="1">
      <alignment horizontal="right" vertical="center" wrapText="1"/>
    </xf>
    <xf numFmtId="0" fontId="7" fillId="0" borderId="92" xfId="0" applyFont="1" applyBorder="1" applyAlignment="1">
      <alignment horizontal="center" vertical="center" wrapText="1"/>
    </xf>
    <xf numFmtId="0" fontId="17" fillId="0" borderId="0" xfId="14" applyNumberFormat="1" applyFont="1" applyAlignment="1">
      <alignment vertical="center"/>
    </xf>
    <xf numFmtId="176" fontId="15" fillId="0" borderId="0" xfId="0" applyNumberFormat="1" applyFont="1" applyAlignment="1">
      <alignment vertical="center" wrapText="1"/>
    </xf>
    <xf numFmtId="0" fontId="38" fillId="0" borderId="0" xfId="24" applyFont="1" applyAlignment="1">
      <alignment horizontal="center" vertical="center" wrapText="1"/>
    </xf>
    <xf numFmtId="0" fontId="38" fillId="0" borderId="0" xfId="24" applyFont="1" applyAlignment="1">
      <alignment horizontal="center" vertical="center"/>
    </xf>
    <xf numFmtId="0" fontId="34" fillId="0" borderId="0" xfId="24" applyFont="1" applyAlignment="1">
      <alignment horizontal="right" vertical="center"/>
    </xf>
    <xf numFmtId="9" fontId="34" fillId="0" borderId="0" xfId="24" applyNumberFormat="1" applyFont="1" applyAlignment="1">
      <alignment horizontal="right" vertical="center"/>
    </xf>
    <xf numFmtId="9" fontId="34" fillId="0" borderId="0" xfId="0" applyNumberFormat="1" applyFont="1"/>
    <xf numFmtId="178" fontId="34" fillId="0" borderId="0" xfId="24" applyNumberFormat="1" applyFont="1" applyAlignment="1">
      <alignment horizontal="center" vertical="center"/>
    </xf>
    <xf numFmtId="179" fontId="38" fillId="0" borderId="0" xfId="24" applyNumberFormat="1" applyFont="1" applyAlignment="1">
      <alignment horizontal="center" vertical="center"/>
    </xf>
    <xf numFmtId="179" fontId="34" fillId="0" borderId="0" xfId="24" applyNumberFormat="1" applyFont="1" applyAlignment="1">
      <alignment vertical="center"/>
    </xf>
    <xf numFmtId="179" fontId="34" fillId="0" borderId="0" xfId="24" applyNumberFormat="1" applyFont="1" applyAlignment="1">
      <alignment horizontal="center" vertical="center"/>
    </xf>
    <xf numFmtId="179" fontId="34" fillId="0" borderId="0" xfId="24" applyNumberFormat="1" applyFont="1" applyAlignment="1">
      <alignment horizontal="center" vertical="center" wrapText="1"/>
    </xf>
    <xf numFmtId="183" fontId="49" fillId="25" borderId="85" xfId="0" applyNumberFormat="1" applyFont="1" applyFill="1" applyBorder="1" applyAlignment="1">
      <alignment horizontal="right" vertical="center" wrapText="1"/>
    </xf>
    <xf numFmtId="0" fontId="38" fillId="19" borderId="54" xfId="0" applyFont="1" applyFill="1" applyBorder="1" applyAlignment="1">
      <alignment horizontal="center" vertical="center" wrapText="1"/>
    </xf>
    <xf numFmtId="0" fontId="6" fillId="19" borderId="55" xfId="24" applyFont="1" applyFill="1" applyBorder="1" applyAlignment="1">
      <alignment horizontal="center" vertical="center" wrapText="1"/>
    </xf>
    <xf numFmtId="183" fontId="51" fillId="0" borderId="28" xfId="0" applyNumberFormat="1" applyFont="1" applyBorder="1" applyAlignment="1">
      <alignment horizontal="right" vertical="center" wrapText="1"/>
    </xf>
    <xf numFmtId="0" fontId="34" fillId="0" borderId="11" xfId="0" applyFont="1" applyBorder="1" applyAlignment="1">
      <alignment vertical="center"/>
    </xf>
    <xf numFmtId="183" fontId="51" fillId="0" borderId="5" xfId="0" applyNumberFormat="1" applyFont="1" applyBorder="1" applyAlignment="1">
      <alignment horizontal="right" vertical="center" wrapText="1"/>
    </xf>
    <xf numFmtId="0" fontId="34" fillId="0" borderId="37" xfId="0" applyFont="1" applyBorder="1" applyAlignment="1">
      <alignment vertical="center"/>
    </xf>
    <xf numFmtId="183" fontId="51" fillId="0" borderId="53" xfId="0" applyNumberFormat="1" applyFont="1" applyBorder="1" applyAlignment="1">
      <alignment horizontal="right" vertical="center" wrapText="1"/>
    </xf>
    <xf numFmtId="183" fontId="51" fillId="29" borderId="26" xfId="0" applyNumberFormat="1" applyFont="1" applyFill="1" applyBorder="1" applyAlignment="1">
      <alignment horizontal="right" vertical="center" wrapText="1"/>
    </xf>
    <xf numFmtId="0" fontId="38" fillId="19" borderId="27" xfId="0" applyFont="1" applyFill="1" applyBorder="1" applyAlignment="1">
      <alignment horizontal="right" vertical="center"/>
    </xf>
    <xf numFmtId="183" fontId="51" fillId="19" borderId="34" xfId="0" applyNumberFormat="1" applyFont="1" applyFill="1" applyBorder="1" applyAlignment="1">
      <alignment vertical="center" wrapText="1"/>
    </xf>
    <xf numFmtId="0" fontId="15" fillId="0" borderId="0" xfId="0" applyFont="1" applyAlignment="1">
      <alignment horizontal="center" wrapText="1"/>
    </xf>
    <xf numFmtId="0" fontId="7" fillId="0" borderId="0" xfId="30" applyNumberFormat="1" applyFont="1" applyFill="1" applyBorder="1" applyAlignment="1" applyProtection="1">
      <alignment vertical="center" wrapText="1"/>
    </xf>
    <xf numFmtId="184" fontId="6" fillId="26" borderId="0" xfId="0" applyNumberFormat="1" applyFont="1" applyFill="1" applyAlignment="1">
      <alignment horizontal="center" vertical="center"/>
    </xf>
    <xf numFmtId="184" fontId="6" fillId="27" borderId="0" xfId="0" applyNumberFormat="1" applyFont="1" applyFill="1" applyAlignment="1">
      <alignment horizontal="center" vertical="center"/>
    </xf>
    <xf numFmtId="0" fontId="15" fillId="0" borderId="0" xfId="0" applyFont="1" applyAlignment="1">
      <alignment horizontal="left" vertical="center"/>
    </xf>
    <xf numFmtId="173" fontId="15" fillId="0" borderId="0" xfId="0" applyNumberFormat="1" applyFont="1" applyAlignment="1">
      <alignment vertical="center"/>
    </xf>
    <xf numFmtId="0" fontId="15" fillId="0" borderId="0" xfId="0" applyFont="1" applyAlignment="1">
      <alignment horizontal="center" vertical="center"/>
    </xf>
    <xf numFmtId="0" fontId="5" fillId="2" borderId="0" xfId="21" applyFont="1" applyFill="1" applyAlignment="1">
      <alignment horizontal="center" vertical="center" wrapText="1"/>
    </xf>
    <xf numFmtId="176" fontId="15" fillId="0" borderId="0" xfId="0" applyNumberFormat="1" applyFont="1" applyAlignment="1">
      <alignment horizontal="center" vertical="center"/>
    </xf>
    <xf numFmtId="10" fontId="14" fillId="0" borderId="0" xfId="28" applyNumberFormat="1" applyFont="1" applyBorder="1" applyAlignment="1">
      <alignment horizontal="center" vertical="center"/>
    </xf>
    <xf numFmtId="176" fontId="15" fillId="0" borderId="0" xfId="13" applyNumberFormat="1" applyFont="1" applyBorder="1" applyAlignment="1">
      <alignment horizontal="center" vertical="center"/>
    </xf>
    <xf numFmtId="0" fontId="7" fillId="0" borderId="0" xfId="30" applyNumberFormat="1" applyFont="1" applyFill="1" applyBorder="1" applyAlignment="1" applyProtection="1">
      <alignment horizontal="center" vertical="center" wrapText="1"/>
    </xf>
    <xf numFmtId="9" fontId="15" fillId="0" borderId="0" xfId="28" applyFont="1" applyAlignment="1">
      <alignment horizontal="center" vertical="center"/>
    </xf>
    <xf numFmtId="9" fontId="6" fillId="0" borderId="0" xfId="21" applyNumberFormat="1" applyFont="1" applyAlignment="1">
      <alignment horizontal="center" vertical="center" wrapText="1"/>
    </xf>
    <xf numFmtId="0" fontId="55" fillId="0" borderId="0" xfId="0" applyFont="1" applyAlignment="1">
      <alignment horizontal="center"/>
    </xf>
    <xf numFmtId="0" fontId="58" fillId="0" borderId="0" xfId="0" applyFont="1" applyAlignment="1">
      <alignment horizontal="center"/>
    </xf>
    <xf numFmtId="10" fontId="66" fillId="0" borderId="0" xfId="24" applyNumberFormat="1" applyFont="1" applyAlignment="1">
      <alignment horizontal="center" vertical="center"/>
    </xf>
    <xf numFmtId="179" fontId="66" fillId="0" borderId="0" xfId="24" applyNumberFormat="1" applyFont="1" applyAlignment="1">
      <alignment horizontal="center" vertical="center"/>
    </xf>
    <xf numFmtId="0" fontId="18" fillId="0" borderId="0" xfId="14" applyNumberFormat="1" applyFont="1" applyAlignment="1">
      <alignment vertical="center"/>
    </xf>
    <xf numFmtId="0" fontId="7" fillId="0" borderId="0" xfId="14" applyNumberFormat="1" applyFont="1" applyAlignment="1">
      <alignment vertical="center" wrapText="1"/>
    </xf>
    <xf numFmtId="9" fontId="0" fillId="0" borderId="0" xfId="0" applyNumberFormat="1"/>
    <xf numFmtId="185" fontId="34" fillId="0" borderId="0" xfId="24" applyNumberFormat="1" applyFont="1" applyAlignment="1">
      <alignment vertical="center"/>
    </xf>
    <xf numFmtId="10" fontId="34" fillId="0" borderId="0" xfId="0" applyNumberFormat="1" applyFont="1" applyAlignment="1">
      <alignment vertical="center"/>
    </xf>
    <xf numFmtId="9" fontId="34" fillId="0" borderId="0" xfId="28" applyFont="1" applyAlignment="1">
      <alignment vertical="center"/>
    </xf>
    <xf numFmtId="10" fontId="34" fillId="0" borderId="4" xfId="28" applyNumberFormat="1" applyFont="1" applyBorder="1" applyAlignment="1">
      <alignment horizontal="center" vertical="center"/>
    </xf>
    <xf numFmtId="180" fontId="34" fillId="0" borderId="0" xfId="24" applyNumberFormat="1" applyFont="1" applyAlignment="1">
      <alignment vertical="center"/>
    </xf>
    <xf numFmtId="184" fontId="34" fillId="0" borderId="0" xfId="0" applyNumberFormat="1" applyFont="1" applyAlignment="1">
      <alignment vertical="center"/>
    </xf>
    <xf numFmtId="183" fontId="34" fillId="0" borderId="0" xfId="0" applyNumberFormat="1" applyFont="1" applyAlignment="1">
      <alignment vertical="center"/>
    </xf>
    <xf numFmtId="10" fontId="11" fillId="0" borderId="0" xfId="28" applyNumberFormat="1" applyFont="1" applyFill="1" applyAlignment="1">
      <alignment vertical="center" wrapText="1"/>
    </xf>
    <xf numFmtId="167" fontId="11" fillId="0" borderId="0" xfId="10" applyFont="1" applyFill="1" applyAlignment="1">
      <alignment vertical="center" wrapText="1"/>
    </xf>
    <xf numFmtId="166" fontId="13" fillId="0" borderId="0" xfId="14" applyFont="1" applyAlignment="1">
      <alignment horizontal="center" vertical="center"/>
    </xf>
    <xf numFmtId="0" fontId="7" fillId="0" borderId="0" xfId="0" applyFont="1" applyAlignment="1">
      <alignment horizontal="center" vertical="center"/>
    </xf>
    <xf numFmtId="0" fontId="48" fillId="0" borderId="0" xfId="0" applyFont="1"/>
    <xf numFmtId="0" fontId="68" fillId="0" borderId="0" xfId="0" applyFont="1"/>
    <xf numFmtId="0" fontId="69" fillId="0" borderId="0" xfId="0" applyFont="1" applyAlignment="1">
      <alignment horizontal="center" vertical="center" wrapText="1"/>
    </xf>
    <xf numFmtId="0" fontId="52" fillId="23" borderId="90" xfId="0" applyFont="1" applyFill="1" applyBorder="1" applyAlignment="1">
      <alignment horizontal="center" vertical="center" wrapText="1"/>
    </xf>
    <xf numFmtId="183" fontId="52" fillId="23" borderId="4" xfId="0" applyNumberFormat="1" applyFont="1" applyFill="1" applyBorder="1" applyAlignment="1">
      <alignment horizontal="right" vertical="center" wrapText="1"/>
    </xf>
    <xf numFmtId="0" fontId="52" fillId="23" borderId="93" xfId="0" applyFont="1" applyFill="1" applyBorder="1" applyAlignment="1">
      <alignment horizontal="center" vertical="center" wrapText="1"/>
    </xf>
    <xf numFmtId="183" fontId="52" fillId="23" borderId="13" xfId="0" applyNumberFormat="1" applyFont="1" applyFill="1" applyBorder="1" applyAlignment="1">
      <alignment horizontal="right" vertical="center" wrapText="1"/>
    </xf>
    <xf numFmtId="0" fontId="52" fillId="23" borderId="92" xfId="0" applyFont="1" applyFill="1" applyBorder="1" applyAlignment="1">
      <alignment horizontal="center" vertical="center" wrapText="1"/>
    </xf>
    <xf numFmtId="183" fontId="52" fillId="23" borderId="8" xfId="0" applyNumberFormat="1" applyFont="1" applyFill="1" applyBorder="1" applyAlignment="1">
      <alignment horizontal="right" vertical="center" wrapText="1"/>
    </xf>
    <xf numFmtId="183" fontId="51" fillId="23" borderId="4" xfId="0" applyNumberFormat="1" applyFont="1" applyFill="1" applyBorder="1" applyAlignment="1">
      <alignment horizontal="right" vertical="center" wrapText="1"/>
    </xf>
    <xf numFmtId="183" fontId="52" fillId="23" borderId="32" xfId="0" applyNumberFormat="1" applyFont="1" applyFill="1" applyBorder="1" applyAlignment="1">
      <alignment horizontal="right" vertical="center" wrapText="1"/>
    </xf>
    <xf numFmtId="183" fontId="51" fillId="23" borderId="13" xfId="0" applyNumberFormat="1" applyFont="1" applyFill="1" applyBorder="1" applyAlignment="1">
      <alignment horizontal="right" vertical="center" wrapText="1"/>
    </xf>
    <xf numFmtId="0" fontId="52" fillId="23" borderId="91" xfId="24" applyFont="1" applyFill="1" applyBorder="1" applyAlignment="1">
      <alignment horizontal="center" vertical="center" wrapText="1"/>
    </xf>
    <xf numFmtId="187" fontId="6" fillId="0" borderId="35" xfId="28" applyNumberFormat="1" applyFont="1" applyFill="1" applyBorder="1" applyAlignment="1" applyProtection="1">
      <alignment horizontal="center" vertical="center" wrapText="1"/>
    </xf>
    <xf numFmtId="187" fontId="6" fillId="0" borderId="34" xfId="28" applyNumberFormat="1" applyFont="1" applyFill="1" applyBorder="1" applyAlignment="1" applyProtection="1">
      <alignment horizontal="center" vertical="center" wrapText="1"/>
    </xf>
    <xf numFmtId="0" fontId="61" fillId="0" borderId="0" xfId="0" applyFont="1" applyAlignment="1">
      <alignment horizontal="center" vertical="center"/>
    </xf>
    <xf numFmtId="0" fontId="62" fillId="0" borderId="0" xfId="0" applyFont="1" applyAlignment="1">
      <alignment horizontal="center" vertical="center"/>
    </xf>
    <xf numFmtId="181" fontId="37" fillId="0" borderId="0" xfId="0" applyNumberFormat="1" applyFont="1" applyAlignment="1">
      <alignment horizontal="center" vertical="center"/>
    </xf>
    <xf numFmtId="180" fontId="6" fillId="0" borderId="35" xfId="28" applyNumberFormat="1" applyFont="1" applyFill="1" applyBorder="1" applyAlignment="1" applyProtection="1">
      <alignment horizontal="center" vertical="center" wrapText="1"/>
    </xf>
    <xf numFmtId="180" fontId="6" fillId="0" borderId="34" xfId="28" applyNumberFormat="1" applyFont="1" applyFill="1" applyBorder="1" applyAlignment="1" applyProtection="1">
      <alignment horizontal="center" vertical="center" wrapText="1"/>
    </xf>
    <xf numFmtId="180" fontId="13" fillId="0" borderId="35" xfId="28" applyNumberFormat="1" applyFont="1" applyFill="1" applyBorder="1" applyAlignment="1" applyProtection="1">
      <alignment horizontal="center" vertical="center" wrapText="1"/>
    </xf>
    <xf numFmtId="180" fontId="7" fillId="0" borderId="4" xfId="0" applyNumberFormat="1" applyFont="1" applyBorder="1" applyAlignment="1">
      <alignment horizontal="center" vertical="center"/>
    </xf>
    <xf numFmtId="178" fontId="7" fillId="0" borderId="4" xfId="0" applyNumberFormat="1" applyFont="1" applyBorder="1" applyAlignment="1">
      <alignment horizontal="center" vertical="center"/>
    </xf>
    <xf numFmtId="9" fontId="7" fillId="0" borderId="4" xfId="10" applyNumberFormat="1" applyFont="1" applyBorder="1" applyAlignment="1">
      <alignment horizontal="center" vertical="center" wrapText="1"/>
    </xf>
    <xf numFmtId="166" fontId="71" fillId="0" borderId="0" xfId="14" applyFont="1" applyAlignment="1">
      <alignment vertical="center"/>
    </xf>
    <xf numFmtId="166" fontId="72" fillId="0" borderId="0" xfId="14" applyFont="1" applyAlignment="1">
      <alignment vertical="center"/>
    </xf>
    <xf numFmtId="0" fontId="72" fillId="0" borderId="0" xfId="0" applyFont="1" applyAlignment="1">
      <alignment vertical="center"/>
    </xf>
    <xf numFmtId="0" fontId="71" fillId="0" borderId="0" xfId="0" applyFont="1" applyAlignment="1">
      <alignment vertical="center"/>
    </xf>
    <xf numFmtId="0" fontId="73" fillId="0" borderId="0" xfId="0" applyFont="1" applyAlignment="1">
      <alignment vertical="center"/>
    </xf>
    <xf numFmtId="0" fontId="52" fillId="0" borderId="22" xfId="21" applyFont="1" applyBorder="1" applyAlignment="1">
      <alignment horizontal="center" vertical="center" wrapText="1"/>
    </xf>
    <xf numFmtId="9" fontId="51" fillId="0" borderId="16" xfId="21" applyNumberFormat="1" applyFont="1" applyBorder="1" applyAlignment="1">
      <alignment horizontal="center" vertical="center" wrapText="1"/>
    </xf>
    <xf numFmtId="181" fontId="51" fillId="0" borderId="16" xfId="28" applyNumberFormat="1" applyFont="1" applyFill="1" applyBorder="1" applyAlignment="1" applyProtection="1">
      <alignment horizontal="center" vertical="center" wrapText="1"/>
    </xf>
    <xf numFmtId="179" fontId="51" fillId="0" borderId="16" xfId="28" applyNumberFormat="1" applyFont="1" applyFill="1" applyBorder="1" applyAlignment="1" applyProtection="1">
      <alignment horizontal="center" vertical="center" wrapText="1"/>
    </xf>
    <xf numFmtId="179" fontId="51" fillId="0" borderId="24" xfId="28" applyNumberFormat="1" applyFont="1" applyFill="1" applyBorder="1" applyAlignment="1" applyProtection="1">
      <alignment horizontal="center" vertical="center" wrapText="1"/>
    </xf>
    <xf numFmtId="179" fontId="51" fillId="0" borderId="35" xfId="28" applyNumberFormat="1" applyFont="1" applyFill="1" applyBorder="1" applyAlignment="1" applyProtection="1">
      <alignment horizontal="center" vertical="center" wrapText="1"/>
    </xf>
    <xf numFmtId="2" fontId="51" fillId="0" borderId="16" xfId="28" applyNumberFormat="1" applyFont="1" applyFill="1" applyBorder="1" applyAlignment="1" applyProtection="1">
      <alignment horizontal="center" vertical="center" wrapText="1"/>
    </xf>
    <xf numFmtId="180" fontId="51" fillId="0" borderId="16" xfId="28" applyNumberFormat="1" applyFont="1" applyFill="1" applyBorder="1" applyAlignment="1" applyProtection="1">
      <alignment horizontal="center" vertical="center" wrapText="1"/>
    </xf>
    <xf numFmtId="0" fontId="6" fillId="9" borderId="0" xfId="21" applyFont="1" applyFill="1" applyAlignment="1">
      <alignment horizontal="center" vertical="center" wrapText="1"/>
    </xf>
    <xf numFmtId="0" fontId="6" fillId="0" borderId="0" xfId="21" applyFont="1" applyAlignment="1">
      <alignment horizontal="center" vertical="center" wrapText="1"/>
    </xf>
    <xf numFmtId="0" fontId="6" fillId="0" borderId="18" xfId="21" applyFont="1" applyBorder="1" applyAlignment="1">
      <alignment horizontal="center" vertical="center" wrapText="1"/>
    </xf>
    <xf numFmtId="0" fontId="6" fillId="22" borderId="27" xfId="21" applyFont="1" applyFill="1" applyBorder="1" applyAlignment="1">
      <alignment horizontal="center" vertical="center" wrapText="1"/>
    </xf>
    <xf numFmtId="0" fontId="6" fillId="22" borderId="4" xfId="21" applyFont="1" applyFill="1" applyBorder="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center" vertical="center" wrapText="1"/>
    </xf>
    <xf numFmtId="0" fontId="38" fillId="10" borderId="4" xfId="0" applyFont="1" applyFill="1" applyBorder="1" applyAlignment="1">
      <alignment horizontal="center" vertical="center" wrapText="1"/>
    </xf>
    <xf numFmtId="0" fontId="38" fillId="19" borderId="33" xfId="24" applyFont="1" applyFill="1" applyBorder="1" applyAlignment="1">
      <alignment horizontal="center" vertical="center" wrapText="1"/>
    </xf>
    <xf numFmtId="0" fontId="51" fillId="0" borderId="0" xfId="0" applyFont="1" applyAlignment="1">
      <alignment horizontal="center" vertical="center" wrapText="1"/>
    </xf>
    <xf numFmtId="0" fontId="35" fillId="21" borderId="4" xfId="0" applyFont="1" applyFill="1" applyBorder="1" applyAlignment="1">
      <alignment horizontal="center" vertical="center" wrapText="1"/>
    </xf>
    <xf numFmtId="0" fontId="0" fillId="0" borderId="6" xfId="0" applyBorder="1" applyAlignment="1">
      <alignment horizontal="center"/>
    </xf>
    <xf numFmtId="0" fontId="18" fillId="0" borderId="0" xfId="0" applyFont="1" applyAlignment="1">
      <alignment horizontal="center" vertical="center" wrapText="1"/>
    </xf>
    <xf numFmtId="0" fontId="7" fillId="0" borderId="0" xfId="0" applyFont="1" applyAlignment="1">
      <alignment vertical="center"/>
    </xf>
    <xf numFmtId="180" fontId="74" fillId="0" borderId="0" xfId="0" applyNumberFormat="1" applyFont="1" applyAlignment="1">
      <alignment horizontal="center" vertical="center"/>
    </xf>
    <xf numFmtId="180" fontId="74" fillId="32" borderId="0" xfId="0" applyNumberFormat="1" applyFont="1" applyFill="1" applyAlignment="1">
      <alignment horizontal="center" vertical="center"/>
    </xf>
    <xf numFmtId="0" fontId="37" fillId="27" borderId="0" xfId="0" applyFont="1" applyFill="1" applyAlignment="1">
      <alignment horizontal="center" vertical="center"/>
    </xf>
    <xf numFmtId="178" fontId="74" fillId="27" borderId="0" xfId="0" applyNumberFormat="1" applyFont="1" applyFill="1" applyAlignment="1">
      <alignment horizontal="center" vertical="center"/>
    </xf>
    <xf numFmtId="0" fontId="37" fillId="0" borderId="0" xfId="0" applyFont="1"/>
    <xf numFmtId="0" fontId="16" fillId="0" borderId="0" xfId="0" applyFont="1" applyAlignment="1">
      <alignment horizontal="center" vertical="top"/>
    </xf>
    <xf numFmtId="0" fontId="29" fillId="0" borderId="0" xfId="0" applyFont="1"/>
    <xf numFmtId="179" fontId="29" fillId="0" borderId="0" xfId="0" applyNumberFormat="1" applyFont="1"/>
    <xf numFmtId="0" fontId="14" fillId="0" borderId="0" xfId="0" applyFont="1" applyAlignment="1">
      <alignment vertical="center" wrapText="1"/>
    </xf>
    <xf numFmtId="0" fontId="14" fillId="0" borderId="0" xfId="14" applyNumberFormat="1" applyFont="1" applyAlignment="1">
      <alignment vertical="center" wrapText="1"/>
    </xf>
    <xf numFmtId="0" fontId="7" fillId="0" borderId="11" xfId="21" applyFont="1" applyBorder="1" applyAlignment="1">
      <alignment horizontal="center" vertical="center" wrapText="1"/>
    </xf>
    <xf numFmtId="1" fontId="6" fillId="0" borderId="4" xfId="28" applyNumberFormat="1" applyFont="1" applyFill="1" applyBorder="1" applyAlignment="1" applyProtection="1">
      <alignment horizontal="center" vertical="center" wrapText="1"/>
    </xf>
    <xf numFmtId="9" fontId="7" fillId="9" borderId="7" xfId="29" applyFont="1" applyFill="1" applyBorder="1" applyAlignment="1" applyProtection="1">
      <alignment horizontal="center" vertical="center" wrapText="1"/>
      <protection locked="0"/>
    </xf>
    <xf numFmtId="9" fontId="7" fillId="10" borderId="5" xfId="28" applyFont="1" applyFill="1" applyBorder="1" applyAlignment="1" applyProtection="1">
      <alignment horizontal="center" vertical="center" wrapText="1"/>
      <protection locked="0"/>
    </xf>
    <xf numFmtId="167" fontId="15" fillId="20" borderId="5" xfId="0" applyNumberFormat="1" applyFont="1" applyFill="1" applyBorder="1" applyAlignment="1">
      <alignment horizontal="center" vertical="center" wrapText="1"/>
    </xf>
    <xf numFmtId="167" fontId="7" fillId="20" borderId="11" xfId="10" applyFont="1" applyFill="1" applyBorder="1" applyAlignment="1" applyProtection="1">
      <alignment vertical="center" wrapText="1"/>
    </xf>
    <xf numFmtId="167" fontId="7" fillId="20" borderId="22" xfId="10" applyFont="1" applyFill="1" applyBorder="1" applyAlignment="1" applyProtection="1">
      <alignment vertical="center" wrapText="1"/>
    </xf>
    <xf numFmtId="0" fontId="6" fillId="10" borderId="16" xfId="21" applyFont="1" applyFill="1" applyBorder="1" applyAlignment="1">
      <alignment horizontal="left" vertical="center" wrapText="1"/>
    </xf>
    <xf numFmtId="167" fontId="15" fillId="20" borderId="16" xfId="0" applyNumberFormat="1" applyFont="1" applyFill="1" applyBorder="1" applyAlignment="1">
      <alignment horizontal="center" vertical="center" wrapText="1"/>
    </xf>
    <xf numFmtId="10" fontId="7" fillId="0" borderId="4" xfId="0" applyNumberFormat="1" applyFont="1" applyBorder="1" applyAlignment="1">
      <alignment horizontal="center" vertical="center"/>
    </xf>
    <xf numFmtId="2" fontId="0" fillId="0" borderId="0" xfId="0" applyNumberFormat="1"/>
    <xf numFmtId="0" fontId="6" fillId="22" borderId="4" xfId="21" applyFont="1" applyFill="1" applyBorder="1" applyAlignment="1">
      <alignment horizontal="center" vertical="center" wrapText="1"/>
    </xf>
    <xf numFmtId="189" fontId="52" fillId="0" borderId="93" xfId="14" applyNumberFormat="1" applyFont="1" applyBorder="1" applyAlignment="1">
      <alignment horizontal="center" vertical="center" wrapText="1"/>
    </xf>
    <xf numFmtId="2" fontId="34" fillId="0" borderId="4" xfId="0" applyNumberFormat="1" applyFont="1" applyBorder="1" applyAlignment="1">
      <alignment horizontal="center" vertical="center"/>
    </xf>
    <xf numFmtId="0" fontId="76" fillId="0" borderId="0" xfId="0" applyFont="1"/>
    <xf numFmtId="180" fontId="76" fillId="0" borderId="0" xfId="0" applyNumberFormat="1" applyFont="1"/>
    <xf numFmtId="0" fontId="48" fillId="0" borderId="4" xfId="0" applyFont="1" applyBorder="1" applyAlignment="1">
      <alignment horizontal="center"/>
    </xf>
    <xf numFmtId="0" fontId="48" fillId="0" borderId="4" xfId="0" applyFont="1" applyBorder="1" applyAlignment="1">
      <alignment horizontal="center" vertical="center" wrapText="1"/>
    </xf>
    <xf numFmtId="0" fontId="48" fillId="0" borderId="52" xfId="0" applyFont="1" applyFill="1" applyBorder="1" applyAlignment="1">
      <alignment horizontal="center" vertical="center" wrapText="1"/>
    </xf>
    <xf numFmtId="0" fontId="0" fillId="0" borderId="0" xfId="0" applyAlignment="1">
      <alignment vertical="center" wrapText="1"/>
    </xf>
    <xf numFmtId="0" fontId="48" fillId="0" borderId="7" xfId="0" applyFont="1" applyBorder="1" applyAlignment="1">
      <alignment horizontal="center" vertical="center" wrapText="1"/>
    </xf>
    <xf numFmtId="4" fontId="45" fillId="0" borderId="4" xfId="0" applyNumberFormat="1" applyFont="1" applyBorder="1"/>
    <xf numFmtId="174" fontId="45" fillId="0" borderId="4" xfId="28" applyNumberFormat="1" applyFont="1" applyBorder="1"/>
    <xf numFmtId="0" fontId="45" fillId="0" borderId="4" xfId="0" applyFont="1" applyBorder="1"/>
    <xf numFmtId="1" fontId="45" fillId="0" borderId="4" xfId="0" applyNumberFormat="1" applyFont="1" applyBorder="1"/>
    <xf numFmtId="2" fontId="45" fillId="0" borderId="4" xfId="0" applyNumberFormat="1" applyFont="1" applyBorder="1"/>
    <xf numFmtId="0" fontId="45" fillId="0" borderId="0" xfId="0" applyFont="1"/>
    <xf numFmtId="4" fontId="79" fillId="0" borderId="4" xfId="0" applyNumberFormat="1" applyFont="1" applyBorder="1"/>
    <xf numFmtId="3" fontId="45" fillId="0" borderId="4" xfId="0" applyNumberFormat="1" applyFont="1" applyBorder="1"/>
    <xf numFmtId="181" fontId="45" fillId="0" borderId="4" xfId="0" applyNumberFormat="1" applyFont="1" applyBorder="1"/>
    <xf numFmtId="4" fontId="45" fillId="19" borderId="4" xfId="0" applyNumberFormat="1" applyFont="1" applyFill="1" applyBorder="1"/>
    <xf numFmtId="2" fontId="45" fillId="19" borderId="4" xfId="0" applyNumberFormat="1" applyFont="1" applyFill="1" applyBorder="1"/>
    <xf numFmtId="1" fontId="45" fillId="19" borderId="4" xfId="0" applyNumberFormat="1" applyFont="1" applyFill="1" applyBorder="1"/>
    <xf numFmtId="0" fontId="45" fillId="19" borderId="4" xfId="0" applyFont="1" applyFill="1" applyBorder="1"/>
    <xf numFmtId="4" fontId="80" fillId="19" borderId="4" xfId="0" applyNumberFormat="1" applyFont="1" applyFill="1" applyBorder="1"/>
    <xf numFmtId="0" fontId="48" fillId="0" borderId="4" xfId="0" applyFont="1" applyBorder="1" applyAlignment="1">
      <alignment horizontal="center"/>
    </xf>
    <xf numFmtId="0" fontId="78" fillId="0" borderId="4" xfId="0" applyFont="1" applyBorder="1" applyAlignment="1">
      <alignment horizontal="center" vertical="center"/>
    </xf>
    <xf numFmtId="0" fontId="78" fillId="0" borderId="4" xfId="0" applyFont="1" applyBorder="1" applyAlignment="1">
      <alignment horizontal="left" vertical="center" wrapText="1"/>
    </xf>
    <xf numFmtId="0" fontId="76" fillId="0" borderId="0" xfId="0" applyFont="1" applyAlignment="1">
      <alignment horizontal="center" wrapText="1"/>
    </xf>
    <xf numFmtId="0" fontId="29" fillId="0" borderId="0" xfId="0" applyFont="1" applyAlignment="1">
      <alignment horizontal="center" wrapText="1"/>
    </xf>
    <xf numFmtId="9" fontId="7" fillId="0" borderId="0" xfId="30" applyFont="1" applyFill="1" applyBorder="1" applyAlignment="1" applyProtection="1">
      <alignment horizontal="left" vertical="center" wrapText="1"/>
    </xf>
    <xf numFmtId="9" fontId="14" fillId="0" borderId="13" xfId="21" applyNumberFormat="1" applyFont="1" applyBorder="1" applyAlignment="1">
      <alignment horizontal="center" vertical="center" wrapText="1"/>
    </xf>
    <xf numFmtId="9" fontId="14" fillId="0" borderId="7" xfId="21" applyNumberFormat="1" applyFont="1" applyBorder="1" applyAlignment="1">
      <alignment horizontal="center" vertical="center" wrapText="1"/>
    </xf>
    <xf numFmtId="0" fontId="13" fillId="31" borderId="13" xfId="21" applyFont="1" applyFill="1" applyBorder="1" applyAlignment="1">
      <alignment horizontal="center" vertical="center" wrapText="1"/>
    </xf>
    <xf numFmtId="0" fontId="13" fillId="31" borderId="7" xfId="21" applyFont="1" applyFill="1" applyBorder="1" applyAlignment="1">
      <alignment horizontal="center" vertical="center" wrapText="1"/>
    </xf>
    <xf numFmtId="0" fontId="13" fillId="31" borderId="5" xfId="21" applyFont="1" applyFill="1" applyBorder="1" applyAlignment="1">
      <alignment horizontal="center" vertical="center" wrapText="1"/>
    </xf>
    <xf numFmtId="0" fontId="13" fillId="31" borderId="44" xfId="21" applyFont="1" applyFill="1" applyBorder="1" applyAlignment="1">
      <alignment horizontal="center" vertical="center" wrapText="1"/>
    </xf>
    <xf numFmtId="0" fontId="13" fillId="31" borderId="8" xfId="21" applyFont="1" applyFill="1" applyBorder="1" applyAlignment="1">
      <alignment horizontal="center" vertical="center" wrapText="1"/>
    </xf>
    <xf numFmtId="0" fontId="6" fillId="9" borderId="5" xfId="21" applyFont="1" applyFill="1" applyBorder="1" applyAlignment="1">
      <alignment horizontal="left" vertical="center" wrapText="1"/>
    </xf>
    <xf numFmtId="0" fontId="6" fillId="9" borderId="44" xfId="21" applyFont="1" applyFill="1" applyBorder="1" applyAlignment="1">
      <alignment horizontal="left" vertical="center" wrapText="1"/>
    </xf>
    <xf numFmtId="0" fontId="6" fillId="9" borderId="8" xfId="21" applyFont="1" applyFill="1" applyBorder="1" applyAlignment="1">
      <alignment horizontal="left" vertical="center" wrapText="1"/>
    </xf>
    <xf numFmtId="0" fontId="6" fillId="9" borderId="45" xfId="21" applyFont="1" applyFill="1" applyBorder="1" applyAlignment="1">
      <alignment horizontal="left" vertical="center" wrapText="1"/>
    </xf>
    <xf numFmtId="0" fontId="6" fillId="9" borderId="26" xfId="21" applyFont="1" applyFill="1" applyBorder="1" applyAlignment="1">
      <alignment horizontal="left" vertical="center" wrapText="1"/>
    </xf>
    <xf numFmtId="0" fontId="6" fillId="9" borderId="46" xfId="21" applyFont="1" applyFill="1" applyBorder="1" applyAlignment="1">
      <alignment horizontal="left" vertical="center" wrapText="1"/>
    </xf>
    <xf numFmtId="0" fontId="6" fillId="9" borderId="47" xfId="21" applyFont="1" applyFill="1" applyBorder="1" applyAlignment="1">
      <alignment horizontal="left" vertical="center" wrapText="1"/>
    </xf>
    <xf numFmtId="0" fontId="6" fillId="9" borderId="48" xfId="21" applyFont="1" applyFill="1" applyBorder="1" applyAlignment="1">
      <alignment horizontal="left" vertical="center" wrapText="1"/>
    </xf>
    <xf numFmtId="2" fontId="7" fillId="0" borderId="11" xfId="21" applyNumberFormat="1" applyFont="1" applyBorder="1" applyAlignment="1">
      <alignment horizontal="justify" vertical="center" wrapText="1"/>
    </xf>
    <xf numFmtId="9" fontId="7" fillId="0" borderId="4" xfId="21" applyNumberFormat="1" applyFont="1" applyBorder="1" applyAlignment="1">
      <alignment horizontal="center" vertical="center" wrapText="1"/>
    </xf>
    <xf numFmtId="9" fontId="7" fillId="0" borderId="4" xfId="21" applyNumberFormat="1" applyFont="1" applyBorder="1" applyAlignment="1">
      <alignment horizontal="justify" vertical="center" wrapText="1"/>
    </xf>
    <xf numFmtId="9" fontId="7" fillId="0" borderId="12" xfId="21" applyNumberFormat="1" applyFont="1" applyBorder="1" applyAlignment="1">
      <alignment horizontal="justify" vertical="center" wrapText="1"/>
    </xf>
    <xf numFmtId="167" fontId="7" fillId="20" borderId="11" xfId="10" applyFont="1" applyFill="1" applyBorder="1" applyAlignment="1" applyProtection="1">
      <alignment horizontal="left" vertical="center" wrapText="1"/>
    </xf>
    <xf numFmtId="167" fontId="7" fillId="20" borderId="4" xfId="10" applyFont="1" applyFill="1" applyBorder="1" applyAlignment="1" applyProtection="1">
      <alignment horizontal="left" vertical="center" wrapText="1"/>
    </xf>
    <xf numFmtId="0" fontId="6" fillId="0" borderId="38" xfId="21" applyFont="1" applyBorder="1" applyAlignment="1">
      <alignment horizontal="center" vertical="center" wrapText="1"/>
    </xf>
    <xf numFmtId="0" fontId="6" fillId="0" borderId="39" xfId="21" applyFont="1" applyBorder="1" applyAlignment="1">
      <alignment horizontal="center" vertical="center" wrapText="1"/>
    </xf>
    <xf numFmtId="0" fontId="6" fillId="0" borderId="20" xfId="21" applyFont="1" applyBorder="1" applyAlignment="1">
      <alignment horizontal="center" vertical="center" wrapText="1"/>
    </xf>
    <xf numFmtId="0" fontId="6" fillId="9" borderId="28" xfId="21" applyFont="1" applyFill="1" applyBorder="1" applyAlignment="1">
      <alignment horizontal="left" vertical="center" wrapText="1"/>
    </xf>
    <xf numFmtId="0" fontId="6" fillId="9" borderId="69" xfId="21" applyFont="1" applyFill="1" applyBorder="1" applyAlignment="1">
      <alignment horizontal="left" vertical="center" wrapText="1"/>
    </xf>
    <xf numFmtId="0" fontId="6" fillId="9" borderId="57" xfId="21" applyFont="1" applyFill="1" applyBorder="1" applyAlignment="1">
      <alignment horizontal="left" vertical="center" wrapText="1"/>
    </xf>
    <xf numFmtId="0" fontId="6" fillId="0" borderId="40" xfId="21" applyFont="1" applyBorder="1" applyAlignment="1">
      <alignment horizontal="center" vertical="center" wrapText="1"/>
    </xf>
    <xf numFmtId="0" fontId="6" fillId="0" borderId="1" xfId="21" applyFont="1" applyBorder="1" applyAlignment="1">
      <alignment horizontal="center" vertical="center" wrapText="1"/>
    </xf>
    <xf numFmtId="0" fontId="6" fillId="0" borderId="36" xfId="21" applyFont="1" applyBorder="1" applyAlignment="1">
      <alignment horizontal="center" vertical="center" wrapText="1"/>
    </xf>
    <xf numFmtId="0" fontId="6" fillId="0" borderId="0" xfId="21" applyFont="1" applyAlignment="1">
      <alignment horizontal="center" vertical="center" wrapText="1"/>
    </xf>
    <xf numFmtId="0" fontId="6" fillId="0" borderId="25" xfId="21" applyFont="1" applyBorder="1" applyAlignment="1">
      <alignment horizontal="center" vertical="center" wrapText="1"/>
    </xf>
    <xf numFmtId="0" fontId="6" fillId="0" borderId="3" xfId="21" applyFont="1" applyBorder="1" applyAlignment="1">
      <alignment horizontal="center" vertical="center" wrapText="1"/>
    </xf>
    <xf numFmtId="0" fontId="6" fillId="9" borderId="40" xfId="21" applyFont="1" applyFill="1" applyBorder="1" applyAlignment="1">
      <alignment horizontal="center" vertical="center" wrapText="1"/>
    </xf>
    <xf numFmtId="0" fontId="6" fillId="9" borderId="1" xfId="21" applyFont="1" applyFill="1" applyBorder="1" applyAlignment="1">
      <alignment horizontal="center" vertical="center" wrapText="1"/>
    </xf>
    <xf numFmtId="0" fontId="6" fillId="9" borderId="41" xfId="21" applyFont="1" applyFill="1" applyBorder="1" applyAlignment="1">
      <alignment horizontal="center" vertical="center" wrapText="1"/>
    </xf>
    <xf numFmtId="0" fontId="6" fillId="9" borderId="36" xfId="21" applyFont="1" applyFill="1" applyBorder="1" applyAlignment="1">
      <alignment horizontal="center" vertical="center" wrapText="1"/>
    </xf>
    <xf numFmtId="0" fontId="6" fillId="9" borderId="0" xfId="21" applyFont="1" applyFill="1" applyAlignment="1">
      <alignment horizontal="center" vertical="center" wrapText="1"/>
    </xf>
    <xf numFmtId="0" fontId="6" fillId="9" borderId="42" xfId="21" applyFont="1" applyFill="1" applyBorder="1" applyAlignment="1">
      <alignment horizontal="center" vertical="center" wrapText="1"/>
    </xf>
    <xf numFmtId="0" fontId="6" fillId="9" borderId="25" xfId="21" applyFont="1" applyFill="1" applyBorder="1" applyAlignment="1">
      <alignment horizontal="center" vertical="center" wrapText="1"/>
    </xf>
    <xf numFmtId="0" fontId="6" fillId="9" borderId="3" xfId="21" applyFont="1" applyFill="1" applyBorder="1" applyAlignment="1">
      <alignment horizontal="center" vertical="center" wrapText="1"/>
    </xf>
    <xf numFmtId="0" fontId="6" fillId="9" borderId="43" xfId="21" applyFont="1" applyFill="1" applyBorder="1" applyAlignment="1">
      <alignment horizontal="center" vertical="center" wrapText="1"/>
    </xf>
    <xf numFmtId="0" fontId="6" fillId="9" borderId="65" xfId="21" applyFont="1" applyFill="1" applyBorder="1" applyAlignment="1">
      <alignment horizontal="left" vertical="center" wrapText="1"/>
    </xf>
    <xf numFmtId="9" fontId="7" fillId="0" borderId="4" xfId="21" applyNumberFormat="1" applyFont="1" applyBorder="1" applyAlignment="1">
      <alignment horizontal="left" vertical="center" wrapText="1"/>
    </xf>
    <xf numFmtId="9" fontId="7" fillId="0" borderId="12" xfId="21" applyNumberFormat="1" applyFont="1" applyBorder="1" applyAlignment="1">
      <alignment horizontal="left" vertical="center" wrapText="1"/>
    </xf>
    <xf numFmtId="9" fontId="7" fillId="9" borderId="4" xfId="21" applyNumberFormat="1" applyFont="1" applyFill="1" applyBorder="1" applyAlignment="1">
      <alignment horizontal="left" vertical="center" wrapText="1"/>
    </xf>
    <xf numFmtId="9" fontId="7" fillId="9" borderId="12" xfId="21" applyNumberFormat="1" applyFont="1" applyFill="1" applyBorder="1" applyAlignment="1">
      <alignment horizontal="left" vertical="center" wrapText="1"/>
    </xf>
    <xf numFmtId="9" fontId="7" fillId="0" borderId="31" xfId="21" applyNumberFormat="1" applyFont="1" applyBorder="1" applyAlignment="1">
      <alignment horizontal="left" vertical="center" wrapText="1"/>
    </xf>
    <xf numFmtId="9" fontId="7" fillId="0" borderId="56" xfId="21" applyNumberFormat="1" applyFont="1" applyBorder="1" applyAlignment="1">
      <alignment horizontal="left" vertical="center" wrapText="1"/>
    </xf>
    <xf numFmtId="9" fontId="7" fillId="0" borderId="70" xfId="21" applyNumberFormat="1" applyFont="1" applyBorder="1" applyAlignment="1">
      <alignment horizontal="left" vertical="center" wrapText="1"/>
    </xf>
    <xf numFmtId="9" fontId="7" fillId="0" borderId="36" xfId="21" applyNumberFormat="1" applyFont="1" applyBorder="1" applyAlignment="1">
      <alignment horizontal="left" vertical="center" wrapText="1"/>
    </xf>
    <xf numFmtId="9" fontId="7" fillId="0" borderId="0" xfId="21" applyNumberFormat="1" applyFont="1" applyAlignment="1">
      <alignment horizontal="left" vertical="center" wrapText="1"/>
    </xf>
    <xf numFmtId="9" fontId="7" fillId="0" borderId="18" xfId="21" applyNumberFormat="1" applyFont="1" applyBorder="1" applyAlignment="1">
      <alignment horizontal="left" vertical="center" wrapText="1"/>
    </xf>
    <xf numFmtId="9" fontId="7" fillId="0" borderId="15" xfId="21" applyNumberFormat="1" applyFont="1" applyBorder="1" applyAlignment="1">
      <alignment horizontal="left" vertical="center" wrapText="1"/>
    </xf>
    <xf numFmtId="9" fontId="7" fillId="0" borderId="6" xfId="21" applyNumberFormat="1" applyFont="1" applyBorder="1" applyAlignment="1">
      <alignment horizontal="left" vertical="center" wrapText="1"/>
    </xf>
    <xf numFmtId="9" fontId="7" fillId="0" borderId="10" xfId="21" applyNumberFormat="1" applyFont="1" applyBorder="1" applyAlignment="1">
      <alignment horizontal="left" vertical="center" wrapText="1"/>
    </xf>
    <xf numFmtId="0" fontId="6" fillId="22" borderId="15" xfId="21" applyFont="1" applyFill="1" applyBorder="1" applyAlignment="1">
      <alignment horizontal="center" vertical="center" wrapText="1"/>
    </xf>
    <xf numFmtId="0" fontId="6" fillId="22" borderId="6" xfId="21" applyFont="1" applyFill="1" applyBorder="1" applyAlignment="1">
      <alignment horizontal="center" vertical="center" wrapText="1"/>
    </xf>
    <xf numFmtId="0" fontId="6" fillId="22" borderId="10" xfId="21" applyFont="1" applyFill="1" applyBorder="1" applyAlignment="1">
      <alignment horizontal="center" vertical="center" wrapText="1"/>
    </xf>
    <xf numFmtId="0" fontId="6" fillId="22" borderId="49" xfId="21" applyFont="1" applyFill="1" applyBorder="1" applyAlignment="1">
      <alignment horizontal="center" vertical="center" wrapText="1"/>
    </xf>
    <xf numFmtId="0" fontId="6" fillId="22" borderId="50" xfId="21" applyFont="1" applyFill="1" applyBorder="1" applyAlignment="1">
      <alignment horizontal="center" vertical="center" wrapText="1"/>
    </xf>
    <xf numFmtId="0" fontId="6" fillId="22" borderId="7" xfId="21" applyFont="1" applyFill="1" applyBorder="1" applyAlignment="1">
      <alignment horizontal="center" vertical="center" wrapText="1"/>
    </xf>
    <xf numFmtId="0" fontId="6" fillId="22" borderId="51" xfId="21" applyFont="1" applyFill="1" applyBorder="1" applyAlignment="1">
      <alignment horizontal="center" vertical="center" wrapText="1"/>
    </xf>
    <xf numFmtId="0" fontId="6" fillId="22" borderId="11" xfId="21" applyFont="1" applyFill="1" applyBorder="1" applyAlignment="1">
      <alignment horizontal="center" vertical="center" wrapText="1"/>
    </xf>
    <xf numFmtId="0" fontId="6" fillId="22" borderId="4" xfId="21" applyFont="1" applyFill="1" applyBorder="1" applyAlignment="1">
      <alignment horizontal="center" vertical="center" wrapText="1"/>
    </xf>
    <xf numFmtId="0" fontId="6" fillId="22" borderId="12" xfId="21" applyFont="1" applyFill="1" applyBorder="1" applyAlignment="1">
      <alignment horizontal="center" vertical="center" wrapText="1"/>
    </xf>
    <xf numFmtId="0" fontId="14" fillId="0" borderId="62" xfId="21" applyFont="1" applyBorder="1" applyAlignment="1">
      <alignment horizontal="left" vertical="center" wrapText="1"/>
    </xf>
    <xf numFmtId="0" fontId="14" fillId="0" borderId="63" xfId="21" applyFont="1" applyBorder="1" applyAlignment="1">
      <alignment horizontal="left" vertical="center" wrapText="1"/>
    </xf>
    <xf numFmtId="0" fontId="14" fillId="0" borderId="61" xfId="21" applyFont="1" applyBorder="1" applyAlignment="1">
      <alignment horizontal="left" vertical="center" wrapText="1"/>
    </xf>
    <xf numFmtId="9" fontId="7" fillId="0" borderId="56" xfId="30" applyFont="1" applyFill="1" applyBorder="1" applyAlignment="1" applyProtection="1">
      <alignment horizontal="justify" vertical="center" wrapText="1"/>
    </xf>
    <xf numFmtId="9" fontId="7" fillId="0" borderId="32" xfId="30" applyFont="1" applyFill="1" applyBorder="1" applyAlignment="1" applyProtection="1">
      <alignment horizontal="justify" vertical="center" wrapText="1"/>
    </xf>
    <xf numFmtId="9" fontId="7" fillId="0" borderId="3" xfId="30" applyFont="1" applyFill="1" applyBorder="1" applyAlignment="1" applyProtection="1">
      <alignment horizontal="justify" vertical="center" wrapText="1"/>
    </xf>
    <xf numFmtId="9" fontId="7" fillId="0" borderId="43" xfId="30" applyFont="1" applyFill="1" applyBorder="1" applyAlignment="1" applyProtection="1">
      <alignment horizontal="justify" vertical="center" wrapText="1"/>
    </xf>
    <xf numFmtId="1" fontId="7" fillId="0" borderId="31" xfId="30" applyNumberFormat="1" applyFont="1" applyFill="1" applyBorder="1" applyAlignment="1" applyProtection="1">
      <alignment horizontal="justify" vertical="center" wrapText="1"/>
    </xf>
    <xf numFmtId="1" fontId="7" fillId="0" borderId="56" xfId="30" applyNumberFormat="1" applyFont="1" applyFill="1" applyBorder="1" applyAlignment="1" applyProtection="1">
      <alignment horizontal="justify" vertical="center" wrapText="1"/>
    </xf>
    <xf numFmtId="1" fontId="7" fillId="0" borderId="32" xfId="30" applyNumberFormat="1" applyFont="1" applyFill="1" applyBorder="1" applyAlignment="1" applyProtection="1">
      <alignment horizontal="justify" vertical="center" wrapText="1"/>
    </xf>
    <xf numFmtId="1" fontId="7" fillId="0" borderId="25" xfId="30" applyNumberFormat="1" applyFont="1" applyFill="1" applyBorder="1" applyAlignment="1" applyProtection="1">
      <alignment horizontal="justify" vertical="center" wrapText="1"/>
    </xf>
    <xf numFmtId="1" fontId="7" fillId="0" borderId="3" xfId="30" applyNumberFormat="1" applyFont="1" applyFill="1" applyBorder="1" applyAlignment="1" applyProtection="1">
      <alignment horizontal="justify" vertical="center" wrapText="1"/>
    </xf>
    <xf numFmtId="1" fontId="7" fillId="0" borderId="43" xfId="30" applyNumberFormat="1" applyFont="1" applyFill="1" applyBorder="1" applyAlignment="1" applyProtection="1">
      <alignment horizontal="justify" vertical="center" wrapText="1"/>
    </xf>
    <xf numFmtId="9" fontId="7" fillId="0" borderId="31" xfId="30" applyFont="1" applyFill="1" applyBorder="1" applyAlignment="1" applyProtection="1">
      <alignment horizontal="left" vertical="center" wrapText="1"/>
    </xf>
    <xf numFmtId="9" fontId="7" fillId="0" borderId="56" xfId="30" applyFont="1" applyFill="1" applyBorder="1" applyAlignment="1" applyProtection="1">
      <alignment horizontal="left" vertical="center" wrapText="1"/>
    </xf>
    <xf numFmtId="9" fontId="7" fillId="0" borderId="70" xfId="30" applyFont="1" applyFill="1" applyBorder="1" applyAlignment="1" applyProtection="1">
      <alignment horizontal="left" vertical="center" wrapText="1"/>
    </xf>
    <xf numFmtId="9" fontId="7" fillId="0" borderId="25" xfId="30" applyFont="1" applyFill="1" applyBorder="1" applyAlignment="1" applyProtection="1">
      <alignment horizontal="left" vertical="center" wrapText="1"/>
    </xf>
    <xf numFmtId="9" fontId="7" fillId="0" borderId="3" xfId="30" applyFont="1" applyFill="1" applyBorder="1" applyAlignment="1" applyProtection="1">
      <alignment horizontal="left" vertical="center" wrapText="1"/>
    </xf>
    <xf numFmtId="9" fontId="7" fillId="0" borderId="19" xfId="30" applyFont="1" applyFill="1" applyBorder="1" applyAlignment="1" applyProtection="1">
      <alignment horizontal="left" vertical="center" wrapText="1"/>
    </xf>
    <xf numFmtId="167" fontId="6" fillId="0" borderId="13" xfId="10" applyFont="1" applyFill="1" applyBorder="1" applyAlignment="1" applyProtection="1">
      <alignment horizontal="center" vertical="center" wrapText="1"/>
    </xf>
    <xf numFmtId="167" fontId="6" fillId="0" borderId="52" xfId="10" applyFont="1" applyFill="1" applyBorder="1" applyAlignment="1" applyProtection="1">
      <alignment horizontal="center" vertical="center" wrapText="1"/>
    </xf>
    <xf numFmtId="0" fontId="7" fillId="0" borderId="4" xfId="21" applyFont="1" applyBorder="1" applyAlignment="1">
      <alignment horizontal="left" vertical="center" wrapText="1"/>
    </xf>
    <xf numFmtId="0" fontId="7" fillId="0" borderId="12" xfId="21" applyFont="1" applyBorder="1" applyAlignment="1">
      <alignment horizontal="left" vertical="center" wrapText="1"/>
    </xf>
    <xf numFmtId="0" fontId="7" fillId="0" borderId="13" xfId="21" applyFont="1" applyBorder="1" applyAlignment="1">
      <alignment horizontal="left" vertical="center" wrapText="1"/>
    </xf>
    <xf numFmtId="0" fontId="7" fillId="0" borderId="53" xfId="21" applyFont="1" applyBorder="1" applyAlignment="1">
      <alignment horizontal="left" vertical="center" wrapText="1"/>
    </xf>
    <xf numFmtId="0" fontId="6" fillId="22" borderId="54" xfId="21" applyFont="1" applyFill="1" applyBorder="1" applyAlignment="1">
      <alignment horizontal="center" vertical="center" wrapText="1"/>
    </xf>
    <xf numFmtId="0" fontId="6" fillId="22" borderId="29" xfId="21" applyFont="1" applyFill="1" applyBorder="1" applyAlignment="1">
      <alignment horizontal="center" vertical="center" wrapText="1"/>
    </xf>
    <xf numFmtId="0" fontId="6" fillId="22" borderId="55" xfId="21" applyFont="1" applyFill="1" applyBorder="1" applyAlignment="1">
      <alignment horizontal="center" vertical="center" wrapText="1"/>
    </xf>
    <xf numFmtId="0" fontId="7" fillId="22" borderId="4" xfId="21" applyFont="1" applyFill="1" applyBorder="1" applyAlignment="1">
      <alignment horizontal="center" vertical="center" wrapText="1"/>
    </xf>
    <xf numFmtId="0" fontId="7" fillId="0" borderId="11" xfId="21" applyFont="1" applyBorder="1" applyAlignment="1">
      <alignment horizontal="left" vertical="center" wrapText="1"/>
    </xf>
    <xf numFmtId="0" fontId="7" fillId="0" borderId="37" xfId="21" applyFont="1" applyBorder="1" applyAlignment="1">
      <alignment horizontal="left" vertical="center" wrapText="1"/>
    </xf>
    <xf numFmtId="3" fontId="6" fillId="0" borderId="31" xfId="21" applyNumberFormat="1" applyFont="1" applyBorder="1" applyAlignment="1">
      <alignment horizontal="center" vertical="center" wrapText="1"/>
    </xf>
    <xf numFmtId="3" fontId="6" fillId="0" borderId="32" xfId="21" applyNumberFormat="1" applyFont="1" applyBorder="1" applyAlignment="1">
      <alignment horizontal="center" vertical="center" wrapText="1"/>
    </xf>
    <xf numFmtId="3" fontId="6" fillId="0" borderId="36" xfId="21" applyNumberFormat="1" applyFont="1" applyBorder="1" applyAlignment="1">
      <alignment horizontal="center" vertical="center" wrapText="1"/>
    </xf>
    <xf numFmtId="3" fontId="6" fillId="0" borderId="42" xfId="21" applyNumberFormat="1" applyFont="1" applyBorder="1" applyAlignment="1">
      <alignment horizontal="center" vertical="center" wrapText="1"/>
    </xf>
    <xf numFmtId="3" fontId="7" fillId="0" borderId="31" xfId="21" applyNumberFormat="1" applyFont="1" applyBorder="1" applyAlignment="1" applyProtection="1">
      <alignment horizontal="center" vertical="center" wrapText="1"/>
      <protection locked="0"/>
    </xf>
    <xf numFmtId="3" fontId="7" fillId="0" borderId="56" xfId="21" applyNumberFormat="1" applyFont="1" applyBorder="1" applyAlignment="1" applyProtection="1">
      <alignment horizontal="center" vertical="center" wrapText="1"/>
      <protection locked="0"/>
    </xf>
    <xf numFmtId="3" fontId="7" fillId="0" borderId="32" xfId="21" applyNumberFormat="1" applyFont="1" applyBorder="1" applyAlignment="1" applyProtection="1">
      <alignment horizontal="center" vertical="center" wrapText="1"/>
      <protection locked="0"/>
    </xf>
    <xf numFmtId="3" fontId="7" fillId="0" borderId="36" xfId="21" applyNumberFormat="1" applyFont="1" applyBorder="1" applyAlignment="1" applyProtection="1">
      <alignment horizontal="center" vertical="center" wrapText="1"/>
      <protection locked="0"/>
    </xf>
    <xf numFmtId="3" fontId="7" fillId="0" borderId="0" xfId="21" applyNumberFormat="1" applyFont="1" applyAlignment="1" applyProtection="1">
      <alignment horizontal="center" vertical="center" wrapText="1"/>
      <protection locked="0"/>
    </xf>
    <xf numFmtId="3" fontId="7" fillId="0" borderId="42" xfId="21" applyNumberFormat="1" applyFont="1" applyBorder="1" applyAlignment="1" applyProtection="1">
      <alignment horizontal="center" vertical="center" wrapText="1"/>
      <protection locked="0"/>
    </xf>
    <xf numFmtId="17" fontId="7" fillId="9" borderId="31" xfId="21" applyNumberFormat="1" applyFont="1" applyFill="1" applyBorder="1" applyAlignment="1" applyProtection="1">
      <alignment horizontal="center" vertical="center" wrapText="1"/>
      <protection locked="0"/>
    </xf>
    <xf numFmtId="0" fontId="7" fillId="9" borderId="56" xfId="21" applyFont="1" applyFill="1" applyBorder="1" applyAlignment="1" applyProtection="1">
      <alignment horizontal="center" vertical="center" wrapText="1"/>
      <protection locked="0"/>
    </xf>
    <xf numFmtId="0" fontId="7" fillId="9" borderId="32" xfId="21" applyFont="1" applyFill="1" applyBorder="1" applyAlignment="1" applyProtection="1">
      <alignment horizontal="center" vertical="center" wrapText="1"/>
      <protection locked="0"/>
    </xf>
    <xf numFmtId="0" fontId="7" fillId="9" borderId="36" xfId="21" applyFont="1" applyFill="1" applyBorder="1" applyAlignment="1" applyProtection="1">
      <alignment horizontal="center" vertical="center" wrapText="1"/>
      <protection locked="0"/>
    </xf>
    <xf numFmtId="0" fontId="7" fillId="9" borderId="0" xfId="21" applyFont="1" applyFill="1" applyAlignment="1" applyProtection="1">
      <alignment horizontal="center" vertical="center" wrapText="1"/>
      <protection locked="0"/>
    </xf>
    <xf numFmtId="0" fontId="7" fillId="9" borderId="42" xfId="21" applyFont="1" applyFill="1" applyBorder="1" applyAlignment="1" applyProtection="1">
      <alignment horizontal="center" vertical="center" wrapText="1"/>
      <protection locked="0"/>
    </xf>
    <xf numFmtId="3" fontId="7" fillId="9" borderId="31" xfId="21" applyNumberFormat="1" applyFont="1" applyFill="1" applyBorder="1" applyAlignment="1" applyProtection="1">
      <alignment horizontal="center" vertical="center" wrapText="1"/>
      <protection locked="0"/>
    </xf>
    <xf numFmtId="3" fontId="7" fillId="9" borderId="56" xfId="21" applyNumberFormat="1" applyFont="1" applyFill="1" applyBorder="1" applyAlignment="1" applyProtection="1">
      <alignment horizontal="center" vertical="center" wrapText="1"/>
      <protection locked="0"/>
    </xf>
    <xf numFmtId="3" fontId="7" fillId="9" borderId="32" xfId="21" applyNumberFormat="1" applyFont="1" applyFill="1" applyBorder="1" applyAlignment="1" applyProtection="1">
      <alignment horizontal="center" vertical="center" wrapText="1"/>
      <protection locked="0"/>
    </xf>
    <xf numFmtId="3" fontId="7" fillId="9" borderId="36" xfId="21" applyNumberFormat="1" applyFont="1" applyFill="1" applyBorder="1" applyAlignment="1" applyProtection="1">
      <alignment horizontal="center" vertical="center" wrapText="1"/>
      <protection locked="0"/>
    </xf>
    <xf numFmtId="3" fontId="7" fillId="9" borderId="0" xfId="21" applyNumberFormat="1" applyFont="1" applyFill="1" applyAlignment="1" applyProtection="1">
      <alignment horizontal="center" vertical="center" wrapText="1"/>
      <protection locked="0"/>
    </xf>
    <xf numFmtId="3" fontId="7" fillId="9" borderId="42" xfId="21" applyNumberFormat="1" applyFont="1" applyFill="1" applyBorder="1" applyAlignment="1" applyProtection="1">
      <alignment horizontal="center" vertical="center" wrapText="1"/>
      <protection locked="0"/>
    </xf>
    <xf numFmtId="0" fontId="6" fillId="9" borderId="54" xfId="21" applyFont="1" applyFill="1" applyBorder="1" applyAlignment="1">
      <alignment horizontal="center" vertical="center" wrapText="1"/>
    </xf>
    <xf numFmtId="0" fontId="6" fillId="9" borderId="57" xfId="21" applyFont="1" applyFill="1" applyBorder="1" applyAlignment="1">
      <alignment horizontal="center" vertical="center" wrapText="1"/>
    </xf>
    <xf numFmtId="0" fontId="6" fillId="9" borderId="29" xfId="21" applyFont="1" applyFill="1" applyBorder="1" applyAlignment="1">
      <alignment horizontal="center" vertical="center" wrapText="1"/>
    </xf>
    <xf numFmtId="0" fontId="6" fillId="9" borderId="55" xfId="21" applyFont="1" applyFill="1" applyBorder="1" applyAlignment="1">
      <alignment horizontal="center" vertical="center" wrapText="1"/>
    </xf>
    <xf numFmtId="0" fontId="7" fillId="22" borderId="11" xfId="21" applyFont="1" applyFill="1" applyBorder="1" applyAlignment="1">
      <alignment horizontal="center" vertical="center" wrapText="1"/>
    </xf>
    <xf numFmtId="0" fontId="6" fillId="22" borderId="31" xfId="21" applyFont="1" applyFill="1" applyBorder="1" applyAlignment="1">
      <alignment horizontal="center" vertical="center" wrapText="1"/>
    </xf>
    <xf numFmtId="0" fontId="6" fillId="22" borderId="32" xfId="21" applyFont="1" applyFill="1" applyBorder="1" applyAlignment="1">
      <alignment horizontal="center" vertical="center" wrapText="1"/>
    </xf>
    <xf numFmtId="0" fontId="6" fillId="22" borderId="5" xfId="21" applyFont="1" applyFill="1" applyBorder="1" applyAlignment="1">
      <alignment horizontal="center" vertical="center" wrapText="1"/>
    </xf>
    <xf numFmtId="0" fontId="6" fillId="22" borderId="44" xfId="21" applyFont="1" applyFill="1" applyBorder="1" applyAlignment="1">
      <alignment horizontal="center" vertical="center" wrapText="1"/>
    </xf>
    <xf numFmtId="0" fontId="6" fillId="22" borderId="8" xfId="21" applyFont="1" applyFill="1" applyBorder="1" applyAlignment="1">
      <alignment horizontal="center" vertical="center" wrapText="1"/>
    </xf>
    <xf numFmtId="0" fontId="6" fillId="22" borderId="30" xfId="21" applyFont="1" applyFill="1" applyBorder="1" applyAlignment="1">
      <alignment horizontal="left" vertical="center" wrapText="1"/>
    </xf>
    <xf numFmtId="0" fontId="6" fillId="22" borderId="17" xfId="21" applyFont="1" applyFill="1" applyBorder="1" applyAlignment="1">
      <alignment horizontal="left" vertical="center" wrapText="1"/>
    </xf>
    <xf numFmtId="0" fontId="6" fillId="22" borderId="14" xfId="21" applyFont="1" applyFill="1" applyBorder="1" applyAlignment="1">
      <alignment horizontal="left" vertical="center" wrapText="1"/>
    </xf>
    <xf numFmtId="0" fontId="6" fillId="22" borderId="19" xfId="21" applyFont="1" applyFill="1" applyBorder="1" applyAlignment="1">
      <alignment horizontal="left" vertical="center" wrapText="1"/>
    </xf>
    <xf numFmtId="0" fontId="6" fillId="22" borderId="60" xfId="21" applyFont="1" applyFill="1" applyBorder="1" applyAlignment="1">
      <alignment horizontal="center" vertical="center" wrapText="1"/>
    </xf>
    <xf numFmtId="0" fontId="6" fillId="22" borderId="61" xfId="21" applyFont="1" applyFill="1" applyBorder="1" applyAlignment="1">
      <alignment horizontal="center" vertical="center" wrapText="1"/>
    </xf>
    <xf numFmtId="0" fontId="6" fillId="22" borderId="33" xfId="21" applyFont="1" applyFill="1" applyBorder="1" applyAlignment="1">
      <alignment horizontal="center" vertical="center" wrapText="1"/>
    </xf>
    <xf numFmtId="0" fontId="6" fillId="22" borderId="27" xfId="21" applyFont="1" applyFill="1" applyBorder="1" applyAlignment="1">
      <alignment horizontal="center" vertical="center" wrapText="1"/>
    </xf>
    <xf numFmtId="0" fontId="6" fillId="22" borderId="35" xfId="21" applyFont="1" applyFill="1" applyBorder="1" applyAlignment="1">
      <alignment horizontal="center" vertical="center" wrapText="1"/>
    </xf>
    <xf numFmtId="0" fontId="6" fillId="22" borderId="34" xfId="21" applyFont="1" applyFill="1" applyBorder="1" applyAlignment="1">
      <alignment horizontal="center" vertical="center" wrapText="1"/>
    </xf>
    <xf numFmtId="17" fontId="6" fillId="9" borderId="25" xfId="21" applyNumberFormat="1" applyFont="1" applyFill="1" applyBorder="1" applyAlignment="1">
      <alignment horizontal="center" vertical="center" wrapText="1"/>
    </xf>
    <xf numFmtId="0" fontId="5" fillId="9" borderId="25" xfId="21" applyFont="1" applyFill="1" applyBorder="1" applyAlignment="1">
      <alignment horizontal="center" vertical="center" wrapText="1"/>
    </xf>
    <xf numFmtId="0" fontId="6" fillId="9" borderId="19" xfId="21" applyFont="1" applyFill="1" applyBorder="1" applyAlignment="1">
      <alignment horizontal="center" vertical="center" wrapText="1"/>
    </xf>
    <xf numFmtId="0" fontId="6" fillId="0" borderId="9" xfId="21" applyFont="1" applyBorder="1" applyAlignment="1">
      <alignment horizontal="center" vertical="center" wrapText="1"/>
    </xf>
    <xf numFmtId="0" fontId="6" fillId="0" borderId="6" xfId="21" applyFont="1" applyBorder="1" applyAlignment="1">
      <alignment horizontal="center" vertical="center" wrapText="1"/>
    </xf>
    <xf numFmtId="0" fontId="6" fillId="0" borderId="50" xfId="21" applyFont="1" applyBorder="1" applyAlignment="1">
      <alignment horizontal="center" vertical="center" wrapText="1"/>
    </xf>
    <xf numFmtId="0" fontId="6" fillId="0" borderId="15" xfId="21" applyFont="1" applyBorder="1" applyAlignment="1">
      <alignment horizontal="center" vertical="center" wrapText="1"/>
    </xf>
    <xf numFmtId="0" fontId="6" fillId="0" borderId="10" xfId="21"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6" fillId="0" borderId="58" xfId="21" applyFont="1" applyBorder="1" applyAlignment="1">
      <alignment horizontal="center" vertical="center" wrapText="1"/>
    </xf>
    <xf numFmtId="0" fontId="6" fillId="0" borderId="44" xfId="21" applyFont="1" applyBorder="1" applyAlignment="1">
      <alignment horizontal="center" vertical="center" wrapText="1"/>
    </xf>
    <xf numFmtId="0" fontId="6" fillId="0" borderId="8" xfId="21" applyFont="1" applyBorder="1" applyAlignment="1">
      <alignment horizontal="center" vertical="center" wrapText="1"/>
    </xf>
    <xf numFmtId="0" fontId="6" fillId="0" borderId="5" xfId="21" applyFont="1" applyBorder="1" applyAlignment="1">
      <alignment horizontal="center" vertical="center" wrapText="1"/>
    </xf>
    <xf numFmtId="0" fontId="6" fillId="0" borderId="45" xfId="21" applyFont="1" applyBorder="1" applyAlignment="1">
      <alignment horizontal="center" vertical="center" wrapText="1"/>
    </xf>
    <xf numFmtId="173" fontId="6" fillId="0" borderId="59" xfId="16" applyNumberFormat="1" applyFont="1" applyFill="1" applyBorder="1" applyAlignment="1" applyProtection="1">
      <alignment horizontal="center" vertical="center" wrapText="1"/>
    </xf>
    <xf numFmtId="173" fontId="6" fillId="0" borderId="46" xfId="16" applyNumberFormat="1" applyFont="1" applyFill="1" applyBorder="1" applyAlignment="1" applyProtection="1">
      <alignment horizontal="center" vertical="center" wrapText="1"/>
    </xf>
    <xf numFmtId="173" fontId="6" fillId="0" borderId="47" xfId="16" applyNumberFormat="1" applyFont="1" applyFill="1" applyBorder="1" applyAlignment="1" applyProtection="1">
      <alignment horizontal="center" vertical="center" wrapText="1"/>
    </xf>
    <xf numFmtId="173" fontId="6" fillId="0" borderId="26" xfId="16" applyNumberFormat="1" applyFont="1" applyFill="1" applyBorder="1" applyAlignment="1" applyProtection="1">
      <alignment horizontal="center" vertical="center" wrapText="1"/>
    </xf>
    <xf numFmtId="173" fontId="6" fillId="0" borderId="48" xfId="16" applyNumberFormat="1" applyFont="1" applyFill="1" applyBorder="1" applyAlignment="1" applyProtection="1">
      <alignment horizontal="center" vertical="center" wrapText="1"/>
    </xf>
    <xf numFmtId="0" fontId="6" fillId="22" borderId="62" xfId="21" applyFont="1" applyFill="1" applyBorder="1" applyAlignment="1">
      <alignment horizontal="left" vertical="center" wrapText="1"/>
    </xf>
    <xf numFmtId="0" fontId="6" fillId="22" borderId="33" xfId="21" applyFont="1" applyFill="1" applyBorder="1" applyAlignment="1">
      <alignment horizontal="left" vertical="center" wrapText="1"/>
    </xf>
    <xf numFmtId="0" fontId="8" fillId="0" borderId="62" xfId="21" applyFont="1" applyBorder="1" applyAlignment="1">
      <alignment horizontal="center" vertical="center" wrapText="1"/>
    </xf>
    <xf numFmtId="0" fontId="8" fillId="0" borderId="63" xfId="21" applyFont="1" applyBorder="1" applyAlignment="1">
      <alignment horizontal="center" vertical="center" wrapText="1"/>
    </xf>
    <xf numFmtId="0" fontId="8" fillId="0" borderId="33" xfId="21" applyFont="1" applyBorder="1" applyAlignment="1">
      <alignment horizontal="center" vertical="center" wrapText="1"/>
    </xf>
    <xf numFmtId="0" fontId="6" fillId="22" borderId="62" xfId="21" applyFont="1" applyFill="1" applyBorder="1" applyAlignment="1">
      <alignment horizontal="center" vertical="center" wrapText="1"/>
    </xf>
    <xf numFmtId="0" fontId="6" fillId="22" borderId="63" xfId="21" applyFont="1" applyFill="1" applyBorder="1" applyAlignment="1">
      <alignment horizontal="center" vertical="center" wrapText="1"/>
    </xf>
    <xf numFmtId="0" fontId="6" fillId="0" borderId="27" xfId="21" applyFont="1" applyBorder="1" applyAlignment="1">
      <alignment horizontal="center" vertical="center" wrapText="1"/>
    </xf>
    <xf numFmtId="0" fontId="6" fillId="0" borderId="35" xfId="21" applyFont="1" applyBorder="1" applyAlignment="1">
      <alignment horizontal="center" vertical="center" wrapText="1"/>
    </xf>
    <xf numFmtId="0" fontId="6" fillId="0" borderId="34" xfId="21" applyFont="1" applyBorder="1" applyAlignment="1">
      <alignment horizontal="center" vertical="center" wrapText="1"/>
    </xf>
    <xf numFmtId="0" fontId="6" fillId="22" borderId="2" xfId="21" applyFont="1" applyFill="1" applyBorder="1" applyAlignment="1">
      <alignment horizontal="left" vertical="center" wrapText="1"/>
    </xf>
    <xf numFmtId="0" fontId="6" fillId="22" borderId="18" xfId="21" applyFont="1" applyFill="1" applyBorder="1" applyAlignment="1">
      <alignment horizontal="left" vertical="center" wrapText="1"/>
    </xf>
    <xf numFmtId="0" fontId="6" fillId="0" borderId="30" xfId="21" applyFont="1" applyBorder="1" applyAlignment="1">
      <alignment horizontal="center" vertical="center" wrapText="1"/>
    </xf>
    <xf numFmtId="0" fontId="6" fillId="0" borderId="17" xfId="21" applyFont="1" applyBorder="1" applyAlignment="1">
      <alignment horizontal="center" vertical="center" wrapText="1"/>
    </xf>
    <xf numFmtId="0" fontId="6" fillId="0" borderId="2" xfId="21" applyFont="1" applyBorder="1" applyAlignment="1">
      <alignment horizontal="center" vertical="center" wrapText="1"/>
    </xf>
    <xf numFmtId="0" fontId="6" fillId="0" borderId="18" xfId="21" applyFont="1" applyBorder="1" applyAlignment="1">
      <alignment horizontal="center" vertical="center" wrapText="1"/>
    </xf>
    <xf numFmtId="0" fontId="6" fillId="0" borderId="14" xfId="21" applyFont="1" applyBorder="1" applyAlignment="1">
      <alignment horizontal="center" vertical="center" wrapText="1"/>
    </xf>
    <xf numFmtId="0" fontId="6" fillId="0" borderId="19" xfId="21" applyFont="1" applyBorder="1" applyAlignment="1">
      <alignment horizontal="center" vertical="center" wrapText="1"/>
    </xf>
    <xf numFmtId="0" fontId="6" fillId="22" borderId="30" xfId="21" applyFont="1" applyFill="1" applyBorder="1" applyAlignment="1">
      <alignment horizontal="center" vertical="center" wrapText="1"/>
    </xf>
    <xf numFmtId="0" fontId="6" fillId="22" borderId="1" xfId="21" applyFont="1" applyFill="1" applyBorder="1" applyAlignment="1">
      <alignment horizontal="center" vertical="center" wrapText="1"/>
    </xf>
    <xf numFmtId="0" fontId="6" fillId="22" borderId="17" xfId="21" applyFont="1" applyFill="1" applyBorder="1" applyAlignment="1">
      <alignment horizontal="center" vertical="center" wrapText="1"/>
    </xf>
    <xf numFmtId="0" fontId="6" fillId="22" borderId="2" xfId="21" applyFont="1" applyFill="1" applyBorder="1" applyAlignment="1">
      <alignment horizontal="center" vertical="center" wrapText="1"/>
    </xf>
    <xf numFmtId="0" fontId="6" fillId="22" borderId="0" xfId="21" applyFont="1" applyFill="1" applyAlignment="1">
      <alignment horizontal="center" vertical="center" wrapText="1"/>
    </xf>
    <xf numFmtId="0" fontId="6" fillId="22" borderId="18" xfId="21" applyFont="1" applyFill="1" applyBorder="1" applyAlignment="1">
      <alignment horizontal="center" vertical="center" wrapText="1"/>
    </xf>
    <xf numFmtId="0" fontId="6" fillId="22" borderId="14" xfId="21" applyFont="1" applyFill="1" applyBorder="1" applyAlignment="1">
      <alignment horizontal="center" vertical="center" wrapText="1"/>
    </xf>
    <xf numFmtId="0" fontId="6" fillId="22" borderId="3" xfId="21" applyFont="1" applyFill="1" applyBorder="1" applyAlignment="1">
      <alignment horizontal="center" vertical="center" wrapText="1"/>
    </xf>
    <xf numFmtId="0" fontId="6" fillId="22" borderId="19" xfId="21" applyFont="1" applyFill="1" applyBorder="1" applyAlignment="1">
      <alignment horizontal="center" vertical="center" wrapText="1"/>
    </xf>
    <xf numFmtId="15" fontId="16" fillId="0" borderId="30" xfId="0" applyNumberFormat="1" applyFont="1" applyBorder="1" applyAlignment="1">
      <alignment horizontal="center" vertical="center"/>
    </xf>
    <xf numFmtId="15" fontId="16" fillId="0" borderId="17" xfId="0" applyNumberFormat="1" applyFont="1" applyBorder="1" applyAlignment="1">
      <alignment horizontal="center" vertical="center"/>
    </xf>
    <xf numFmtId="15" fontId="16" fillId="0" borderId="2" xfId="0" applyNumberFormat="1" applyFont="1" applyBorder="1" applyAlignment="1">
      <alignment horizontal="center" vertical="center"/>
    </xf>
    <xf numFmtId="15" fontId="16" fillId="0" borderId="18" xfId="0" applyNumberFormat="1" applyFont="1" applyBorder="1" applyAlignment="1">
      <alignment horizontal="center" vertical="center"/>
    </xf>
    <xf numFmtId="15" fontId="16" fillId="0" borderId="14" xfId="0" applyNumberFormat="1" applyFont="1" applyBorder="1" applyAlignment="1">
      <alignment horizontal="center" vertical="center"/>
    </xf>
    <xf numFmtId="15" fontId="16" fillId="0" borderId="19" xfId="0" applyNumberFormat="1" applyFont="1" applyBorder="1" applyAlignment="1">
      <alignment horizontal="center" vertical="center"/>
    </xf>
    <xf numFmtId="0" fontId="4" fillId="0" borderId="66" xfId="21" applyFont="1" applyBorder="1" applyAlignment="1">
      <alignment horizontal="center" vertical="center" wrapText="1"/>
    </xf>
    <xf numFmtId="0" fontId="4" fillId="0" borderId="67" xfId="21" applyFont="1" applyBorder="1" applyAlignment="1">
      <alignment horizontal="center" vertical="center" wrapText="1"/>
    </xf>
    <xf numFmtId="0" fontId="4" fillId="0" borderId="68" xfId="21" applyFont="1" applyBorder="1" applyAlignment="1">
      <alignment horizontal="center" vertical="center" wrapText="1"/>
    </xf>
    <xf numFmtId="0" fontId="5" fillId="0" borderId="30" xfId="21" applyFont="1" applyBorder="1" applyAlignment="1">
      <alignment horizontal="center" vertical="center"/>
    </xf>
    <xf numFmtId="0" fontId="5" fillId="0" borderId="1" xfId="21" applyFont="1" applyBorder="1" applyAlignment="1">
      <alignment horizontal="center" vertical="center"/>
    </xf>
    <xf numFmtId="0" fontId="5" fillId="0" borderId="17" xfId="21" applyFont="1" applyBorder="1" applyAlignment="1">
      <alignment horizontal="center" vertical="center"/>
    </xf>
    <xf numFmtId="0" fontId="11" fillId="0" borderId="57" xfId="0" applyFont="1" applyBorder="1" applyAlignment="1">
      <alignment horizontal="left" vertical="center" wrapText="1"/>
    </xf>
    <xf numFmtId="0" fontId="11" fillId="0" borderId="29" xfId="0" applyFont="1" applyBorder="1" applyAlignment="1">
      <alignment horizontal="left" vertical="center" wrapText="1"/>
    </xf>
    <xf numFmtId="0" fontId="11" fillId="0" borderId="55" xfId="0" applyFont="1" applyBorder="1" applyAlignment="1">
      <alignment horizontal="left" vertical="center" wrapText="1"/>
    </xf>
    <xf numFmtId="0" fontId="5" fillId="0" borderId="2" xfId="21" applyFont="1" applyBorder="1" applyAlignment="1">
      <alignment horizontal="center" vertical="center"/>
    </xf>
    <xf numFmtId="0" fontId="5" fillId="0" borderId="0" xfId="21" applyFont="1" applyAlignment="1">
      <alignment horizontal="center" vertical="center"/>
    </xf>
    <xf numFmtId="0" fontId="5" fillId="0" borderId="18" xfId="21" applyFont="1" applyBorder="1" applyAlignment="1">
      <alignment horizontal="center" vertical="center"/>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12" xfId="0" applyFont="1" applyBorder="1" applyAlignment="1">
      <alignment horizontal="left" vertical="center" wrapText="1"/>
    </xf>
    <xf numFmtId="0" fontId="5" fillId="0" borderId="2" xfId="21" applyFont="1" applyBorder="1" applyAlignment="1">
      <alignment horizontal="center" vertical="center" wrapText="1"/>
    </xf>
    <xf numFmtId="0" fontId="5" fillId="0" borderId="0" xfId="21" applyFont="1" applyAlignment="1">
      <alignment horizontal="center" vertical="center" wrapText="1"/>
    </xf>
    <xf numFmtId="0" fontId="5" fillId="0" borderId="18" xfId="21" applyFont="1" applyBorder="1" applyAlignment="1">
      <alignment horizontal="center" vertical="center" wrapText="1"/>
    </xf>
    <xf numFmtId="0" fontId="5" fillId="0" borderId="14" xfId="21" applyFont="1" applyBorder="1" applyAlignment="1">
      <alignment horizontal="center" vertical="center" wrapText="1"/>
    </xf>
    <xf numFmtId="0" fontId="5" fillId="0" borderId="3" xfId="21" applyFont="1" applyBorder="1" applyAlignment="1">
      <alignment horizontal="center" vertical="center" wrapText="1"/>
    </xf>
    <xf numFmtId="0" fontId="5" fillId="0" borderId="19" xfId="21" applyFont="1" applyBorder="1" applyAlignment="1">
      <alignment horizontal="center" vertical="center" wrapText="1"/>
    </xf>
    <xf numFmtId="0" fontId="40" fillId="0" borderId="47" xfId="0" applyFont="1" applyBorder="1" applyAlignment="1">
      <alignment horizontal="left" vertical="center" wrapText="1"/>
    </xf>
    <xf numFmtId="0" fontId="40" fillId="0" borderId="16" xfId="0" applyFont="1" applyBorder="1" applyAlignment="1">
      <alignment horizontal="left" vertical="center" wrapText="1"/>
    </xf>
    <xf numFmtId="0" fontId="40" fillId="0" borderId="23" xfId="0" applyFont="1" applyBorder="1" applyAlignment="1">
      <alignment horizontal="left" vertical="center" wrapText="1"/>
    </xf>
    <xf numFmtId="0" fontId="6" fillId="0" borderId="62" xfId="21" applyFont="1" applyBorder="1" applyAlignment="1">
      <alignment horizontal="center" vertical="center" wrapText="1"/>
    </xf>
    <xf numFmtId="0" fontId="6" fillId="0" borderId="63" xfId="21" applyFont="1" applyBorder="1" applyAlignment="1">
      <alignment horizontal="center" vertical="center" wrapText="1"/>
    </xf>
    <xf numFmtId="0" fontId="6" fillId="0" borderId="33" xfId="21" applyFont="1" applyBorder="1" applyAlignment="1">
      <alignment horizontal="center" vertical="center" wrapText="1"/>
    </xf>
    <xf numFmtId="0" fontId="6" fillId="9" borderId="14" xfId="21" applyFont="1" applyFill="1" applyBorder="1" applyAlignment="1">
      <alignment horizontal="left" vertical="center" wrapText="1"/>
    </xf>
    <xf numFmtId="0" fontId="6" fillId="9" borderId="3" xfId="21" applyFont="1" applyFill="1" applyBorder="1" applyAlignment="1">
      <alignment horizontal="left" vertical="center" wrapText="1"/>
    </xf>
    <xf numFmtId="0" fontId="7" fillId="0" borderId="62" xfId="21" applyFont="1" applyBorder="1" applyAlignment="1">
      <alignment horizontal="left" vertical="center" wrapText="1"/>
    </xf>
    <xf numFmtId="0" fontId="7" fillId="0" borderId="63" xfId="21" applyFont="1" applyBorder="1" applyAlignment="1">
      <alignment horizontal="left" vertical="center" wrapText="1"/>
    </xf>
    <xf numFmtId="0" fontId="7" fillId="0" borderId="33" xfId="21" applyFont="1" applyBorder="1" applyAlignment="1">
      <alignment horizontal="left" vertical="center" wrapText="1"/>
    </xf>
    <xf numFmtId="0" fontId="6" fillId="2" borderId="2" xfId="21" applyFont="1" applyFill="1" applyBorder="1" applyAlignment="1">
      <alignment horizontal="center" vertical="center" wrapText="1"/>
    </xf>
    <xf numFmtId="9" fontId="6" fillId="0" borderId="62" xfId="21" applyNumberFormat="1" applyFont="1" applyBorder="1" applyAlignment="1">
      <alignment horizontal="center" vertical="center" wrapText="1"/>
    </xf>
    <xf numFmtId="9" fontId="6" fillId="0" borderId="33" xfId="21" applyNumberFormat="1" applyFont="1" applyBorder="1" applyAlignment="1">
      <alignment horizontal="center"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6" fillId="0" borderId="58" xfId="0" applyFont="1" applyBorder="1" applyAlignment="1">
      <alignment horizontal="center" vertical="center" wrapText="1"/>
    </xf>
    <xf numFmtId="0" fontId="16" fillId="0" borderId="45" xfId="0" applyFont="1" applyBorder="1" applyAlignment="1">
      <alignment horizontal="center" vertical="center" wrapText="1"/>
    </xf>
    <xf numFmtId="0" fontId="14" fillId="0" borderId="58" xfId="0" applyFont="1" applyBorder="1" applyAlignment="1">
      <alignment horizontal="center" vertical="center"/>
    </xf>
    <xf numFmtId="0" fontId="14" fillId="0" borderId="45" xfId="0" applyFont="1" applyBorder="1" applyAlignment="1">
      <alignment horizontal="center" vertical="center"/>
    </xf>
    <xf numFmtId="0" fontId="16" fillId="0" borderId="59" xfId="0" applyFont="1" applyBorder="1" applyAlignment="1">
      <alignment horizontal="center" vertical="center" wrapText="1"/>
    </xf>
    <xf numFmtId="0" fontId="16" fillId="0" borderId="48" xfId="0" applyFont="1" applyBorder="1" applyAlignment="1">
      <alignment horizontal="center" vertical="center" wrapText="1"/>
    </xf>
    <xf numFmtId="0" fontId="14" fillId="0" borderId="59" xfId="0" applyFont="1" applyBorder="1" applyAlignment="1">
      <alignment horizontal="center" vertical="center"/>
    </xf>
    <xf numFmtId="0" fontId="14" fillId="0" borderId="48" xfId="0" applyFont="1" applyBorder="1" applyAlignment="1">
      <alignment horizontal="center" vertical="center"/>
    </xf>
    <xf numFmtId="0" fontId="6" fillId="0" borderId="41" xfId="21" applyFont="1" applyBorder="1" applyAlignment="1">
      <alignment horizontal="center" vertical="center" wrapText="1"/>
    </xf>
    <xf numFmtId="0" fontId="6" fillId="0" borderId="42" xfId="21" applyFont="1" applyBorder="1" applyAlignment="1">
      <alignment horizontal="center" vertical="center" wrapText="1"/>
    </xf>
    <xf numFmtId="0" fontId="6" fillId="0" borderId="43" xfId="21" applyFont="1" applyBorder="1" applyAlignment="1">
      <alignment horizontal="center" vertical="center" wrapText="1"/>
    </xf>
    <xf numFmtId="2" fontId="7" fillId="0" borderId="37" xfId="21" applyNumberFormat="1" applyFont="1" applyBorder="1" applyAlignment="1">
      <alignment horizontal="justify" vertical="center" wrapText="1"/>
    </xf>
    <xf numFmtId="2" fontId="7" fillId="0" borderId="49" xfId="21" applyNumberFormat="1" applyFont="1" applyBorder="1" applyAlignment="1">
      <alignment horizontal="justify" vertical="center" wrapText="1"/>
    </xf>
    <xf numFmtId="9" fontId="7" fillId="0" borderId="13" xfId="21" applyNumberFormat="1" applyFont="1" applyBorder="1" applyAlignment="1">
      <alignment horizontal="center" vertical="center" wrapText="1"/>
    </xf>
    <xf numFmtId="9" fontId="7" fillId="0" borderId="7" xfId="21" applyNumberFormat="1" applyFont="1" applyBorder="1" applyAlignment="1">
      <alignment horizontal="center" vertical="center" wrapText="1"/>
    </xf>
    <xf numFmtId="167" fontId="7" fillId="20" borderId="58" xfId="10" applyFont="1" applyFill="1" applyBorder="1" applyAlignment="1" applyProtection="1">
      <alignment horizontal="left" vertical="center" wrapText="1"/>
    </xf>
    <xf numFmtId="167" fontId="7" fillId="20" borderId="8" xfId="10" applyFont="1" applyFill="1" applyBorder="1" applyAlignment="1" applyProtection="1">
      <alignment horizontal="left" vertical="center" wrapText="1"/>
    </xf>
    <xf numFmtId="9" fontId="7" fillId="0" borderId="26" xfId="30" applyFont="1" applyFill="1" applyBorder="1" applyAlignment="1" applyProtection="1">
      <alignment horizontal="justify" vertical="center" wrapText="1"/>
    </xf>
    <xf numFmtId="9" fontId="7" fillId="0" borderId="46" xfId="30" applyFont="1" applyFill="1" applyBorder="1" applyAlignment="1" applyProtection="1">
      <alignment horizontal="justify" vertical="center" wrapText="1"/>
    </xf>
    <xf numFmtId="9" fontId="7" fillId="0" borderId="47" xfId="30" applyFont="1" applyFill="1" applyBorder="1" applyAlignment="1" applyProtection="1">
      <alignment horizontal="justify" vertical="center" wrapText="1"/>
    </xf>
    <xf numFmtId="0" fontId="6" fillId="22" borderId="9" xfId="21" applyFont="1" applyFill="1" applyBorder="1" applyAlignment="1">
      <alignment horizontal="center" vertical="center" wrapText="1"/>
    </xf>
    <xf numFmtId="0" fontId="6" fillId="22" borderId="37" xfId="21" applyFont="1" applyFill="1" applyBorder="1" applyAlignment="1">
      <alignment horizontal="center" vertical="center" wrapText="1"/>
    </xf>
    <xf numFmtId="0" fontId="6" fillId="22" borderId="13" xfId="21" applyFont="1" applyFill="1" applyBorder="1" applyAlignment="1">
      <alignment horizontal="center" vertical="center" wrapText="1"/>
    </xf>
    <xf numFmtId="0" fontId="6" fillId="22" borderId="45" xfId="21" applyFont="1" applyFill="1" applyBorder="1" applyAlignment="1">
      <alignment horizontal="center" vertical="center" wrapText="1"/>
    </xf>
    <xf numFmtId="0" fontId="7" fillId="0" borderId="11" xfId="21" applyFont="1" applyBorder="1" applyAlignment="1">
      <alignment horizontal="justify" vertical="center" wrapText="1"/>
    </xf>
    <xf numFmtId="0" fontId="7" fillId="0" borderId="37" xfId="21" applyFont="1" applyBorder="1" applyAlignment="1">
      <alignment horizontal="justify" vertical="center" wrapText="1"/>
    </xf>
    <xf numFmtId="0" fontId="6" fillId="9" borderId="9" xfId="21" applyFont="1" applyFill="1" applyBorder="1" applyAlignment="1">
      <alignment horizontal="center" vertical="center" wrapText="1"/>
    </xf>
    <xf numFmtId="0" fontId="6" fillId="9" borderId="6" xfId="21" applyFont="1" applyFill="1" applyBorder="1" applyAlignment="1">
      <alignment horizontal="center" vertical="center" wrapText="1"/>
    </xf>
    <xf numFmtId="0" fontId="6" fillId="9" borderId="50" xfId="21" applyFont="1" applyFill="1" applyBorder="1" applyAlignment="1">
      <alignment horizontal="center" vertical="center" wrapText="1"/>
    </xf>
    <xf numFmtId="0" fontId="6" fillId="9" borderId="15" xfId="21" applyFont="1" applyFill="1" applyBorder="1" applyAlignment="1">
      <alignment horizontal="center" vertical="center" wrapText="1"/>
    </xf>
    <xf numFmtId="0" fontId="6" fillId="9" borderId="10" xfId="21" applyFont="1" applyFill="1" applyBorder="1" applyAlignment="1">
      <alignment horizontal="center" vertical="center" wrapText="1"/>
    </xf>
    <xf numFmtId="0" fontId="6" fillId="9" borderId="58" xfId="21" applyFont="1" applyFill="1" applyBorder="1" applyAlignment="1">
      <alignment horizontal="center" vertical="center" wrapText="1"/>
    </xf>
    <xf numFmtId="0" fontId="6" fillId="9" borderId="44" xfId="21" applyFont="1" applyFill="1" applyBorder="1" applyAlignment="1">
      <alignment horizontal="center" vertical="center" wrapText="1"/>
    </xf>
    <xf numFmtId="0" fontId="6" fillId="9" borderId="8" xfId="21" applyFont="1" applyFill="1" applyBorder="1" applyAlignment="1">
      <alignment horizontal="center" vertical="center" wrapText="1"/>
    </xf>
    <xf numFmtId="0" fontId="6" fillId="9" borderId="5" xfId="21" applyFont="1" applyFill="1" applyBorder="1" applyAlignment="1">
      <alignment horizontal="center" vertical="center" wrapText="1"/>
    </xf>
    <xf numFmtId="0" fontId="6" fillId="9" borderId="45" xfId="21" applyFont="1" applyFill="1" applyBorder="1" applyAlignment="1">
      <alignment horizontal="center" vertical="center" wrapText="1"/>
    </xf>
    <xf numFmtId="0" fontId="6" fillId="0" borderId="62" xfId="21" applyFont="1" applyBorder="1" applyAlignment="1">
      <alignment horizontal="justify" vertical="center" wrapText="1"/>
    </xf>
    <xf numFmtId="0" fontId="6" fillId="0" borderId="63" xfId="21" applyFont="1" applyBorder="1" applyAlignment="1">
      <alignment horizontal="justify" vertical="center" wrapText="1"/>
    </xf>
    <xf numFmtId="0" fontId="6" fillId="0" borderId="33" xfId="21" applyFont="1" applyBorder="1" applyAlignment="1">
      <alignment horizontal="justify" vertical="center" wrapText="1"/>
    </xf>
    <xf numFmtId="0" fontId="75" fillId="0" borderId="31" xfId="0" applyFont="1" applyBorder="1" applyAlignment="1">
      <alignment vertical="center" wrapText="1"/>
    </xf>
    <xf numFmtId="0" fontId="75" fillId="0" borderId="56" xfId="0" applyFont="1" applyBorder="1" applyAlignment="1">
      <alignment vertical="center" wrapText="1"/>
    </xf>
    <xf numFmtId="0" fontId="75" fillId="0" borderId="135" xfId="0" applyFont="1" applyBorder="1" applyAlignment="1">
      <alignment vertical="center" wrapText="1"/>
    </xf>
    <xf numFmtId="0" fontId="75" fillId="0" borderId="36" xfId="0" applyFont="1" applyBorder="1" applyAlignment="1">
      <alignment vertical="center" wrapText="1"/>
    </xf>
    <xf numFmtId="0" fontId="75" fillId="0" borderId="0" xfId="0" applyFont="1" applyBorder="1" applyAlignment="1">
      <alignment vertical="center" wrapText="1"/>
    </xf>
    <xf numFmtId="0" fontId="75" fillId="0" borderId="136" xfId="0" applyFont="1" applyBorder="1" applyAlignment="1">
      <alignment vertical="center" wrapText="1"/>
    </xf>
    <xf numFmtId="0" fontId="75" fillId="0" borderId="132" xfId="0" applyFont="1" applyBorder="1" applyAlignment="1">
      <alignment vertical="center" wrapText="1"/>
    </xf>
    <xf numFmtId="0" fontId="75" fillId="0" borderId="133" xfId="0" applyFont="1" applyBorder="1" applyAlignment="1">
      <alignment vertical="center" wrapText="1"/>
    </xf>
    <xf numFmtId="0" fontId="75" fillId="0" borderId="137" xfId="0" applyFont="1" applyBorder="1" applyAlignment="1">
      <alignment vertical="center" wrapText="1"/>
    </xf>
    <xf numFmtId="0" fontId="11" fillId="0" borderId="47" xfId="0" applyFont="1" applyBorder="1" applyAlignment="1">
      <alignment horizontal="left" vertical="center" wrapText="1"/>
    </xf>
    <xf numFmtId="0" fontId="11" fillId="0" borderId="16" xfId="0" applyFont="1" applyBorder="1" applyAlignment="1">
      <alignment horizontal="left" vertical="center" wrapText="1"/>
    </xf>
    <xf numFmtId="0" fontId="11" fillId="0" borderId="23" xfId="0" applyFont="1" applyBorder="1" applyAlignment="1">
      <alignment horizontal="left" vertical="center" wrapText="1"/>
    </xf>
    <xf numFmtId="0" fontId="14" fillId="0" borderId="0" xfId="14" applyNumberFormat="1" applyFont="1" applyAlignment="1">
      <alignment horizontal="left" vertical="center" wrapText="1"/>
    </xf>
    <xf numFmtId="0" fontId="15" fillId="0" borderId="0" xfId="0" applyFont="1" applyAlignment="1">
      <alignment horizontal="center" vertical="center" wrapText="1"/>
    </xf>
    <xf numFmtId="9" fontId="52" fillId="0" borderId="26" xfId="30" applyFont="1" applyFill="1" applyBorder="1" applyAlignment="1" applyProtection="1">
      <alignment horizontal="justify" vertical="center" wrapText="1"/>
    </xf>
    <xf numFmtId="9" fontId="52" fillId="0" borderId="46" xfId="30" applyFont="1" applyFill="1" applyBorder="1" applyAlignment="1" applyProtection="1">
      <alignment horizontal="justify" vertical="center" wrapText="1"/>
    </xf>
    <xf numFmtId="9" fontId="52" fillId="0" borderId="48" xfId="30" applyFont="1" applyFill="1" applyBorder="1" applyAlignment="1" applyProtection="1">
      <alignment horizontal="justify" vertical="center" wrapText="1"/>
    </xf>
    <xf numFmtId="0" fontId="51" fillId="22" borderId="49" xfId="21" applyFont="1" applyFill="1" applyBorder="1" applyAlignment="1">
      <alignment horizontal="center" vertical="center" wrapText="1"/>
    </xf>
    <xf numFmtId="0" fontId="51" fillId="22" borderId="50" xfId="21" applyFont="1" applyFill="1" applyBorder="1" applyAlignment="1">
      <alignment horizontal="center" vertical="center" wrapText="1"/>
    </xf>
    <xf numFmtId="0" fontId="51" fillId="22" borderId="7" xfId="21" applyFont="1" applyFill="1" applyBorder="1" applyAlignment="1">
      <alignment horizontal="center" vertical="center" wrapText="1"/>
    </xf>
    <xf numFmtId="0" fontId="51" fillId="22" borderId="51" xfId="21" applyFont="1" applyFill="1" applyBorder="1" applyAlignment="1">
      <alignment horizontal="center" vertical="center" wrapText="1"/>
    </xf>
    <xf numFmtId="9" fontId="7" fillId="0" borderId="52" xfId="21" applyNumberFormat="1" applyFont="1" applyBorder="1" applyAlignment="1">
      <alignment horizontal="center" vertical="center" wrapText="1"/>
    </xf>
    <xf numFmtId="9" fontId="7" fillId="9" borderId="31" xfId="21" applyNumberFormat="1" applyFont="1" applyFill="1" applyBorder="1" applyAlignment="1">
      <alignment horizontal="left" vertical="center" wrapText="1"/>
    </xf>
    <xf numFmtId="9" fontId="7" fillId="9" borderId="56" xfId="21" applyNumberFormat="1" applyFont="1" applyFill="1" applyBorder="1" applyAlignment="1">
      <alignment horizontal="left" vertical="center" wrapText="1"/>
    </xf>
    <xf numFmtId="9" fontId="7" fillId="9" borderId="70" xfId="21" applyNumberFormat="1" applyFont="1" applyFill="1" applyBorder="1" applyAlignment="1">
      <alignment horizontal="left" vertical="center" wrapText="1"/>
    </xf>
    <xf numFmtId="9" fontId="7" fillId="9" borderId="36" xfId="21" applyNumberFormat="1" applyFont="1" applyFill="1" applyBorder="1" applyAlignment="1">
      <alignment horizontal="left" vertical="center" wrapText="1"/>
    </xf>
    <xf numFmtId="9" fontId="7" fillId="9" borderId="0" xfId="21" applyNumberFormat="1" applyFont="1" applyFill="1" applyAlignment="1">
      <alignment horizontal="left" vertical="center" wrapText="1"/>
    </xf>
    <xf numFmtId="9" fontId="7" fillId="9" borderId="18" xfId="21" applyNumberFormat="1" applyFont="1" applyFill="1" applyBorder="1" applyAlignment="1">
      <alignment horizontal="left" vertical="center" wrapText="1"/>
    </xf>
    <xf numFmtId="9" fontId="7" fillId="9" borderId="15" xfId="21" applyNumberFormat="1" applyFont="1" applyFill="1" applyBorder="1" applyAlignment="1">
      <alignment horizontal="left" vertical="center" wrapText="1"/>
    </xf>
    <xf numFmtId="9" fontId="7" fillId="9" borderId="6" xfId="21" applyNumberFormat="1" applyFont="1" applyFill="1" applyBorder="1" applyAlignment="1">
      <alignment horizontal="left" vertical="center" wrapText="1"/>
    </xf>
    <xf numFmtId="9" fontId="7" fillId="9" borderId="10" xfId="21" applyNumberFormat="1" applyFont="1" applyFill="1" applyBorder="1" applyAlignment="1">
      <alignment horizontal="left" vertical="center" wrapText="1"/>
    </xf>
    <xf numFmtId="9" fontId="7" fillId="9" borderId="132" xfId="21" applyNumberFormat="1" applyFont="1" applyFill="1" applyBorder="1" applyAlignment="1">
      <alignment horizontal="left" vertical="center" wrapText="1"/>
    </xf>
    <xf numFmtId="9" fontId="7" fillId="9" borderId="133" xfId="21" applyNumberFormat="1" applyFont="1" applyFill="1" applyBorder="1" applyAlignment="1">
      <alignment horizontal="left" vertical="center" wrapText="1"/>
    </xf>
    <xf numFmtId="9" fontId="7" fillId="9" borderId="134" xfId="21" applyNumberFormat="1" applyFont="1" applyFill="1" applyBorder="1" applyAlignment="1">
      <alignment horizontal="left" vertical="center" wrapText="1"/>
    </xf>
    <xf numFmtId="0" fontId="7" fillId="0" borderId="4" xfId="21" applyFont="1" applyBorder="1" applyAlignment="1">
      <alignment horizontal="center" vertical="center" wrapText="1"/>
    </xf>
    <xf numFmtId="0" fontId="7" fillId="0" borderId="12" xfId="21" applyFont="1" applyBorder="1" applyAlignment="1">
      <alignment horizontal="center" vertical="center" wrapText="1"/>
    </xf>
    <xf numFmtId="0" fontId="7" fillId="0" borderId="13" xfId="21" applyFont="1" applyBorder="1" applyAlignment="1">
      <alignment horizontal="center" vertical="center" wrapText="1"/>
    </xf>
    <xf numFmtId="0" fontId="7" fillId="0" borderId="53" xfId="21" applyFont="1" applyBorder="1" applyAlignment="1">
      <alignment horizontal="center" vertical="center" wrapText="1"/>
    </xf>
    <xf numFmtId="6" fontId="7" fillId="0" borderId="62" xfId="21" applyNumberFormat="1" applyFont="1" applyBorder="1" applyAlignment="1">
      <alignment horizontal="left" vertical="center" wrapText="1"/>
    </xf>
    <xf numFmtId="173" fontId="7" fillId="0" borderId="26" xfId="30" applyNumberFormat="1" applyFont="1" applyFill="1" applyBorder="1" applyAlignment="1" applyProtection="1">
      <alignment horizontal="justify" vertical="center" wrapText="1"/>
    </xf>
    <xf numFmtId="173" fontId="7" fillId="0" borderId="46" xfId="30" applyNumberFormat="1" applyFont="1" applyFill="1" applyBorder="1" applyAlignment="1" applyProtection="1">
      <alignment horizontal="justify" vertical="center" wrapText="1"/>
    </xf>
    <xf numFmtId="173" fontId="7" fillId="0" borderId="47" xfId="30" applyNumberFormat="1" applyFont="1" applyFill="1" applyBorder="1" applyAlignment="1" applyProtection="1">
      <alignment horizontal="justify" vertical="center" wrapText="1"/>
    </xf>
    <xf numFmtId="9" fontId="7" fillId="0" borderId="26" xfId="30" applyFont="1" applyFill="1" applyBorder="1" applyAlignment="1" applyProtection="1">
      <alignment horizontal="left" vertical="center" wrapText="1"/>
    </xf>
    <xf numFmtId="9" fontId="7" fillId="0" borderId="46" xfId="30" applyFont="1" applyFill="1" applyBorder="1" applyAlignment="1" applyProtection="1">
      <alignment horizontal="left" vertical="center" wrapText="1"/>
    </xf>
    <xf numFmtId="9" fontId="7" fillId="0" borderId="48" xfId="30" applyFont="1" applyFill="1" applyBorder="1" applyAlignment="1" applyProtection="1">
      <alignment horizontal="left" vertical="center" wrapText="1"/>
    </xf>
    <xf numFmtId="173" fontId="6" fillId="9" borderId="59" xfId="16" applyNumberFormat="1" applyFont="1" applyFill="1" applyBorder="1" applyAlignment="1" applyProtection="1">
      <alignment horizontal="center" vertical="center" wrapText="1"/>
    </xf>
    <xf numFmtId="173" fontId="6" fillId="9" borderId="46" xfId="16" applyNumberFormat="1" applyFont="1" applyFill="1" applyBorder="1" applyAlignment="1" applyProtection="1">
      <alignment horizontal="center" vertical="center" wrapText="1"/>
    </xf>
    <xf numFmtId="173" fontId="6" fillId="9" borderId="47" xfId="16" applyNumberFormat="1" applyFont="1" applyFill="1" applyBorder="1" applyAlignment="1" applyProtection="1">
      <alignment horizontal="center" vertical="center" wrapText="1"/>
    </xf>
    <xf numFmtId="173" fontId="6" fillId="9" borderId="26" xfId="16" applyNumberFormat="1" applyFont="1" applyFill="1" applyBorder="1" applyAlignment="1" applyProtection="1">
      <alignment horizontal="center" vertical="center" wrapText="1"/>
    </xf>
    <xf numFmtId="9" fontId="61" fillId="0" borderId="13" xfId="21" applyNumberFormat="1" applyFont="1" applyBorder="1" applyAlignment="1">
      <alignment horizontal="center" vertical="center" wrapText="1"/>
    </xf>
    <xf numFmtId="9" fontId="61" fillId="0" borderId="7" xfId="21" applyNumberFormat="1" applyFont="1" applyBorder="1" applyAlignment="1">
      <alignment horizontal="center" vertical="center" wrapText="1"/>
    </xf>
    <xf numFmtId="0" fontId="60" fillId="31" borderId="13" xfId="21" applyFont="1" applyFill="1" applyBorder="1" applyAlignment="1">
      <alignment horizontal="center" vertical="center" wrapText="1"/>
    </xf>
    <xf numFmtId="0" fontId="60" fillId="31" borderId="7" xfId="21" applyFont="1" applyFill="1" applyBorder="1" applyAlignment="1">
      <alignment horizontal="center" vertical="center" wrapText="1"/>
    </xf>
    <xf numFmtId="0" fontId="60" fillId="31" borderId="5" xfId="21" applyFont="1" applyFill="1" applyBorder="1" applyAlignment="1">
      <alignment horizontal="center" vertical="center" wrapText="1"/>
    </xf>
    <xf numFmtId="0" fontId="60" fillId="31" borderId="44" xfId="21" applyFont="1" applyFill="1" applyBorder="1" applyAlignment="1">
      <alignment horizontal="center" vertical="center" wrapText="1"/>
    </xf>
    <xf numFmtId="0" fontId="60" fillId="31" borderId="8" xfId="21" applyFont="1" applyFill="1" applyBorder="1" applyAlignment="1">
      <alignment horizontal="center" vertical="center" wrapText="1"/>
    </xf>
    <xf numFmtId="174" fontId="7" fillId="0" borderId="4" xfId="21" applyNumberFormat="1" applyFont="1" applyBorder="1" applyAlignment="1">
      <alignment horizontal="center" vertical="center" wrapText="1"/>
    </xf>
    <xf numFmtId="0" fontId="7" fillId="0" borderId="31" xfId="0" applyFont="1" applyBorder="1" applyAlignment="1">
      <alignment vertical="center" wrapText="1"/>
    </xf>
    <xf numFmtId="0" fontId="7" fillId="0" borderId="56" xfId="0" applyFont="1" applyBorder="1" applyAlignment="1">
      <alignment vertical="center" wrapText="1"/>
    </xf>
    <xf numFmtId="0" fontId="7" fillId="0" borderId="135" xfId="0" applyFont="1" applyBorder="1" applyAlignment="1">
      <alignment vertical="center" wrapText="1"/>
    </xf>
    <xf numFmtId="0" fontId="7" fillId="0" borderId="36" xfId="0" applyFont="1" applyBorder="1" applyAlignment="1">
      <alignment vertical="center" wrapText="1"/>
    </xf>
    <xf numFmtId="0" fontId="7" fillId="0" borderId="0" xfId="0" applyFont="1" applyAlignment="1">
      <alignment vertical="center" wrapText="1"/>
    </xf>
    <xf numFmtId="0" fontId="7" fillId="0" borderId="136" xfId="0" applyFont="1" applyBorder="1" applyAlignment="1">
      <alignment vertical="center" wrapText="1"/>
    </xf>
    <xf numFmtId="0" fontId="7" fillId="0" borderId="132" xfId="0" applyFont="1" applyBorder="1" applyAlignment="1">
      <alignment vertical="center" wrapText="1"/>
    </xf>
    <xf numFmtId="0" fontId="7" fillId="0" borderId="133" xfId="0" applyFont="1" applyBorder="1" applyAlignment="1">
      <alignment vertical="center" wrapText="1"/>
    </xf>
    <xf numFmtId="0" fontId="7" fillId="0" borderId="137" xfId="0" applyFont="1" applyBorder="1" applyAlignment="1">
      <alignment vertical="center" wrapText="1"/>
    </xf>
    <xf numFmtId="10" fontId="7" fillId="0" borderId="4" xfId="21" applyNumberFormat="1" applyFont="1" applyBorder="1" applyAlignment="1">
      <alignment horizontal="center" vertical="center" wrapText="1"/>
    </xf>
    <xf numFmtId="9" fontId="7" fillId="0" borderId="16" xfId="21" applyNumberFormat="1" applyFont="1" applyBorder="1" applyAlignment="1">
      <alignment horizontal="left" vertical="center" wrapText="1"/>
    </xf>
    <xf numFmtId="9" fontId="7" fillId="0" borderId="23" xfId="21" applyNumberFormat="1" applyFont="1" applyBorder="1" applyAlignment="1">
      <alignment horizontal="left" vertical="center" wrapText="1"/>
    </xf>
    <xf numFmtId="3" fontId="6" fillId="9" borderId="31" xfId="21" applyNumberFormat="1" applyFont="1" applyFill="1" applyBorder="1" applyAlignment="1" applyProtection="1">
      <alignment horizontal="center" vertical="center" wrapText="1"/>
      <protection locked="0"/>
    </xf>
    <xf numFmtId="3" fontId="7" fillId="9" borderId="25" xfId="21" applyNumberFormat="1" applyFont="1" applyFill="1" applyBorder="1" applyAlignment="1" applyProtection="1">
      <alignment horizontal="center" vertical="center" wrapText="1"/>
      <protection locked="0"/>
    </xf>
    <xf numFmtId="3" fontId="7" fillId="9" borderId="3" xfId="21" applyNumberFormat="1" applyFont="1" applyFill="1" applyBorder="1" applyAlignment="1" applyProtection="1">
      <alignment horizontal="center" vertical="center" wrapText="1"/>
      <protection locked="0"/>
    </xf>
    <xf numFmtId="3" fontId="7" fillId="9" borderId="43" xfId="21" applyNumberFormat="1" applyFont="1" applyFill="1" applyBorder="1" applyAlignment="1" applyProtection="1">
      <alignment horizontal="center" vertical="center" wrapText="1"/>
      <protection locked="0"/>
    </xf>
    <xf numFmtId="3" fontId="5" fillId="9" borderId="31" xfId="21" applyNumberFormat="1" applyFont="1" applyFill="1" applyBorder="1" applyAlignment="1" applyProtection="1">
      <alignment horizontal="center" vertical="center" wrapText="1"/>
      <protection locked="0"/>
    </xf>
    <xf numFmtId="3" fontId="5" fillId="9" borderId="56" xfId="21" applyNumberFormat="1" applyFont="1" applyFill="1" applyBorder="1" applyAlignment="1" applyProtection="1">
      <alignment horizontal="center" vertical="center" wrapText="1"/>
      <protection locked="0"/>
    </xf>
    <xf numFmtId="3" fontId="5" fillId="9" borderId="32" xfId="21" applyNumberFormat="1" applyFont="1" applyFill="1" applyBorder="1" applyAlignment="1" applyProtection="1">
      <alignment horizontal="center" vertical="center" wrapText="1"/>
      <protection locked="0"/>
    </xf>
    <xf numFmtId="3" fontId="5" fillId="9" borderId="36" xfId="21" applyNumberFormat="1" applyFont="1" applyFill="1" applyBorder="1" applyAlignment="1" applyProtection="1">
      <alignment horizontal="center" vertical="center" wrapText="1"/>
      <protection locked="0"/>
    </xf>
    <xf numFmtId="3" fontId="5" fillId="9" borderId="0" xfId="21" applyNumberFormat="1" applyFont="1" applyFill="1" applyAlignment="1" applyProtection="1">
      <alignment horizontal="center" vertical="center" wrapText="1"/>
      <protection locked="0"/>
    </xf>
    <xf numFmtId="3" fontId="5" fillId="9" borderId="42" xfId="21" applyNumberFormat="1" applyFont="1" applyFill="1" applyBorder="1" applyAlignment="1" applyProtection="1">
      <alignment horizontal="center" vertical="center" wrapText="1"/>
      <protection locked="0"/>
    </xf>
    <xf numFmtId="0" fontId="18" fillId="0" borderId="0" xfId="0"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51" fillId="22" borderId="29" xfId="21" applyFont="1" applyFill="1" applyBorder="1" applyAlignment="1">
      <alignment horizontal="center" vertical="center" wrapText="1"/>
    </xf>
    <xf numFmtId="0" fontId="51" fillId="22" borderId="55" xfId="21" applyFont="1" applyFill="1" applyBorder="1" applyAlignment="1">
      <alignment horizontal="center" vertical="center" wrapText="1"/>
    </xf>
    <xf numFmtId="0" fontId="70" fillId="0" borderId="20" xfId="21" applyFont="1" applyBorder="1" applyAlignment="1">
      <alignment horizontal="left" vertical="center" wrapText="1"/>
    </xf>
    <xf numFmtId="0" fontId="70" fillId="0" borderId="24" xfId="21" applyFont="1" applyBorder="1" applyAlignment="1">
      <alignment horizontal="left" vertical="center" wrapText="1"/>
    </xf>
    <xf numFmtId="9" fontId="52" fillId="0" borderId="31" xfId="30" applyFont="1" applyFill="1" applyBorder="1" applyAlignment="1" applyProtection="1">
      <alignment horizontal="justify" vertical="center" wrapText="1"/>
    </xf>
    <xf numFmtId="9" fontId="52" fillId="0" borderId="56" xfId="30" applyFont="1" applyFill="1" applyBorder="1" applyAlignment="1" applyProtection="1">
      <alignment horizontal="justify" vertical="center" wrapText="1"/>
    </xf>
    <xf numFmtId="9" fontId="52" fillId="0" borderId="32" xfId="30" applyFont="1" applyFill="1" applyBorder="1" applyAlignment="1" applyProtection="1">
      <alignment horizontal="justify" vertical="center" wrapText="1"/>
    </xf>
    <xf numFmtId="9" fontId="52" fillId="0" borderId="25" xfId="30" applyFont="1" applyFill="1" applyBorder="1" applyAlignment="1" applyProtection="1">
      <alignment horizontal="justify" vertical="center" wrapText="1"/>
    </xf>
    <xf numFmtId="9" fontId="52" fillId="0" borderId="3" xfId="30" applyFont="1" applyFill="1" applyBorder="1" applyAlignment="1" applyProtection="1">
      <alignment horizontal="justify" vertical="center" wrapText="1"/>
    </xf>
    <xf numFmtId="9" fontId="52" fillId="0" borderId="43" xfId="30" applyFont="1" applyFill="1" applyBorder="1" applyAlignment="1" applyProtection="1">
      <alignment horizontal="justify" vertical="center" wrapText="1"/>
    </xf>
    <xf numFmtId="9" fontId="7" fillId="0" borderId="31" xfId="30" applyFont="1" applyFill="1" applyBorder="1" applyAlignment="1" applyProtection="1">
      <alignment horizontal="justify" vertical="center" wrapText="1"/>
    </xf>
    <xf numFmtId="9" fontId="7" fillId="0" borderId="70" xfId="30" applyFont="1" applyFill="1" applyBorder="1" applyAlignment="1" applyProtection="1">
      <alignment horizontal="justify" vertical="center" wrapText="1"/>
    </xf>
    <xf numFmtId="9" fontId="7" fillId="0" borderId="25" xfId="30" applyFont="1" applyFill="1" applyBorder="1" applyAlignment="1" applyProtection="1">
      <alignment horizontal="justify" vertical="center" wrapText="1"/>
    </xf>
    <xf numFmtId="9" fontId="7" fillId="0" borderId="19" xfId="30" applyFont="1" applyFill="1" applyBorder="1" applyAlignment="1" applyProtection="1">
      <alignment horizontal="justify" vertical="center" wrapText="1"/>
    </xf>
    <xf numFmtId="0" fontId="7" fillId="0" borderId="0" xfId="0" applyFont="1" applyAlignment="1">
      <alignment horizontal="center" vertical="center" wrapText="1"/>
    </xf>
    <xf numFmtId="0" fontId="75" fillId="0" borderId="0" xfId="0" applyFont="1" applyAlignment="1">
      <alignment vertical="center" wrapText="1"/>
    </xf>
    <xf numFmtId="9" fontId="7" fillId="0" borderId="25" xfId="21" applyNumberFormat="1" applyFont="1" applyBorder="1" applyAlignment="1">
      <alignment horizontal="left" vertical="center" wrapText="1"/>
    </xf>
    <xf numFmtId="9" fontId="7" fillId="0" borderId="3" xfId="21" applyNumberFormat="1" applyFont="1" applyBorder="1" applyAlignment="1">
      <alignment horizontal="left" vertical="center" wrapText="1"/>
    </xf>
    <xf numFmtId="9" fontId="7" fillId="0" borderId="19" xfId="21" applyNumberFormat="1" applyFont="1" applyBorder="1" applyAlignment="1">
      <alignment horizontal="left" vertical="center" wrapText="1"/>
    </xf>
    <xf numFmtId="167" fontId="7" fillId="20" borderId="59" xfId="10" applyFont="1" applyFill="1" applyBorder="1" applyAlignment="1" applyProtection="1">
      <alignment horizontal="left" vertical="center" wrapText="1"/>
    </xf>
    <xf numFmtId="167" fontId="7" fillId="20" borderId="47" xfId="10" applyFont="1" applyFill="1" applyBorder="1" applyAlignment="1" applyProtection="1">
      <alignment horizontal="left" vertical="center" wrapText="1"/>
    </xf>
    <xf numFmtId="0" fontId="51" fillId="22" borderId="54" xfId="21" applyFont="1" applyFill="1" applyBorder="1" applyAlignment="1">
      <alignment horizontal="center" vertical="center" wrapText="1"/>
    </xf>
    <xf numFmtId="0" fontId="51" fillId="22" borderId="57" xfId="21" applyFont="1" applyFill="1" applyBorder="1" applyAlignment="1">
      <alignment horizontal="center" vertical="center" wrapText="1"/>
    </xf>
    <xf numFmtId="9" fontId="52" fillId="0" borderId="26" xfId="30" applyFont="1" applyFill="1" applyBorder="1" applyAlignment="1" applyProtection="1">
      <alignment horizontal="left" vertical="center" wrapText="1"/>
    </xf>
    <xf numFmtId="9" fontId="52" fillId="0" borderId="46" xfId="30" applyFont="1" applyFill="1" applyBorder="1" applyAlignment="1" applyProtection="1">
      <alignment horizontal="left" vertical="center" wrapText="1"/>
    </xf>
    <xf numFmtId="9" fontId="52" fillId="0" borderId="47" xfId="30" applyFont="1" applyFill="1" applyBorder="1" applyAlignment="1" applyProtection="1">
      <alignment horizontal="left" vertical="center" wrapText="1"/>
    </xf>
    <xf numFmtId="0" fontId="38" fillId="10" borderId="4" xfId="0" applyFont="1" applyFill="1" applyBorder="1" applyAlignment="1">
      <alignment horizontal="center" vertical="center" wrapText="1"/>
    </xf>
    <xf numFmtId="0" fontId="38" fillId="10" borderId="31" xfId="0" applyFont="1" applyFill="1" applyBorder="1" applyAlignment="1">
      <alignment horizontal="center" vertical="center" wrapText="1"/>
    </xf>
    <xf numFmtId="0" fontId="38" fillId="10" borderId="32" xfId="0" applyFont="1" applyFill="1" applyBorder="1" applyAlignment="1">
      <alignment horizontal="center" vertical="center" wrapText="1"/>
    </xf>
    <xf numFmtId="0" fontId="41" fillId="10" borderId="4"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50" xfId="0" applyFont="1" applyFill="1" applyBorder="1" applyAlignment="1">
      <alignment horizontal="center" vertical="center" wrapText="1"/>
    </xf>
    <xf numFmtId="0" fontId="41" fillId="10" borderId="7" xfId="0" applyFont="1" applyFill="1" applyBorder="1" applyAlignment="1">
      <alignment horizontal="center"/>
    </xf>
    <xf numFmtId="0" fontId="38" fillId="10" borderId="5" xfId="0" applyFont="1" applyFill="1" applyBorder="1" applyAlignment="1">
      <alignment horizontal="center" vertical="center" wrapText="1"/>
    </xf>
    <xf numFmtId="0" fontId="38" fillId="10" borderId="44" xfId="0" applyFont="1" applyFill="1" applyBorder="1" applyAlignment="1">
      <alignment horizontal="center" vertical="center" wrapText="1"/>
    </xf>
    <xf numFmtId="0" fontId="38" fillId="10" borderId="8" xfId="0" applyFont="1" applyFill="1" applyBorder="1" applyAlignment="1">
      <alignment horizontal="center" vertical="center" wrapText="1"/>
    </xf>
    <xf numFmtId="0" fontId="5" fillId="0" borderId="4" xfId="21" applyFont="1" applyBorder="1" applyAlignment="1">
      <alignment horizontal="center" vertical="center"/>
    </xf>
    <xf numFmtId="0" fontId="5" fillId="0" borderId="4" xfId="21" applyFont="1" applyBorder="1" applyAlignment="1">
      <alignment horizontal="center" vertical="center" wrapText="1"/>
    </xf>
    <xf numFmtId="0" fontId="40" fillId="0" borderId="32" xfId="0" applyFont="1" applyBorder="1" applyAlignment="1">
      <alignment horizontal="left" vertical="center" wrapText="1"/>
    </xf>
    <xf numFmtId="0" fontId="40" fillId="0" borderId="13" xfId="0" applyFont="1" applyBorder="1" applyAlignment="1">
      <alignment horizontal="left" vertical="center" wrapText="1"/>
    </xf>
    <xf numFmtId="0" fontId="40" fillId="0" borderId="53" xfId="0" applyFont="1" applyBorder="1" applyAlignment="1">
      <alignment horizontal="left" vertical="center" wrapText="1"/>
    </xf>
    <xf numFmtId="0" fontId="51" fillId="0" borderId="99" xfId="24" applyFont="1" applyBorder="1" applyAlignment="1">
      <alignment horizontal="center" vertical="center" wrapText="1"/>
    </xf>
    <xf numFmtId="0" fontId="51" fillId="0" borderId="128" xfId="24" applyFont="1" applyBorder="1" applyAlignment="1">
      <alignment horizontal="center" vertical="center" wrapText="1"/>
    </xf>
    <xf numFmtId="0" fontId="34" fillId="0" borderId="101" xfId="24" applyFont="1" applyBorder="1" applyAlignment="1">
      <alignment horizontal="left" vertical="center" wrapText="1"/>
    </xf>
    <xf numFmtId="0" fontId="34" fillId="0" borderId="129" xfId="24" applyFont="1" applyBorder="1" applyAlignment="1">
      <alignment horizontal="left" vertical="center" wrapText="1"/>
    </xf>
    <xf numFmtId="0" fontId="49" fillId="21" borderId="83" xfId="24" applyFont="1" applyFill="1" applyBorder="1" applyAlignment="1">
      <alignment horizontal="center" vertical="center" wrapText="1"/>
    </xf>
    <xf numFmtId="0" fontId="51" fillId="0" borderId="118" xfId="24" applyFont="1" applyBorder="1" applyAlignment="1">
      <alignment horizontal="center" vertical="center" wrapText="1"/>
    </xf>
    <xf numFmtId="0" fontId="51" fillId="0" borderId="89" xfId="24" applyFont="1" applyBorder="1" applyAlignment="1">
      <alignment horizontal="center" vertical="center" wrapText="1"/>
    </xf>
    <xf numFmtId="0" fontId="34" fillId="0" borderId="117" xfId="24" applyFont="1" applyBorder="1" applyAlignment="1">
      <alignment horizontal="left" vertical="center" wrapText="1"/>
    </xf>
    <xf numFmtId="0" fontId="34" fillId="0" borderId="90" xfId="24" applyFont="1" applyBorder="1" applyAlignment="1">
      <alignment horizontal="left" vertical="center" wrapText="1"/>
    </xf>
    <xf numFmtId="0" fontId="34" fillId="28" borderId="101" xfId="24" applyFont="1" applyFill="1" applyBorder="1" applyAlignment="1">
      <alignment horizontal="left" vertical="center" wrapText="1"/>
    </xf>
    <xf numFmtId="0" fontId="34" fillId="28" borderId="90" xfId="24" applyFont="1" applyFill="1" applyBorder="1" applyAlignment="1">
      <alignment horizontal="left" vertical="center" wrapText="1"/>
    </xf>
    <xf numFmtId="0" fontId="49" fillId="21" borderId="103" xfId="24" applyFont="1" applyFill="1" applyBorder="1" applyAlignment="1">
      <alignment horizontal="right" vertical="center"/>
    </xf>
    <xf numFmtId="0" fontId="49" fillId="21" borderId="83" xfId="24" applyFont="1" applyFill="1" applyBorder="1" applyAlignment="1">
      <alignment horizontal="right" vertical="center"/>
    </xf>
    <xf numFmtId="0" fontId="49" fillId="21" borderId="104" xfId="24" applyFont="1" applyFill="1" applyBorder="1" applyAlignment="1">
      <alignment horizontal="right" vertical="center"/>
    </xf>
    <xf numFmtId="0" fontId="48" fillId="29" borderId="62" xfId="0" applyFont="1" applyFill="1" applyBorder="1" applyAlignment="1">
      <alignment horizontal="center" vertical="center"/>
    </xf>
    <xf numFmtId="0" fontId="48" fillId="29" borderId="63" xfId="0" applyFont="1" applyFill="1" applyBorder="1" applyAlignment="1">
      <alignment horizontal="center" vertical="center"/>
    </xf>
    <xf numFmtId="9" fontId="34" fillId="0" borderId="0" xfId="24" applyNumberFormat="1" applyFont="1" applyAlignment="1">
      <alignment horizontal="center" vertical="center"/>
    </xf>
    <xf numFmtId="9" fontId="34" fillId="0" borderId="0" xfId="0" applyNumberFormat="1" applyFont="1" applyAlignment="1">
      <alignment horizontal="center" vertical="center"/>
    </xf>
    <xf numFmtId="0" fontId="53" fillId="29" borderId="36" xfId="24" applyFont="1" applyFill="1" applyBorder="1" applyAlignment="1">
      <alignment horizontal="center" vertical="center" wrapText="1"/>
    </xf>
    <xf numFmtId="0" fontId="53" fillId="29" borderId="0" xfId="24" applyFont="1" applyFill="1" applyAlignment="1">
      <alignment horizontal="center" vertical="center" wrapText="1"/>
    </xf>
    <xf numFmtId="0" fontId="34" fillId="0" borderId="126" xfId="24" applyFont="1" applyBorder="1" applyAlignment="1">
      <alignment horizontal="center" vertical="center" wrapText="1"/>
    </xf>
    <xf numFmtId="0" fontId="34" fillId="0" borderId="120" xfId="24" applyFont="1" applyBorder="1" applyAlignment="1">
      <alignment horizontal="center" vertical="center" wrapText="1"/>
    </xf>
    <xf numFmtId="0" fontId="34" fillId="0" borderId="121" xfId="24" applyFont="1" applyBorder="1" applyAlignment="1">
      <alignment horizontal="center" vertical="center" wrapText="1"/>
    </xf>
    <xf numFmtId="0" fontId="38" fillId="0" borderId="125" xfId="24" applyFont="1" applyBorder="1" applyAlignment="1">
      <alignment horizontal="center" vertical="center" wrapText="1"/>
    </xf>
    <xf numFmtId="0" fontId="38" fillId="0" borderId="114" xfId="24" applyFont="1" applyBorder="1" applyAlignment="1">
      <alignment horizontal="center" vertical="center" wrapText="1"/>
    </xf>
    <xf numFmtId="0" fontId="38" fillId="0" borderId="115" xfId="24" applyFont="1" applyBorder="1" applyAlignment="1">
      <alignment horizontal="center" vertical="center" wrapText="1"/>
    </xf>
    <xf numFmtId="0" fontId="34" fillId="0" borderId="37" xfId="24" applyFont="1" applyBorder="1" applyAlignment="1">
      <alignment horizontal="center" vertical="center" wrapText="1"/>
    </xf>
    <xf numFmtId="0" fontId="34" fillId="0" borderId="39" xfId="24" applyFont="1" applyBorder="1" applyAlignment="1">
      <alignment horizontal="center" vertical="center" wrapText="1"/>
    </xf>
    <xf numFmtId="0" fontId="34" fillId="0" borderId="49" xfId="24" applyFont="1" applyBorder="1" applyAlignment="1">
      <alignment horizontal="center" vertical="center" wrapText="1"/>
    </xf>
    <xf numFmtId="0" fontId="34" fillId="0" borderId="13" xfId="24" applyFont="1" applyBorder="1" applyAlignment="1">
      <alignment horizontal="center" vertical="center" wrapText="1"/>
    </xf>
    <xf numFmtId="0" fontId="34" fillId="0" borderId="52" xfId="24" applyFont="1" applyBorder="1" applyAlignment="1">
      <alignment horizontal="center" vertical="center" wrapText="1"/>
    </xf>
    <xf numFmtId="0" fontId="34" fillId="0" borderId="7" xfId="24" applyFont="1" applyBorder="1" applyAlignment="1">
      <alignment horizontal="center" vertical="center" wrapText="1"/>
    </xf>
    <xf numFmtId="0" fontId="38" fillId="0" borderId="99" xfId="24" applyFont="1" applyBorder="1" applyAlignment="1">
      <alignment horizontal="center" vertical="center" wrapText="1"/>
    </xf>
    <xf numFmtId="0" fontId="38" fillId="0" borderId="100" xfId="24" applyFont="1" applyBorder="1" applyAlignment="1">
      <alignment horizontal="center" vertical="center" wrapText="1"/>
    </xf>
    <xf numFmtId="0" fontId="38" fillId="0" borderId="89" xfId="24" applyFont="1" applyBorder="1" applyAlignment="1">
      <alignment horizontal="center" vertical="center" wrapText="1"/>
    </xf>
    <xf numFmtId="0" fontId="34" fillId="0" borderId="130" xfId="24" applyFont="1" applyBorder="1" applyAlignment="1">
      <alignment horizontal="center" vertical="center" wrapText="1"/>
    </xf>
    <xf numFmtId="0" fontId="38" fillId="19" borderId="125" xfId="24" applyFont="1" applyFill="1" applyBorder="1" applyAlignment="1">
      <alignment horizontal="center" vertical="center" wrapText="1"/>
    </xf>
    <xf numFmtId="0" fontId="38" fillId="19" borderId="114" xfId="24" applyFont="1" applyFill="1" applyBorder="1" applyAlignment="1">
      <alignment horizontal="center" vertical="center" wrapText="1"/>
    </xf>
    <xf numFmtId="0" fontId="38" fillId="19" borderId="127" xfId="24" applyFont="1" applyFill="1" applyBorder="1" applyAlignment="1">
      <alignment horizontal="center" vertical="center" wrapText="1"/>
    </xf>
    <xf numFmtId="0" fontId="34" fillId="0" borderId="20" xfId="24" applyFont="1" applyBorder="1" applyAlignment="1">
      <alignment horizontal="center" vertical="center" wrapText="1"/>
    </xf>
    <xf numFmtId="0" fontId="34" fillId="0" borderId="24" xfId="24" applyFont="1" applyBorder="1" applyAlignment="1">
      <alignment horizontal="center" vertical="center" wrapText="1"/>
    </xf>
    <xf numFmtId="9" fontId="34" fillId="0" borderId="124" xfId="24" applyNumberFormat="1" applyFont="1" applyBorder="1" applyAlignment="1">
      <alignment horizontal="center" vertical="center" wrapText="1"/>
    </xf>
    <xf numFmtId="9" fontId="34" fillId="0" borderId="52" xfId="24" applyNumberFormat="1" applyFont="1" applyBorder="1" applyAlignment="1">
      <alignment horizontal="center" vertical="center" wrapText="1"/>
    </xf>
    <xf numFmtId="9" fontId="34" fillId="0" borderId="7" xfId="24" applyNumberFormat="1" applyFont="1" applyBorder="1" applyAlignment="1">
      <alignment horizontal="center" vertical="center" wrapText="1"/>
    </xf>
    <xf numFmtId="9" fontId="34" fillId="0" borderId="122" xfId="24" applyNumberFormat="1" applyFont="1" applyBorder="1" applyAlignment="1">
      <alignment horizontal="center" vertical="center" wrapText="1"/>
    </xf>
    <xf numFmtId="9" fontId="34" fillId="0" borderId="123" xfId="24" applyNumberFormat="1" applyFont="1" applyBorder="1" applyAlignment="1">
      <alignment horizontal="center" vertical="center" wrapText="1"/>
    </xf>
    <xf numFmtId="9" fontId="34" fillId="0" borderId="51" xfId="24" applyNumberFormat="1" applyFont="1" applyBorder="1" applyAlignment="1">
      <alignment horizontal="center" vertical="center" wrapText="1"/>
    </xf>
    <xf numFmtId="0" fontId="48" fillId="29" borderId="33" xfId="0" applyFont="1" applyFill="1" applyBorder="1" applyAlignment="1">
      <alignment horizontal="center" vertical="center"/>
    </xf>
    <xf numFmtId="0" fontId="7" fillId="0" borderId="101" xfId="24" applyFont="1" applyBorder="1" applyAlignment="1">
      <alignment horizontal="left" vertical="center"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49" fillId="21" borderId="108" xfId="24" applyFont="1" applyFill="1" applyBorder="1" applyAlignment="1">
      <alignment horizontal="right" vertical="center"/>
    </xf>
    <xf numFmtId="0" fontId="49" fillId="21" borderId="109" xfId="24" applyFont="1" applyFill="1" applyBorder="1" applyAlignment="1">
      <alignment horizontal="right" vertical="center"/>
    </xf>
    <xf numFmtId="0" fontId="51" fillId="0" borderId="0" xfId="0" applyFont="1" applyAlignment="1">
      <alignment horizontal="center" vertical="center" wrapText="1"/>
    </xf>
    <xf numFmtId="0" fontId="38" fillId="19" borderId="62" xfId="24" applyFont="1" applyFill="1" applyBorder="1" applyAlignment="1">
      <alignment horizontal="center" vertical="center" wrapText="1"/>
    </xf>
    <xf numFmtId="0" fontId="38" fillId="19" borderId="33" xfId="24" applyFont="1" applyFill="1" applyBorder="1" applyAlignment="1">
      <alignment horizontal="center" vertical="center" wrapText="1"/>
    </xf>
    <xf numFmtId="0" fontId="38" fillId="0" borderId="116" xfId="24" applyFont="1" applyBorder="1" applyAlignment="1">
      <alignment horizontal="center" vertical="center" wrapText="1"/>
    </xf>
    <xf numFmtId="0" fontId="38" fillId="0" borderId="113" xfId="24" applyFont="1" applyBorder="1" applyAlignment="1">
      <alignment horizontal="center" vertical="center" wrapText="1"/>
    </xf>
    <xf numFmtId="0" fontId="34" fillId="28" borderId="129" xfId="24" applyFont="1" applyFill="1" applyBorder="1" applyAlignment="1">
      <alignment horizontal="left" vertical="center" wrapText="1"/>
    </xf>
    <xf numFmtId="0" fontId="38" fillId="19" borderId="99" xfId="24" applyFont="1" applyFill="1" applyBorder="1" applyAlignment="1">
      <alignment horizontal="center" vertical="center" wrapText="1"/>
    </xf>
    <xf numFmtId="0" fontId="38" fillId="19" borderId="100" xfId="24" applyFont="1" applyFill="1" applyBorder="1" applyAlignment="1">
      <alignment horizontal="center" vertical="center" wrapText="1"/>
    </xf>
    <xf numFmtId="0" fontId="38" fillId="19" borderId="128" xfId="24" applyFont="1" applyFill="1" applyBorder="1" applyAlignment="1">
      <alignment horizontal="center" vertical="center" wrapText="1"/>
    </xf>
    <xf numFmtId="0" fontId="49" fillId="25" borderId="83" xfId="24" applyFont="1" applyFill="1" applyBorder="1" applyAlignment="1">
      <alignment horizontal="center" vertical="center" wrapText="1"/>
    </xf>
    <xf numFmtId="9" fontId="34" fillId="0" borderId="119" xfId="24" applyNumberFormat="1" applyFont="1" applyBorder="1" applyAlignment="1">
      <alignment horizontal="center" vertical="center" wrapText="1"/>
    </xf>
    <xf numFmtId="9" fontId="34" fillId="0" borderId="120" xfId="24" applyNumberFormat="1" applyFont="1" applyBorder="1" applyAlignment="1">
      <alignment horizontal="center" vertical="center" wrapText="1"/>
    </xf>
    <xf numFmtId="9" fontId="34" fillId="0" borderId="121" xfId="24" applyNumberFormat="1" applyFont="1" applyBorder="1" applyAlignment="1">
      <alignment horizontal="center" vertical="center" wrapText="1"/>
    </xf>
    <xf numFmtId="9" fontId="34" fillId="0" borderId="38" xfId="24" applyNumberFormat="1" applyFont="1" applyBorder="1" applyAlignment="1">
      <alignment horizontal="center" vertical="center" wrapText="1"/>
    </xf>
    <xf numFmtId="9" fontId="34" fillId="0" borderId="39" xfId="24" applyNumberFormat="1" applyFont="1" applyBorder="1" applyAlignment="1">
      <alignment horizontal="center" vertical="center" wrapText="1"/>
    </xf>
    <xf numFmtId="9" fontId="34" fillId="0" borderId="49" xfId="24" applyNumberFormat="1" applyFont="1" applyBorder="1" applyAlignment="1">
      <alignment horizontal="center" vertical="center" wrapText="1"/>
    </xf>
    <xf numFmtId="0" fontId="34" fillId="0" borderId="53" xfId="24" applyFont="1" applyBorder="1" applyAlignment="1">
      <alignment horizontal="center" vertical="center" wrapText="1"/>
    </xf>
    <xf numFmtId="0" fontId="34" fillId="0" borderId="123" xfId="24" applyFont="1" applyBorder="1" applyAlignment="1">
      <alignment horizontal="center" vertical="center" wrapText="1"/>
    </xf>
    <xf numFmtId="0" fontId="34" fillId="0" borderId="51" xfId="24" applyFont="1" applyBorder="1" applyAlignment="1">
      <alignment horizontal="center" vertical="center" wrapText="1"/>
    </xf>
    <xf numFmtId="0" fontId="34" fillId="0" borderId="131" xfId="24" applyFont="1" applyBorder="1" applyAlignment="1">
      <alignment horizontal="center" vertical="center" wrapText="1"/>
    </xf>
    <xf numFmtId="0" fontId="35" fillId="21" borderId="54" xfId="0" applyFont="1" applyFill="1" applyBorder="1" applyAlignment="1">
      <alignment horizontal="center" vertical="center" wrapText="1"/>
    </xf>
    <xf numFmtId="0" fontId="35" fillId="21" borderId="29" xfId="0" applyFont="1" applyFill="1" applyBorder="1" applyAlignment="1">
      <alignment horizontal="center" vertical="center" wrapText="1"/>
    </xf>
    <xf numFmtId="0" fontId="35" fillId="21" borderId="55" xfId="0" applyFont="1" applyFill="1" applyBorder="1" applyAlignment="1">
      <alignment horizontal="center" vertical="center" wrapText="1"/>
    </xf>
    <xf numFmtId="0" fontId="35" fillId="21" borderId="4" xfId="0" applyFont="1" applyFill="1" applyBorder="1" applyAlignment="1">
      <alignment horizontal="center" vertical="center" wrapText="1"/>
    </xf>
    <xf numFmtId="0" fontId="35" fillId="21" borderId="11" xfId="0" applyFont="1" applyFill="1" applyBorder="1" applyAlignment="1">
      <alignment horizontal="center" vertical="center" wrapText="1"/>
    </xf>
    <xf numFmtId="0" fontId="35" fillId="21" borderId="20" xfId="0" applyFont="1" applyFill="1" applyBorder="1" applyAlignment="1">
      <alignment horizontal="right" vertical="center" wrapText="1"/>
    </xf>
    <xf numFmtId="0" fontId="35" fillId="21" borderId="24" xfId="0" applyFont="1" applyFill="1" applyBorder="1" applyAlignment="1">
      <alignment horizontal="right" vertical="center" wrapText="1"/>
    </xf>
    <xf numFmtId="0" fontId="0" fillId="14" borderId="4" xfId="0" applyFill="1" applyBorder="1" applyAlignment="1">
      <alignment horizontal="center"/>
    </xf>
    <xf numFmtId="0" fontId="0" fillId="0" borderId="42"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30"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19" borderId="42" xfId="0" applyFill="1" applyBorder="1" applyAlignment="1">
      <alignment horizontal="center"/>
    </xf>
  </cellXfs>
  <cellStyles count="35">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0]" xfId="10" builtinId="6"/>
    <cellStyle name="Millares [0] 2" xfId="11"/>
    <cellStyle name="Millares 2" xfId="12"/>
    <cellStyle name="Moneda" xfId="13" builtinId="4"/>
    <cellStyle name="Moneda [0]" xfId="14" builtinId="7"/>
    <cellStyle name="Moneda 130" xfId="15"/>
    <cellStyle name="Moneda 2" xfId="16"/>
    <cellStyle name="Moneda 2 2" xfId="17"/>
    <cellStyle name="Moneda 23" xfId="18"/>
    <cellStyle name="Moneda 3" xfId="19"/>
    <cellStyle name="Neutral 2" xfId="20"/>
    <cellStyle name="Normal" xfId="0" builtinId="0"/>
    <cellStyle name="Normal 2" xfId="21"/>
    <cellStyle name="Normal 2 2" xfId="22"/>
    <cellStyle name="Normal 2 3" xfId="23"/>
    <cellStyle name="Normal 2 4" xfId="24"/>
    <cellStyle name="Normal 2 5" xfId="3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colors>
    <mruColors>
      <color rgb="FFCCCCFF"/>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533400</xdr:colOff>
      <xdr:row>0</xdr:row>
      <xdr:rowOff>95250</xdr:rowOff>
    </xdr:from>
    <xdr:to>
      <xdr:col>0</xdr:col>
      <xdr:colOff>1943100</xdr:colOff>
      <xdr:row>3</xdr:row>
      <xdr:rowOff>142875</xdr:rowOff>
    </xdr:to>
    <xdr:pic>
      <xdr:nvPicPr>
        <xdr:cNvPr id="2" name="Picture 47">
          <a:extLst>
            <a:ext uri="{FF2B5EF4-FFF2-40B4-BE49-F238E27FC236}">
              <a16:creationId xmlns:a16="http://schemas.microsoft.com/office/drawing/2014/main" id="{A7C09AF7-FFD9-4831-B325-33DF10127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95250"/>
          <a:ext cx="14097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0</xdr:row>
      <xdr:rowOff>66675</xdr:rowOff>
    </xdr:from>
    <xdr:to>
      <xdr:col>0</xdr:col>
      <xdr:colOff>1952625</xdr:colOff>
      <xdr:row>3</xdr:row>
      <xdr:rowOff>114300</xdr:rowOff>
    </xdr:to>
    <xdr:pic>
      <xdr:nvPicPr>
        <xdr:cNvPr id="2" name="Picture 47">
          <a:extLst>
            <a:ext uri="{FF2B5EF4-FFF2-40B4-BE49-F238E27FC236}">
              <a16:creationId xmlns:a16="http://schemas.microsoft.com/office/drawing/2014/main" id="{F765B985-595D-4F91-9C04-0B8930E5F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66675"/>
          <a:ext cx="14097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504825</xdr:colOff>
      <xdr:row>0</xdr:row>
      <xdr:rowOff>66675</xdr:rowOff>
    </xdr:from>
    <xdr:to>
      <xdr:col>0</xdr:col>
      <xdr:colOff>1914525</xdr:colOff>
      <xdr:row>3</xdr:row>
      <xdr:rowOff>114300</xdr:rowOff>
    </xdr:to>
    <xdr:pic>
      <xdr:nvPicPr>
        <xdr:cNvPr id="83211" name="Picture 47">
          <a:extLst>
            <a:ext uri="{FF2B5EF4-FFF2-40B4-BE49-F238E27FC236}">
              <a16:creationId xmlns:a16="http://schemas.microsoft.com/office/drawing/2014/main" id="{9C43A9F6-3FF7-45CB-BD09-9800AACB3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6667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0</xdr:row>
      <xdr:rowOff>95250</xdr:rowOff>
    </xdr:from>
    <xdr:to>
      <xdr:col>0</xdr:col>
      <xdr:colOff>2009775</xdr:colOff>
      <xdr:row>3</xdr:row>
      <xdr:rowOff>142875</xdr:rowOff>
    </xdr:to>
    <xdr:pic>
      <xdr:nvPicPr>
        <xdr:cNvPr id="2" name="Picture 47">
          <a:extLst>
            <a:ext uri="{FF2B5EF4-FFF2-40B4-BE49-F238E27FC236}">
              <a16:creationId xmlns:a16="http://schemas.microsoft.com/office/drawing/2014/main" id="{A5FBCBAC-15D2-40FD-AC75-439E00808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95250"/>
          <a:ext cx="14097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0</xdr:row>
      <xdr:rowOff>76200</xdr:rowOff>
    </xdr:from>
    <xdr:to>
      <xdr:col>0</xdr:col>
      <xdr:colOff>1943100</xdr:colOff>
      <xdr:row>3</xdr:row>
      <xdr:rowOff>123825</xdr:rowOff>
    </xdr:to>
    <xdr:pic>
      <xdr:nvPicPr>
        <xdr:cNvPr id="2" name="Picture 47">
          <a:extLst>
            <a:ext uri="{FF2B5EF4-FFF2-40B4-BE49-F238E27FC236}">
              <a16:creationId xmlns:a16="http://schemas.microsoft.com/office/drawing/2014/main" id="{8B0AABD4-A041-4A08-A014-5424B6C89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76200"/>
          <a:ext cx="14097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104775</xdr:rowOff>
    </xdr:from>
    <xdr:to>
      <xdr:col>0</xdr:col>
      <xdr:colOff>1914525</xdr:colOff>
      <xdr:row>3</xdr:row>
      <xdr:rowOff>152400</xdr:rowOff>
    </xdr:to>
    <xdr:pic>
      <xdr:nvPicPr>
        <xdr:cNvPr id="2" name="Picture 47">
          <a:extLst>
            <a:ext uri="{FF2B5EF4-FFF2-40B4-BE49-F238E27FC236}">
              <a16:creationId xmlns:a16="http://schemas.microsoft.com/office/drawing/2014/main" id="{03972E0C-1CFF-4994-93AD-FD7DA8090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04775"/>
          <a:ext cx="14097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571500</xdr:colOff>
      <xdr:row>0</xdr:row>
      <xdr:rowOff>76200</xdr:rowOff>
    </xdr:from>
    <xdr:to>
      <xdr:col>0</xdr:col>
      <xdr:colOff>1981200</xdr:colOff>
      <xdr:row>3</xdr:row>
      <xdr:rowOff>123825</xdr:rowOff>
    </xdr:to>
    <xdr:pic>
      <xdr:nvPicPr>
        <xdr:cNvPr id="58359" name="Picture 47">
          <a:extLst>
            <a:ext uri="{FF2B5EF4-FFF2-40B4-BE49-F238E27FC236}">
              <a16:creationId xmlns:a16="http://schemas.microsoft.com/office/drawing/2014/main" id="{BCF97731-92B9-418E-90B6-7996C0CA6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76200"/>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22</xdr:col>
      <xdr:colOff>0</xdr:colOff>
      <xdr:row>6</xdr:row>
      <xdr:rowOff>819150</xdr:rowOff>
    </xdr:to>
    <xdr:pic>
      <xdr:nvPicPr>
        <xdr:cNvPr id="79305" name="Imagen 1">
          <a:extLst>
            <a:ext uri="{FF2B5EF4-FFF2-40B4-BE49-F238E27FC236}">
              <a16:creationId xmlns:a16="http://schemas.microsoft.com/office/drawing/2014/main" id="{636DF3E6-9565-4EF0-B2E7-D970388AC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6825" y="647700"/>
          <a:ext cx="9248775"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xdr:colOff>
      <xdr:row>6</xdr:row>
      <xdr:rowOff>800100</xdr:rowOff>
    </xdr:from>
    <xdr:to>
      <xdr:col>22</xdr:col>
      <xdr:colOff>28575</xdr:colOff>
      <xdr:row>7</xdr:row>
      <xdr:rowOff>600075</xdr:rowOff>
    </xdr:to>
    <xdr:pic>
      <xdr:nvPicPr>
        <xdr:cNvPr id="79306" name="Imagen 2">
          <a:extLst>
            <a:ext uri="{FF2B5EF4-FFF2-40B4-BE49-F238E27FC236}">
              <a16:creationId xmlns:a16="http://schemas.microsoft.com/office/drawing/2014/main" id="{8BC6FD88-A606-434C-9F7C-BF8BB16AB4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15875" y="3543300"/>
          <a:ext cx="92678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xdr:row>
      <xdr:rowOff>0</xdr:rowOff>
    </xdr:from>
    <xdr:to>
      <xdr:col>22</xdr:col>
      <xdr:colOff>0</xdr:colOff>
      <xdr:row>2</xdr:row>
      <xdr:rowOff>304800</xdr:rowOff>
    </xdr:to>
    <xdr:pic>
      <xdr:nvPicPr>
        <xdr:cNvPr id="79307" name="Imagen 3">
          <a:extLst>
            <a:ext uri="{FF2B5EF4-FFF2-40B4-BE49-F238E27FC236}">
              <a16:creationId xmlns:a16="http://schemas.microsoft.com/office/drawing/2014/main" id="{DB2EEDCF-BB92-4E1E-A2FB-B477F361760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96825" y="161925"/>
          <a:ext cx="92583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cretariadistritald-my.sharepoint.com/personal/sorjuela_sdmujer_gov_co/Documents/SD%20MUJER/SEGUIMIENTO%20CONTRATACION/SEGUIMIENTO%20MENSUAL/2021/12.%20DICIEMBRE/PABS%207718%20seguimiento%20contrataci&#243;n%20Dic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BS"/>
      <sheetName val="BOLSAS"/>
      <sheetName val="CDPs"/>
      <sheetName val="RPs"/>
      <sheetName val="Componentes de gasto"/>
      <sheetName val=" Consolidado prto 2020-2024"/>
      <sheetName val="PROGRAMACION INICIAL"/>
      <sheetName val="Enero"/>
      <sheetName val="Febrero"/>
      <sheetName val="Marzo"/>
      <sheetName val="Abril"/>
      <sheetName val="Mayo"/>
      <sheetName val="Junio"/>
      <sheetName val="Noviembre"/>
      <sheetName val="Diciemb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96">
          <cell r="D396">
            <v>1200383214.7199998</v>
          </cell>
        </row>
        <row r="397">
          <cell r="D397">
            <v>160089790.69999999</v>
          </cell>
        </row>
        <row r="398">
          <cell r="D398">
            <v>1333211812.1699996</v>
          </cell>
        </row>
        <row r="399">
          <cell r="D399">
            <v>5768188192.6899986</v>
          </cell>
        </row>
        <row r="400">
          <cell r="D400">
            <v>268994881.72000003</v>
          </cell>
        </row>
        <row r="401">
          <cell r="D401">
            <v>1155416324.2799997</v>
          </cell>
        </row>
        <row r="402">
          <cell r="D402">
            <v>372543966.72000003</v>
          </cell>
        </row>
      </sheetData>
    </sheetDataSet>
  </externalBook>
</externalLink>
</file>

<file path=xl/persons/person.xml><?xml version="1.0" encoding="utf-8"?>
<personList xmlns="http://schemas.microsoft.com/office/spreadsheetml/2018/threadedcomments" xmlns:x="http://schemas.openxmlformats.org/spreadsheetml/2006/main">
  <person displayName="Tania Elena Esteban Ariza" id="{E19795CF-9C56-1F4D-8BB7-17179CB66197}" userId="S::testeban@sdmujer.gov.co::eea43830-c0cc-4579-9577-513c515dc72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42" dT="2021-03-03T16:10:36.16" personId="{E19795CF-9C56-1F4D-8BB7-17179CB66197}" id="{EC8C2207-55F4-DB43-8029-AB7D3456768C}">
    <text>Cómo se calcularon estas ponderaciones?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9"/>
  <sheetViews>
    <sheetView zoomScaleNormal="100" workbookViewId="0">
      <selection activeCell="F8" sqref="F8"/>
    </sheetView>
  </sheetViews>
  <sheetFormatPr baseColWidth="10" defaultRowHeight="15"/>
  <cols>
    <col min="1" max="1" width="5.85546875" customWidth="1"/>
    <col min="2" max="2" width="13.5703125" customWidth="1"/>
    <col min="3" max="4" width="13.85546875" customWidth="1"/>
    <col min="5" max="5" width="10" customWidth="1"/>
    <col min="6" max="6" width="13.85546875" bestFit="1" customWidth="1"/>
    <col min="7" max="7" width="9.42578125" bestFit="1" customWidth="1"/>
    <col min="8" max="8" width="13.85546875" bestFit="1" customWidth="1"/>
    <col min="9" max="9" width="12.42578125" customWidth="1"/>
    <col min="10" max="10" width="13.28515625" customWidth="1"/>
    <col min="11" max="11" width="16.140625" customWidth="1"/>
  </cols>
  <sheetData>
    <row r="1" spans="1:11">
      <c r="C1" s="472" t="s">
        <v>448</v>
      </c>
      <c r="D1" s="472"/>
      <c r="E1" s="472"/>
      <c r="F1" s="472"/>
      <c r="G1" s="472"/>
      <c r="H1" s="453"/>
      <c r="I1" s="453"/>
      <c r="J1" s="472" t="s">
        <v>449</v>
      </c>
      <c r="K1" s="472"/>
    </row>
    <row r="2" spans="1:11" s="456" customFormat="1" ht="30">
      <c r="A2" s="454" t="s">
        <v>445</v>
      </c>
      <c r="B2" s="454" t="s">
        <v>444</v>
      </c>
      <c r="C2" s="457" t="s">
        <v>447</v>
      </c>
      <c r="D2" s="457" t="s">
        <v>74</v>
      </c>
      <c r="E2" s="457" t="s">
        <v>452</v>
      </c>
      <c r="F2" s="457" t="s">
        <v>450</v>
      </c>
      <c r="G2" s="455" t="s">
        <v>446</v>
      </c>
      <c r="H2" s="457" t="s">
        <v>451</v>
      </c>
      <c r="I2" s="457"/>
      <c r="J2" s="457" t="s">
        <v>74</v>
      </c>
      <c r="K2" s="457" t="s">
        <v>450</v>
      </c>
    </row>
    <row r="3" spans="1:11">
      <c r="A3" s="473">
        <v>1</v>
      </c>
      <c r="B3" s="474" t="s">
        <v>437</v>
      </c>
      <c r="C3" s="458">
        <v>1480301974</v>
      </c>
      <c r="D3" s="465">
        <f>+'Meta 1 '!$W$18</f>
        <v>1480301973.72</v>
      </c>
      <c r="E3" s="465">
        <f>+C3-D3</f>
        <v>0.27999997138977051</v>
      </c>
      <c r="F3" s="467">
        <f>+'Meta 1 '!$Z$18</f>
        <v>1198983215</v>
      </c>
      <c r="G3" s="459">
        <f t="shared" ref="G3:G16" si="0">+F3/D3</f>
        <v>0.80995853297888554</v>
      </c>
      <c r="H3" s="458">
        <f>+[2]Diciembre!$D$396</f>
        <v>1200383214.7199998</v>
      </c>
      <c r="I3" s="458">
        <f>+H3-F3</f>
        <v>1399999.7199997902</v>
      </c>
      <c r="J3" s="458">
        <f>+'Meta 1 '!$Q$18</f>
        <v>9000000</v>
      </c>
      <c r="K3" s="458">
        <f>+'Meta 1 '!$T$18</f>
        <v>9000000</v>
      </c>
    </row>
    <row r="4" spans="1:11">
      <c r="A4" s="473"/>
      <c r="B4" s="474"/>
      <c r="C4" s="460"/>
      <c r="D4" s="466">
        <f>+'Meta 1 '!$C$30</f>
        <v>0.7</v>
      </c>
      <c r="E4" s="460"/>
      <c r="F4" s="468">
        <f>+'Meta 1 '!$P$30</f>
        <v>0.69279999999999997</v>
      </c>
      <c r="G4" s="459">
        <f t="shared" si="0"/>
        <v>0.98971428571428577</v>
      </c>
      <c r="H4" s="460"/>
      <c r="I4" s="460"/>
      <c r="J4" s="460"/>
      <c r="K4" s="460"/>
    </row>
    <row r="5" spans="1:11">
      <c r="A5" s="473">
        <v>2</v>
      </c>
      <c r="B5" s="474" t="s">
        <v>438</v>
      </c>
      <c r="C5" s="458">
        <v>166569791</v>
      </c>
      <c r="D5" s="465">
        <f>+'Meta 2'!$W$18</f>
        <v>166569790.70000002</v>
      </c>
      <c r="E5" s="465">
        <f>+C5-D5</f>
        <v>0.29999998211860657</v>
      </c>
      <c r="F5" s="467">
        <f>+'Meta 2'!$Z$18</f>
        <v>158489791</v>
      </c>
      <c r="G5" s="459">
        <f t="shared" si="0"/>
        <v>0.95149180613096596</v>
      </c>
      <c r="H5" s="458">
        <f>+[2]Diciembre!$D$397</f>
        <v>160089790.69999999</v>
      </c>
      <c r="I5" s="458">
        <f>+H5-F5</f>
        <v>1599999.6999999881</v>
      </c>
      <c r="J5" s="458">
        <f>+'Meta 2'!$Q$18</f>
        <v>12000000</v>
      </c>
      <c r="K5" s="458">
        <f>+'Meta 2'!$T$18</f>
        <v>12000000</v>
      </c>
    </row>
    <row r="6" spans="1:11">
      <c r="A6" s="473"/>
      <c r="B6" s="474"/>
      <c r="C6" s="461"/>
      <c r="D6" s="461">
        <f>+'Meta 2'!$C$30</f>
        <v>13</v>
      </c>
      <c r="E6" s="461"/>
      <c r="F6" s="469">
        <f>+'Meta 2'!$P$30</f>
        <v>13</v>
      </c>
      <c r="G6" s="459">
        <f t="shared" si="0"/>
        <v>1</v>
      </c>
      <c r="H6" s="461"/>
      <c r="I6" s="461"/>
      <c r="J6" s="461"/>
      <c r="K6" s="461"/>
    </row>
    <row r="7" spans="1:11">
      <c r="A7" s="473">
        <v>3</v>
      </c>
      <c r="B7" s="474" t="s">
        <v>439</v>
      </c>
      <c r="C7" s="458">
        <v>1434045964</v>
      </c>
      <c r="D7" s="465">
        <f>+'Meta 3'!$W$18</f>
        <v>1434045963.9933336</v>
      </c>
      <c r="E7" s="465">
        <f>+C7-D7</f>
        <v>6.6664218902587891E-3</v>
      </c>
      <c r="F7" s="471">
        <f>+'Meta 3'!$Z$18</f>
        <v>1282135504</v>
      </c>
      <c r="G7" s="459">
        <f t="shared" si="0"/>
        <v>0.89406862554787692</v>
      </c>
      <c r="H7" s="458">
        <f>+[2]Diciembre!$D$398</f>
        <v>1333211812.1699996</v>
      </c>
      <c r="I7" s="458">
        <f>+H7-F7</f>
        <v>51076308.169999599</v>
      </c>
      <c r="J7" s="458">
        <f>+'Meta 3'!$Q$18</f>
        <v>0</v>
      </c>
      <c r="K7" s="458">
        <f>+'Meta 3'!$T$18</f>
        <v>0</v>
      </c>
    </row>
    <row r="8" spans="1:11">
      <c r="A8" s="473"/>
      <c r="B8" s="474"/>
      <c r="C8" s="462"/>
      <c r="D8" s="462">
        <f>+'Meta 3'!$C$30</f>
        <v>0.25</v>
      </c>
      <c r="E8" s="462"/>
      <c r="F8" s="468">
        <f>+'Meta 3'!$P$30</f>
        <v>0.24142857142857146</v>
      </c>
      <c r="G8" s="459">
        <f t="shared" si="0"/>
        <v>0.96571428571428586</v>
      </c>
      <c r="H8" s="460"/>
      <c r="I8" s="460"/>
      <c r="J8" s="462"/>
      <c r="K8" s="462"/>
    </row>
    <row r="9" spans="1:11">
      <c r="A9" s="473">
        <v>4</v>
      </c>
      <c r="B9" s="474" t="s">
        <v>440</v>
      </c>
      <c r="C9" s="458">
        <v>5886531587</v>
      </c>
      <c r="D9" s="465">
        <f>+'Meta 4'!$W$18</f>
        <v>5886531587.1300001</v>
      </c>
      <c r="E9" s="465">
        <f>+C9-D9</f>
        <v>-0.13000011444091797</v>
      </c>
      <c r="F9" s="467">
        <f>+'Meta 4'!$Z$18</f>
        <v>5845618011</v>
      </c>
      <c r="G9" s="459">
        <f t="shared" si="0"/>
        <v>0.99304962939136321</v>
      </c>
      <c r="H9" s="458">
        <f>+[2]Diciembre!$D$399</f>
        <v>5768188192.6899986</v>
      </c>
      <c r="I9" s="458">
        <f>+H9-F9</f>
        <v>-77429818.310001373</v>
      </c>
      <c r="J9" s="458">
        <f>+'Meta 4'!$Q$18</f>
        <v>0</v>
      </c>
      <c r="K9" s="458">
        <f>+'Meta 4'!$T$18</f>
        <v>0</v>
      </c>
    </row>
    <row r="10" spans="1:11">
      <c r="A10" s="473"/>
      <c r="B10" s="474"/>
      <c r="C10" s="462"/>
      <c r="D10" s="462">
        <f>+'Meta 4'!$C$30</f>
        <v>0.24</v>
      </c>
      <c r="E10" s="462"/>
      <c r="F10" s="468">
        <f>+'Meta 4'!$P$30</f>
        <v>0.23680000000000004</v>
      </c>
      <c r="G10" s="459">
        <f t="shared" si="0"/>
        <v>0.98666666666666691</v>
      </c>
      <c r="H10" s="460"/>
      <c r="I10" s="460"/>
      <c r="J10" s="462"/>
      <c r="K10" s="462"/>
    </row>
    <row r="11" spans="1:11">
      <c r="A11" s="473">
        <v>5</v>
      </c>
      <c r="B11" s="474" t="s">
        <v>441</v>
      </c>
      <c r="C11" s="458">
        <v>274664882</v>
      </c>
      <c r="D11" s="465">
        <f>+'Meta 5'!$W$18</f>
        <v>274664881.72000003</v>
      </c>
      <c r="E11" s="465">
        <f>+C11-D11</f>
        <v>0.27999997138977051</v>
      </c>
      <c r="F11" s="467">
        <f>+'Meta 5'!$Z$18</f>
        <v>267594882</v>
      </c>
      <c r="G11" s="459">
        <f t="shared" si="0"/>
        <v>0.97425954248054414</v>
      </c>
      <c r="H11" s="458">
        <f>+[2]Diciembre!$D$400</f>
        <v>268994881.72000003</v>
      </c>
      <c r="I11" s="458">
        <f>+H11-F11</f>
        <v>1399999.7200000286</v>
      </c>
      <c r="J11" s="458">
        <f>+'Meta 5'!$Q$18</f>
        <v>0</v>
      </c>
      <c r="K11" s="458">
        <f>+'Meta 5'!$T$18</f>
        <v>0</v>
      </c>
    </row>
    <row r="12" spans="1:11">
      <c r="A12" s="473"/>
      <c r="B12" s="474"/>
      <c r="C12" s="460"/>
      <c r="D12" s="460">
        <f>+'Meta 5'!$C$30</f>
        <v>0.7</v>
      </c>
      <c r="E12" s="460"/>
      <c r="F12" s="470">
        <f>+'Meta 5'!$P$30</f>
        <v>0.7</v>
      </c>
      <c r="G12" s="459">
        <f t="shared" si="0"/>
        <v>1</v>
      </c>
      <c r="H12" s="460"/>
      <c r="I12" s="460"/>
      <c r="J12" s="460"/>
      <c r="K12" s="460"/>
    </row>
    <row r="13" spans="1:11">
      <c r="A13" s="473">
        <v>6</v>
      </c>
      <c r="B13" s="474" t="s">
        <v>442</v>
      </c>
      <c r="C13" s="458">
        <v>1378281472</v>
      </c>
      <c r="D13" s="465">
        <f>+'Meta 6 '!$W$18</f>
        <v>1378281472.4566667</v>
      </c>
      <c r="E13" s="465">
        <f>+C13-D13</f>
        <v>-0.45666670799255371</v>
      </c>
      <c r="F13" s="467">
        <f>+'Meta 6 '!$Z$18</f>
        <v>1132074450</v>
      </c>
      <c r="G13" s="459">
        <f t="shared" si="0"/>
        <v>0.8213666603108114</v>
      </c>
      <c r="H13" s="458">
        <f>+[2]Diciembre!$D$401</f>
        <v>1155416324.2799997</v>
      </c>
      <c r="I13" s="458">
        <f>+H13-F13</f>
        <v>23341874.279999733</v>
      </c>
      <c r="J13" s="458">
        <f>+'Meta 6 '!$Q$18</f>
        <v>0</v>
      </c>
      <c r="K13" s="458">
        <f>+'Meta 6 '!$T$18</f>
        <v>0</v>
      </c>
    </row>
    <row r="14" spans="1:11">
      <c r="A14" s="473"/>
      <c r="B14" s="474"/>
      <c r="C14" s="460"/>
      <c r="D14" s="460">
        <f>+'Meta 6 '!$C$30</f>
        <v>0.7</v>
      </c>
      <c r="E14" s="460"/>
      <c r="F14" s="470">
        <f>+'Meta 6 '!$P$30</f>
        <v>0.7</v>
      </c>
      <c r="G14" s="459">
        <f t="shared" si="0"/>
        <v>1</v>
      </c>
      <c r="H14" s="460"/>
      <c r="I14" s="460"/>
      <c r="J14" s="460"/>
      <c r="K14" s="460"/>
    </row>
    <row r="15" spans="1:11">
      <c r="A15" s="473">
        <v>7</v>
      </c>
      <c r="B15" s="474" t="s">
        <v>443</v>
      </c>
      <c r="C15" s="458">
        <v>406002330</v>
      </c>
      <c r="D15" s="465">
        <f>+'Meta 7'!$W$18</f>
        <v>406002330.28000003</v>
      </c>
      <c r="E15" s="465">
        <f>+C15-D15</f>
        <v>-0.28000003099441528</v>
      </c>
      <c r="F15" s="467">
        <f>+'Meta 7'!$Z$18</f>
        <v>373932330</v>
      </c>
      <c r="G15" s="459">
        <f t="shared" si="0"/>
        <v>0.92101030489681446</v>
      </c>
      <c r="H15" s="458">
        <f>+[2]Diciembre!$D$402</f>
        <v>372543966.72000003</v>
      </c>
      <c r="I15" s="458">
        <f>+H15-F15</f>
        <v>-1388363.2799999714</v>
      </c>
      <c r="J15" s="458">
        <f>+'Meta 7'!$Q$18</f>
        <v>0</v>
      </c>
      <c r="K15" s="458">
        <f>+'Meta 7'!$T$18</f>
        <v>0</v>
      </c>
    </row>
    <row r="16" spans="1:11">
      <c r="A16" s="473"/>
      <c r="B16" s="474"/>
      <c r="C16" s="462"/>
      <c r="D16" s="462">
        <f>+'Meta 7'!$C$30</f>
        <v>0.25</v>
      </c>
      <c r="E16" s="462"/>
      <c r="F16" s="470">
        <f>+'Meta 7'!$P$30</f>
        <v>0.25000000000000006</v>
      </c>
      <c r="G16" s="459">
        <f t="shared" si="0"/>
        <v>1.0000000000000002</v>
      </c>
      <c r="H16" s="460"/>
      <c r="I16" s="460"/>
      <c r="J16" s="462"/>
      <c r="K16" s="462"/>
    </row>
    <row r="17" spans="3:11" ht="6.75" customHeight="1">
      <c r="C17" s="463"/>
      <c r="D17" s="463"/>
      <c r="E17" s="463"/>
      <c r="F17" s="463"/>
      <c r="G17" s="463"/>
      <c r="H17" s="463"/>
      <c r="I17" s="463"/>
      <c r="J17" s="463"/>
      <c r="K17" s="463"/>
    </row>
    <row r="18" spans="3:11">
      <c r="C18" s="464">
        <f>+C3+C5+C7+C9+C11+C13+C15</f>
        <v>11026398000</v>
      </c>
      <c r="D18" s="464">
        <f>+D3+D5+D7+D9+D11+D13+D15</f>
        <v>11026398000.000002</v>
      </c>
      <c r="E18" s="464"/>
      <c r="F18" s="464">
        <f>+F3+F5+F7+F9+F11+F13+F15</f>
        <v>10258828183</v>
      </c>
      <c r="G18" s="463"/>
      <c r="H18" s="464">
        <f>+H3+H5+H7+H9+H11+H13+H15</f>
        <v>10258828182.999998</v>
      </c>
      <c r="I18" s="464">
        <f>+I3+I5+I7+I9+I11+I13+I15</f>
        <v>-2.2053718566894531E-6</v>
      </c>
      <c r="J18" s="464">
        <f>+J3+J5+J7+J9+J11+J13+J15</f>
        <v>21000000</v>
      </c>
      <c r="K18" s="464">
        <f>+K3+K5+K7+K9+K11+K13+K15</f>
        <v>21000000</v>
      </c>
    </row>
    <row r="19" spans="3:11">
      <c r="F19">
        <v>10258828184</v>
      </c>
      <c r="H19">
        <v>10258828183</v>
      </c>
    </row>
  </sheetData>
  <mergeCells count="16">
    <mergeCell ref="C1:G1"/>
    <mergeCell ref="J1:K1"/>
    <mergeCell ref="A15:A16"/>
    <mergeCell ref="B3:B4"/>
    <mergeCell ref="B5:B6"/>
    <mergeCell ref="B7:B8"/>
    <mergeCell ref="B9:B10"/>
    <mergeCell ref="B11:B12"/>
    <mergeCell ref="B13:B14"/>
    <mergeCell ref="B15:B16"/>
    <mergeCell ref="A3:A4"/>
    <mergeCell ref="A5:A6"/>
    <mergeCell ref="A7:A8"/>
    <mergeCell ref="A9:A10"/>
    <mergeCell ref="A11:A12"/>
    <mergeCell ref="A13:A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L179"/>
  <sheetViews>
    <sheetView topLeftCell="A181" zoomScaleNormal="50" workbookViewId="0">
      <selection activeCell="C157" sqref="C157"/>
    </sheetView>
  </sheetViews>
  <sheetFormatPr baseColWidth="10" defaultColWidth="11.42578125" defaultRowHeight="12.75"/>
  <cols>
    <col min="1" max="1" width="7.42578125" style="263" customWidth="1"/>
    <col min="2" max="2" width="60" style="263" customWidth="1"/>
    <col min="3" max="3" width="18.7109375" style="263" customWidth="1"/>
    <col min="4" max="4" width="20" style="263" bestFit="1" customWidth="1"/>
    <col min="5" max="7" width="18.7109375" style="263" customWidth="1"/>
    <col min="8" max="8" width="20.7109375" style="263" bestFit="1" customWidth="1"/>
    <col min="9" max="9" width="18.7109375" style="263" customWidth="1"/>
    <col min="10" max="10" width="13.140625" style="263" customWidth="1"/>
    <col min="11" max="11" width="17" style="263" customWidth="1"/>
    <col min="12" max="12" width="6.42578125" style="263" customWidth="1"/>
    <col min="13" max="13" width="35.7109375" style="263" customWidth="1"/>
    <col min="14" max="14" width="18" style="263" bestFit="1" customWidth="1"/>
    <col min="15" max="23" width="11.42578125" style="263"/>
    <col min="24" max="24" width="12.7109375" style="205" customWidth="1"/>
    <col min="25" max="35" width="12.7109375" style="263" customWidth="1"/>
    <col min="36" max="16384" width="11.42578125" style="263"/>
  </cols>
  <sheetData>
    <row r="1" spans="1:9" ht="13.5" thickBot="1">
      <c r="A1" s="873" t="s">
        <v>189</v>
      </c>
      <c r="B1" s="873"/>
      <c r="C1" s="873"/>
      <c r="D1" s="873"/>
      <c r="E1" s="873"/>
      <c r="F1" s="873"/>
      <c r="G1" s="873"/>
      <c r="H1" s="873"/>
      <c r="I1" s="873"/>
    </row>
    <row r="2" spans="1:9" ht="39" thickBot="1">
      <c r="A2" s="247" t="s">
        <v>190</v>
      </c>
      <c r="B2" s="248" t="s">
        <v>191</v>
      </c>
      <c r="C2" s="249" t="s">
        <v>192</v>
      </c>
      <c r="D2" s="250" t="s">
        <v>193</v>
      </c>
      <c r="E2" s="189" t="s">
        <v>403</v>
      </c>
      <c r="F2" s="251" t="s">
        <v>195</v>
      </c>
      <c r="G2" s="251" t="s">
        <v>196</v>
      </c>
      <c r="H2" s="252" t="s">
        <v>197</v>
      </c>
      <c r="I2" s="253" t="s">
        <v>198</v>
      </c>
    </row>
    <row r="3" spans="1:9">
      <c r="A3" s="874">
        <v>1</v>
      </c>
      <c r="B3" s="876" t="s">
        <v>23</v>
      </c>
      <c r="C3" s="388" t="s">
        <v>199</v>
      </c>
      <c r="D3" s="383" t="s">
        <v>200</v>
      </c>
      <c r="E3" s="381" t="s">
        <v>201</v>
      </c>
      <c r="F3" s="379">
        <v>1</v>
      </c>
      <c r="G3" s="201">
        <v>1</v>
      </c>
      <c r="H3" s="201">
        <v>1</v>
      </c>
      <c r="I3" s="202">
        <v>1</v>
      </c>
    </row>
    <row r="4" spans="1:9">
      <c r="A4" s="875"/>
      <c r="B4" s="877"/>
      <c r="C4" s="207" t="s">
        <v>202</v>
      </c>
      <c r="D4" s="384">
        <v>54000000</v>
      </c>
      <c r="E4" s="449">
        <v>1480301973.72</v>
      </c>
      <c r="F4" s="380">
        <v>119070000</v>
      </c>
      <c r="G4" s="209">
        <v>125023000</v>
      </c>
      <c r="H4" s="210">
        <v>53520000</v>
      </c>
      <c r="I4" s="211">
        <f>SUM(D4:H4)</f>
        <v>1831914973.72</v>
      </c>
    </row>
    <row r="5" spans="1:9" ht="25.5">
      <c r="A5" s="869">
        <v>2</v>
      </c>
      <c r="B5" s="871" t="s">
        <v>113</v>
      </c>
      <c r="C5" s="198" t="s">
        <v>203</v>
      </c>
      <c r="D5" s="199">
        <v>0</v>
      </c>
      <c r="E5" s="200">
        <v>13</v>
      </c>
      <c r="F5" s="200">
        <v>13</v>
      </c>
      <c r="G5" s="200">
        <v>13</v>
      </c>
      <c r="H5" s="215">
        <v>13</v>
      </c>
      <c r="I5" s="216">
        <v>13</v>
      </c>
    </row>
    <row r="6" spans="1:9">
      <c r="A6" s="875"/>
      <c r="B6" s="877"/>
      <c r="C6" s="207" t="s">
        <v>202</v>
      </c>
      <c r="D6" s="319">
        <v>60600000</v>
      </c>
      <c r="E6" s="449">
        <v>166569790.70000002</v>
      </c>
      <c r="F6" s="209">
        <v>250140000</v>
      </c>
      <c r="G6" s="209">
        <v>262047000</v>
      </c>
      <c r="H6" s="210">
        <v>120000000</v>
      </c>
      <c r="I6" s="211">
        <f>SUM(D6:H6)</f>
        <v>859356790.70000005</v>
      </c>
    </row>
    <row r="7" spans="1:9">
      <c r="A7" s="869">
        <v>3</v>
      </c>
      <c r="B7" s="871" t="s">
        <v>120</v>
      </c>
      <c r="C7" s="198" t="s">
        <v>204</v>
      </c>
      <c r="D7" s="320">
        <v>0</v>
      </c>
      <c r="E7" s="200">
        <v>0.25</v>
      </c>
      <c r="F7" s="200">
        <v>0.25</v>
      </c>
      <c r="G7" s="200">
        <v>0.25</v>
      </c>
      <c r="H7" s="200">
        <v>0.25</v>
      </c>
      <c r="I7" s="216">
        <v>1</v>
      </c>
    </row>
    <row r="8" spans="1:9">
      <c r="A8" s="875"/>
      <c r="B8" s="877"/>
      <c r="C8" s="207" t="s">
        <v>202</v>
      </c>
      <c r="D8" s="319">
        <v>0</v>
      </c>
      <c r="E8" s="449">
        <v>1434045963.9933336</v>
      </c>
      <c r="F8" s="209">
        <v>1102524500</v>
      </c>
      <c r="G8" s="209">
        <v>1152136500</v>
      </c>
      <c r="H8" s="210">
        <v>560274500</v>
      </c>
      <c r="I8" s="211">
        <f>SUM(D8:H8)</f>
        <v>4248981463.9933338</v>
      </c>
    </row>
    <row r="9" spans="1:9">
      <c r="A9" s="869">
        <v>4</v>
      </c>
      <c r="B9" s="871" t="s">
        <v>128</v>
      </c>
      <c r="C9" s="198" t="s">
        <v>204</v>
      </c>
      <c r="D9" s="320">
        <v>0.04</v>
      </c>
      <c r="E9" s="200">
        <v>0.24</v>
      </c>
      <c r="F9" s="200">
        <v>0.24</v>
      </c>
      <c r="G9" s="200">
        <v>0.24</v>
      </c>
      <c r="H9" s="200">
        <v>0.24</v>
      </c>
      <c r="I9" s="216">
        <v>1</v>
      </c>
    </row>
    <row r="10" spans="1:9">
      <c r="A10" s="875"/>
      <c r="B10" s="877"/>
      <c r="C10" s="207" t="s">
        <v>202</v>
      </c>
      <c r="D10" s="319">
        <v>29400000</v>
      </c>
      <c r="E10" s="449">
        <v>5886531587.1300001</v>
      </c>
      <c r="F10" s="209">
        <v>956800000</v>
      </c>
      <c r="G10" s="209">
        <v>1005465000</v>
      </c>
      <c r="H10" s="210">
        <v>1054308000</v>
      </c>
      <c r="I10" s="211">
        <f>SUM(D10:H10)</f>
        <v>8932504587.1300011</v>
      </c>
    </row>
    <row r="11" spans="1:9">
      <c r="A11" s="869">
        <v>5</v>
      </c>
      <c r="B11" s="871" t="s">
        <v>205</v>
      </c>
      <c r="C11" s="388" t="s">
        <v>199</v>
      </c>
      <c r="D11" s="383" t="s">
        <v>200</v>
      </c>
      <c r="E11" s="381" t="s">
        <v>201</v>
      </c>
      <c r="F11" s="379">
        <v>1</v>
      </c>
      <c r="G11" s="201">
        <v>1</v>
      </c>
      <c r="H11" s="201">
        <v>1</v>
      </c>
      <c r="I11" s="216">
        <v>1</v>
      </c>
    </row>
    <row r="12" spans="1:9">
      <c r="A12" s="875"/>
      <c r="B12" s="877"/>
      <c r="C12" s="207" t="s">
        <v>202</v>
      </c>
      <c r="D12" s="384">
        <v>22948800</v>
      </c>
      <c r="E12" s="449">
        <v>274664881.72000003</v>
      </c>
      <c r="F12" s="380">
        <v>117098000</v>
      </c>
      <c r="G12" s="209">
        <v>122615000</v>
      </c>
      <c r="H12" s="210">
        <v>79800000</v>
      </c>
      <c r="I12" s="211">
        <f>SUM(D12:H12)</f>
        <v>617126681.72000003</v>
      </c>
    </row>
    <row r="13" spans="1:9">
      <c r="A13" s="869">
        <v>6</v>
      </c>
      <c r="B13" s="878" t="s">
        <v>149</v>
      </c>
      <c r="C13" s="388" t="s">
        <v>199</v>
      </c>
      <c r="D13" s="383" t="s">
        <v>200</v>
      </c>
      <c r="E13" s="381" t="s">
        <v>201</v>
      </c>
      <c r="F13" s="381">
        <v>1</v>
      </c>
      <c r="G13" s="200">
        <v>1</v>
      </c>
      <c r="H13" s="215">
        <v>1</v>
      </c>
      <c r="I13" s="216">
        <v>1</v>
      </c>
    </row>
    <row r="14" spans="1:9">
      <c r="A14" s="875"/>
      <c r="B14" s="879"/>
      <c r="C14" s="226" t="s">
        <v>202</v>
      </c>
      <c r="D14" s="386">
        <v>5737200</v>
      </c>
      <c r="E14" s="449">
        <v>1378281472.4566667</v>
      </c>
      <c r="F14" s="382">
        <v>2361015000</v>
      </c>
      <c r="G14" s="228">
        <v>1620503500</v>
      </c>
      <c r="H14" s="229">
        <v>1345922500</v>
      </c>
      <c r="I14" s="211">
        <f>SUM(D14:H14)</f>
        <v>6711459672.4566669</v>
      </c>
    </row>
    <row r="15" spans="1:9">
      <c r="A15" s="869">
        <v>7</v>
      </c>
      <c r="B15" s="871" t="s">
        <v>156</v>
      </c>
      <c r="C15" s="198" t="s">
        <v>204</v>
      </c>
      <c r="D15" s="199">
        <v>0</v>
      </c>
      <c r="E15" s="200">
        <v>0.25</v>
      </c>
      <c r="F15" s="200">
        <v>0.25</v>
      </c>
      <c r="G15" s="200">
        <v>0.25</v>
      </c>
      <c r="H15" s="200">
        <v>0.25</v>
      </c>
      <c r="I15" s="216">
        <v>1</v>
      </c>
    </row>
    <row r="16" spans="1:9" ht="13.5" thickBot="1">
      <c r="A16" s="870"/>
      <c r="B16" s="872"/>
      <c r="C16" s="207" t="s">
        <v>202</v>
      </c>
      <c r="D16" s="208">
        <v>0</v>
      </c>
      <c r="E16" s="449">
        <v>406002330.28000003</v>
      </c>
      <c r="F16" s="209">
        <v>4343520000</v>
      </c>
      <c r="G16" s="209">
        <v>4558896000</v>
      </c>
      <c r="H16" s="210">
        <v>4578975000</v>
      </c>
      <c r="I16" s="211">
        <f>SUM(D16:H16)</f>
        <v>13887393330.279999</v>
      </c>
    </row>
    <row r="17" spans="1:9" ht="13.5" thickBot="1">
      <c r="A17" s="880" t="s">
        <v>198</v>
      </c>
      <c r="B17" s="881"/>
      <c r="C17" s="882"/>
      <c r="D17" s="231">
        <f t="shared" ref="D17" si="0">+D4+D6+D8+D16+D10+D12+D14</f>
        <v>172686000</v>
      </c>
      <c r="E17" s="333">
        <f>+E4+E6+E8+E16+E10+E12+E14</f>
        <v>11026398000</v>
      </c>
      <c r="F17" s="231">
        <f>+F4+F6+F8+F16+F10+F12+F14</f>
        <v>9250167500</v>
      </c>
      <c r="G17" s="231">
        <f t="shared" ref="G17:I17" si="1">+G4+G6+G8+G16+G10+G12+G14</f>
        <v>8846686000</v>
      </c>
      <c r="H17" s="231">
        <f t="shared" si="1"/>
        <v>7792800000</v>
      </c>
      <c r="I17" s="231">
        <f t="shared" si="1"/>
        <v>37088737500</v>
      </c>
    </row>
    <row r="18" spans="1:9" ht="13.5" thickBot="1"/>
    <row r="19" spans="1:9" ht="39" thickBot="1">
      <c r="B19" s="883" t="s">
        <v>206</v>
      </c>
      <c r="C19" s="884"/>
      <c r="D19" s="334" t="s">
        <v>207</v>
      </c>
      <c r="E19" s="335" t="s">
        <v>208</v>
      </c>
      <c r="F19" s="335" t="s">
        <v>209</v>
      </c>
      <c r="G19" s="335" t="s">
        <v>402</v>
      </c>
    </row>
    <row r="20" spans="1:9" ht="15">
      <c r="B20" s="267" t="s">
        <v>210</v>
      </c>
      <c r="C20" s="336">
        <v>83300000</v>
      </c>
      <c r="D20" s="337" t="s">
        <v>211</v>
      </c>
      <c r="E20" s="262">
        <v>95525000</v>
      </c>
      <c r="F20" s="262">
        <v>128116640</v>
      </c>
      <c r="G20" s="262">
        <v>134305159</v>
      </c>
    </row>
    <row r="21" spans="1:9" ht="15">
      <c r="B21" s="268" t="s">
        <v>212</v>
      </c>
      <c r="C21" s="338">
        <v>257876000</v>
      </c>
      <c r="D21" s="337" t="s">
        <v>212</v>
      </c>
      <c r="E21" s="262">
        <v>182580000</v>
      </c>
      <c r="F21" s="262">
        <v>17085670</v>
      </c>
      <c r="G21" s="262">
        <v>17085670</v>
      </c>
    </row>
    <row r="22" spans="1:9" ht="15">
      <c r="B22" s="268" t="s">
        <v>213</v>
      </c>
      <c r="C22" s="338">
        <v>42000000</v>
      </c>
      <c r="D22" s="337" t="s">
        <v>213</v>
      </c>
      <c r="E22" s="262">
        <v>42000000</v>
      </c>
      <c r="F22" s="262">
        <v>64801537</v>
      </c>
      <c r="G22" s="262">
        <v>64801537.000000007</v>
      </c>
    </row>
    <row r="23" spans="1:9" ht="15">
      <c r="B23" s="268" t="s">
        <v>214</v>
      </c>
      <c r="C23" s="338">
        <v>1015000000</v>
      </c>
      <c r="D23" s="337" t="s">
        <v>215</v>
      </c>
      <c r="E23" s="262">
        <v>1110000000</v>
      </c>
      <c r="F23" s="262">
        <v>32900000</v>
      </c>
      <c r="G23" s="262">
        <v>32900000</v>
      </c>
    </row>
    <row r="24" spans="1:9" ht="14.1" customHeight="1">
      <c r="B24" s="268" t="s">
        <v>216</v>
      </c>
      <c r="C24" s="338">
        <v>41209000</v>
      </c>
      <c r="D24" s="337" t="s">
        <v>216</v>
      </c>
      <c r="E24" s="262">
        <v>43551443</v>
      </c>
      <c r="F24" s="262">
        <v>0</v>
      </c>
      <c r="G24" s="262"/>
      <c r="I24" s="371"/>
    </row>
    <row r="25" spans="1:9" ht="15">
      <c r="B25" s="268" t="s">
        <v>217</v>
      </c>
      <c r="C25" s="338">
        <v>3707688000</v>
      </c>
      <c r="D25" s="337" t="s">
        <v>218</v>
      </c>
      <c r="E25" s="262">
        <v>4037541556.96</v>
      </c>
      <c r="F25" s="262">
        <v>3717184999</v>
      </c>
      <c r="G25" s="262">
        <v>3710996480.0000005</v>
      </c>
    </row>
    <row r="26" spans="1:9" ht="14.1" customHeight="1" thickBot="1">
      <c r="B26" s="268" t="s">
        <v>219</v>
      </c>
      <c r="C26" s="338">
        <v>5879325000</v>
      </c>
      <c r="D26" s="339" t="s">
        <v>220</v>
      </c>
      <c r="E26" s="340">
        <v>5515200000</v>
      </c>
      <c r="F26" s="340">
        <v>7066309154</v>
      </c>
      <c r="G26" s="340">
        <v>7066309154.0000019</v>
      </c>
    </row>
    <row r="27" spans="1:9" ht="15.75" thickBot="1">
      <c r="B27" s="271" t="s">
        <v>221</v>
      </c>
      <c r="C27" s="341">
        <v>11026398000</v>
      </c>
      <c r="D27" s="342" t="s">
        <v>222</v>
      </c>
      <c r="E27" s="343">
        <f>SUM(E20:E26)</f>
        <v>11026397999.959999</v>
      </c>
      <c r="F27" s="343">
        <f>SUM(F20:F26)</f>
        <v>11026398000</v>
      </c>
      <c r="G27" s="343">
        <f>SUM(G20:G26)</f>
        <v>11026398000.000002</v>
      </c>
      <c r="I27" s="371"/>
    </row>
    <row r="30" spans="1:9" ht="13.5" thickBot="1"/>
    <row r="31" spans="1:9" ht="14.1" customHeight="1" thickBot="1">
      <c r="A31" s="873" t="s">
        <v>189</v>
      </c>
      <c r="B31" s="873"/>
      <c r="C31" s="873"/>
      <c r="D31" s="873"/>
      <c r="E31" s="873"/>
      <c r="F31" s="873"/>
      <c r="G31" s="873"/>
      <c r="H31" s="873"/>
      <c r="I31" s="873"/>
    </row>
    <row r="32" spans="1:9" ht="39" thickBot="1">
      <c r="A32" s="247" t="s">
        <v>190</v>
      </c>
      <c r="B32" s="248" t="s">
        <v>191</v>
      </c>
      <c r="C32" s="249" t="s">
        <v>192</v>
      </c>
      <c r="D32" s="250" t="s">
        <v>193</v>
      </c>
      <c r="E32" s="189" t="s">
        <v>194</v>
      </c>
      <c r="F32" s="251" t="s">
        <v>195</v>
      </c>
      <c r="G32" s="251" t="s">
        <v>196</v>
      </c>
      <c r="H32" s="252" t="s">
        <v>197</v>
      </c>
      <c r="I32" s="253" t="s">
        <v>198</v>
      </c>
    </row>
    <row r="33" spans="1:9" ht="14.1" customHeight="1">
      <c r="A33" s="874">
        <v>1</v>
      </c>
      <c r="B33" s="876" t="s">
        <v>23</v>
      </c>
      <c r="C33" s="388" t="s">
        <v>199</v>
      </c>
      <c r="D33" s="383" t="s">
        <v>200</v>
      </c>
      <c r="E33" s="381" t="s">
        <v>201</v>
      </c>
      <c r="F33" s="379">
        <v>1</v>
      </c>
      <c r="G33" s="201">
        <v>1</v>
      </c>
      <c r="H33" s="201">
        <v>1</v>
      </c>
      <c r="I33" s="202">
        <v>1</v>
      </c>
    </row>
    <row r="34" spans="1:9">
      <c r="A34" s="875"/>
      <c r="B34" s="877"/>
      <c r="C34" s="207" t="s">
        <v>202</v>
      </c>
      <c r="D34" s="384">
        <v>54000000</v>
      </c>
      <c r="E34" s="385">
        <v>1488137307.0999999</v>
      </c>
      <c r="F34" s="380">
        <v>119070000</v>
      </c>
      <c r="G34" s="209">
        <v>125023000</v>
      </c>
      <c r="H34" s="210">
        <v>53520000</v>
      </c>
      <c r="I34" s="211">
        <f>SUM(D34:H34)</f>
        <v>1839750307.0999999</v>
      </c>
    </row>
    <row r="35" spans="1:9" ht="14.1" customHeight="1">
      <c r="A35" s="869">
        <v>2</v>
      </c>
      <c r="B35" s="871" t="s">
        <v>113</v>
      </c>
      <c r="C35" s="198" t="s">
        <v>203</v>
      </c>
      <c r="D35" s="199">
        <v>0</v>
      </c>
      <c r="E35" s="200">
        <v>13</v>
      </c>
      <c r="F35" s="200">
        <v>13</v>
      </c>
      <c r="G35" s="200">
        <v>13</v>
      </c>
      <c r="H35" s="215">
        <v>13</v>
      </c>
      <c r="I35" s="216">
        <v>13</v>
      </c>
    </row>
    <row r="36" spans="1:9">
      <c r="A36" s="875"/>
      <c r="B36" s="877"/>
      <c r="C36" s="207" t="s">
        <v>202</v>
      </c>
      <c r="D36" s="319">
        <v>60600000</v>
      </c>
      <c r="E36" s="255">
        <v>171444457.41999999</v>
      </c>
      <c r="F36" s="209">
        <v>250140000</v>
      </c>
      <c r="G36" s="209">
        <v>262047000</v>
      </c>
      <c r="H36" s="210">
        <v>120000000</v>
      </c>
      <c r="I36" s="211">
        <f>SUM(D36:H36)</f>
        <v>864231457.41999996</v>
      </c>
    </row>
    <row r="37" spans="1:9" ht="14.1" customHeight="1">
      <c r="A37" s="869">
        <v>3</v>
      </c>
      <c r="B37" s="871" t="s">
        <v>120</v>
      </c>
      <c r="C37" s="198" t="s">
        <v>204</v>
      </c>
      <c r="D37" s="320">
        <v>0</v>
      </c>
      <c r="E37" s="200">
        <v>0.25</v>
      </c>
      <c r="F37" s="200">
        <v>0.25</v>
      </c>
      <c r="G37" s="200">
        <v>0.25</v>
      </c>
      <c r="H37" s="200">
        <v>0.25</v>
      </c>
      <c r="I37" s="216">
        <v>1</v>
      </c>
    </row>
    <row r="38" spans="1:9">
      <c r="A38" s="875"/>
      <c r="B38" s="877"/>
      <c r="C38" s="207" t="s">
        <v>202</v>
      </c>
      <c r="D38" s="319">
        <v>0</v>
      </c>
      <c r="E38" s="255">
        <v>1387552223.8699999</v>
      </c>
      <c r="F38" s="209">
        <v>1102524500</v>
      </c>
      <c r="G38" s="209">
        <v>1152136500</v>
      </c>
      <c r="H38" s="210">
        <v>560274500</v>
      </c>
      <c r="I38" s="211">
        <f>SUM(D38:H38)</f>
        <v>4202487723.8699999</v>
      </c>
    </row>
    <row r="39" spans="1:9">
      <c r="A39" s="869">
        <v>4</v>
      </c>
      <c r="B39" s="871" t="s">
        <v>128</v>
      </c>
      <c r="C39" s="198" t="s">
        <v>204</v>
      </c>
      <c r="D39" s="320">
        <v>0.04</v>
      </c>
      <c r="E39" s="200">
        <v>0.24</v>
      </c>
      <c r="F39" s="200">
        <v>0.24</v>
      </c>
      <c r="G39" s="200">
        <v>0.24</v>
      </c>
      <c r="H39" s="200">
        <v>0.24</v>
      </c>
      <c r="I39" s="216">
        <v>1</v>
      </c>
    </row>
    <row r="40" spans="1:9">
      <c r="A40" s="875"/>
      <c r="B40" s="877"/>
      <c r="C40" s="207" t="s">
        <v>202</v>
      </c>
      <c r="D40" s="319">
        <v>29400000</v>
      </c>
      <c r="E40" s="255">
        <v>5896652661.0100002</v>
      </c>
      <c r="F40" s="209">
        <v>956800000</v>
      </c>
      <c r="G40" s="209">
        <v>1005465000</v>
      </c>
      <c r="H40" s="210">
        <v>1054308000</v>
      </c>
      <c r="I40" s="211">
        <f>SUM(D40:H40)</f>
        <v>8942625661.0100002</v>
      </c>
    </row>
    <row r="41" spans="1:9">
      <c r="A41" s="869">
        <v>5</v>
      </c>
      <c r="B41" s="871" t="s">
        <v>205</v>
      </c>
      <c r="C41" s="388" t="s">
        <v>199</v>
      </c>
      <c r="D41" s="383" t="s">
        <v>200</v>
      </c>
      <c r="E41" s="381" t="s">
        <v>201</v>
      </c>
      <c r="F41" s="379">
        <v>1</v>
      </c>
      <c r="G41" s="201">
        <v>1</v>
      </c>
      <c r="H41" s="201">
        <v>1</v>
      </c>
      <c r="I41" s="216">
        <v>1</v>
      </c>
    </row>
    <row r="42" spans="1:9">
      <c r="A42" s="875"/>
      <c r="B42" s="877"/>
      <c r="C42" s="207" t="s">
        <v>202</v>
      </c>
      <c r="D42" s="384">
        <v>22948800</v>
      </c>
      <c r="E42" s="385">
        <v>278930215.10000002</v>
      </c>
      <c r="F42" s="380">
        <v>117098000</v>
      </c>
      <c r="G42" s="209">
        <v>122615000</v>
      </c>
      <c r="H42" s="210">
        <v>79800000</v>
      </c>
      <c r="I42" s="211">
        <f>SUM(D42:H42)</f>
        <v>621392015.10000002</v>
      </c>
    </row>
    <row r="43" spans="1:9">
      <c r="A43" s="869">
        <v>6</v>
      </c>
      <c r="B43" s="878" t="s">
        <v>149</v>
      </c>
      <c r="C43" s="388" t="s">
        <v>199</v>
      </c>
      <c r="D43" s="383" t="s">
        <v>200</v>
      </c>
      <c r="E43" s="381" t="s">
        <v>201</v>
      </c>
      <c r="F43" s="381">
        <v>1</v>
      </c>
      <c r="G43" s="200">
        <v>1</v>
      </c>
      <c r="H43" s="215">
        <v>1</v>
      </c>
      <c r="I43" s="216">
        <v>1</v>
      </c>
    </row>
    <row r="44" spans="1:9">
      <c r="A44" s="875"/>
      <c r="B44" s="879"/>
      <c r="C44" s="226" t="s">
        <v>202</v>
      </c>
      <c r="D44" s="386">
        <v>5737200</v>
      </c>
      <c r="E44" s="387">
        <v>1383746806.8399999</v>
      </c>
      <c r="F44" s="382">
        <v>2361015000</v>
      </c>
      <c r="G44" s="228">
        <v>1620503500</v>
      </c>
      <c r="H44" s="229">
        <v>1345922500</v>
      </c>
      <c r="I44" s="211">
        <f>SUM(D44:H44)</f>
        <v>6716925006.8400002</v>
      </c>
    </row>
    <row r="45" spans="1:9">
      <c r="A45" s="869">
        <v>7</v>
      </c>
      <c r="B45" s="871" t="s">
        <v>156</v>
      </c>
      <c r="C45" s="198" t="s">
        <v>204</v>
      </c>
      <c r="D45" s="199">
        <v>0</v>
      </c>
      <c r="E45" s="200">
        <v>0.25</v>
      </c>
      <c r="F45" s="200">
        <v>0.25</v>
      </c>
      <c r="G45" s="200">
        <v>0.25</v>
      </c>
      <c r="H45" s="200">
        <v>0.25</v>
      </c>
      <c r="I45" s="216">
        <v>1</v>
      </c>
    </row>
    <row r="46" spans="1:9" ht="13.5" thickBot="1">
      <c r="A46" s="870"/>
      <c r="B46" s="872"/>
      <c r="C46" s="207" t="s">
        <v>202</v>
      </c>
      <c r="D46" s="208">
        <v>0</v>
      </c>
      <c r="E46" s="255">
        <v>419934329</v>
      </c>
      <c r="F46" s="209">
        <v>4343520000</v>
      </c>
      <c r="G46" s="209">
        <v>4558896000</v>
      </c>
      <c r="H46" s="210">
        <v>4578975000</v>
      </c>
      <c r="I46" s="211">
        <f>SUM(D46:H46)</f>
        <v>13901325329</v>
      </c>
    </row>
    <row r="47" spans="1:9" ht="13.5" thickBot="1">
      <c r="A47" s="880" t="s">
        <v>198</v>
      </c>
      <c r="B47" s="881"/>
      <c r="C47" s="882"/>
      <c r="D47" s="231">
        <f t="shared" ref="D47" si="2">+D34+D36+D38+D46+D40+D42+D44</f>
        <v>172686000</v>
      </c>
      <c r="E47" s="333">
        <f>+E34+E36+E38+E46+E40+E42+E44</f>
        <v>11026398000.34</v>
      </c>
      <c r="F47" s="231">
        <f>+F34+F36+F38+F46+F40+F42+F44</f>
        <v>9250167500</v>
      </c>
      <c r="G47" s="231">
        <f t="shared" ref="G47:I47" si="3">+G34+G36+G38+G46+G40+G42+G44</f>
        <v>8846686000</v>
      </c>
      <c r="H47" s="231">
        <f t="shared" si="3"/>
        <v>7792800000</v>
      </c>
      <c r="I47" s="231">
        <f t="shared" si="3"/>
        <v>37088737500.339996</v>
      </c>
    </row>
    <row r="48" spans="1:9" ht="13.5" thickBot="1"/>
    <row r="49" spans="1:36" ht="39" thickBot="1">
      <c r="B49" s="883" t="s">
        <v>206</v>
      </c>
      <c r="C49" s="884"/>
      <c r="D49" s="334" t="s">
        <v>207</v>
      </c>
      <c r="E49" s="335" t="s">
        <v>208</v>
      </c>
      <c r="F49" s="335" t="s">
        <v>209</v>
      </c>
    </row>
    <row r="50" spans="1:36" ht="15">
      <c r="B50" s="267" t="s">
        <v>210</v>
      </c>
      <c r="C50" s="336">
        <v>83300000</v>
      </c>
      <c r="D50" s="337" t="s">
        <v>211</v>
      </c>
      <c r="E50" s="262">
        <v>95525000</v>
      </c>
      <c r="F50" s="262">
        <v>128116640</v>
      </c>
    </row>
    <row r="51" spans="1:36" ht="15">
      <c r="B51" s="268" t="s">
        <v>212</v>
      </c>
      <c r="C51" s="338">
        <v>257876000</v>
      </c>
      <c r="D51" s="337" t="s">
        <v>212</v>
      </c>
      <c r="E51" s="262">
        <v>182580000</v>
      </c>
      <c r="F51" s="262">
        <v>17085670</v>
      </c>
    </row>
    <row r="52" spans="1:36" ht="15">
      <c r="B52" s="268" t="s">
        <v>213</v>
      </c>
      <c r="C52" s="338">
        <v>42000000</v>
      </c>
      <c r="D52" s="337" t="s">
        <v>213</v>
      </c>
      <c r="E52" s="262">
        <v>42000000</v>
      </c>
      <c r="F52" s="262">
        <v>64801537</v>
      </c>
    </row>
    <row r="53" spans="1:36" ht="15">
      <c r="B53" s="268" t="s">
        <v>214</v>
      </c>
      <c r="C53" s="338">
        <v>1015000000</v>
      </c>
      <c r="D53" s="337" t="s">
        <v>215</v>
      </c>
      <c r="E53" s="262">
        <v>1110000000</v>
      </c>
      <c r="F53" s="262">
        <v>32900000</v>
      </c>
    </row>
    <row r="54" spans="1:36" ht="15">
      <c r="B54" s="268" t="s">
        <v>216</v>
      </c>
      <c r="C54" s="338">
        <v>41209000</v>
      </c>
      <c r="D54" s="337" t="s">
        <v>216</v>
      </c>
      <c r="E54" s="262">
        <v>43551443</v>
      </c>
      <c r="F54" s="262">
        <v>0</v>
      </c>
      <c r="I54" s="371"/>
    </row>
    <row r="55" spans="1:36" ht="15">
      <c r="B55" s="268" t="s">
        <v>217</v>
      </c>
      <c r="C55" s="338">
        <v>3707688000</v>
      </c>
      <c r="D55" s="337" t="s">
        <v>218</v>
      </c>
      <c r="E55" s="262">
        <v>4037541556.96</v>
      </c>
      <c r="F55" s="262">
        <v>3717184999</v>
      </c>
    </row>
    <row r="56" spans="1:36" ht="15.75" thickBot="1">
      <c r="B56" s="268" t="s">
        <v>219</v>
      </c>
      <c r="C56" s="338">
        <v>5879325000</v>
      </c>
      <c r="D56" s="339" t="s">
        <v>220</v>
      </c>
      <c r="E56" s="340">
        <v>5515200000</v>
      </c>
      <c r="F56" s="340">
        <v>7066309154</v>
      </c>
    </row>
    <row r="57" spans="1:36" ht="15.75" thickBot="1">
      <c r="B57" s="271" t="s">
        <v>221</v>
      </c>
      <c r="C57" s="341">
        <v>11026398000</v>
      </c>
      <c r="D57" s="342" t="s">
        <v>222</v>
      </c>
      <c r="E57" s="343">
        <f>SUM(E50:E56)</f>
        <v>11026397999.959999</v>
      </c>
      <c r="F57" s="343">
        <f>SUM(F50:F56)</f>
        <v>11026398000</v>
      </c>
      <c r="I57" s="371"/>
    </row>
    <row r="60" spans="1:36" ht="13.5" thickBot="1"/>
    <row r="61" spans="1:36" ht="13.5" thickBot="1">
      <c r="A61" s="873" t="s">
        <v>189</v>
      </c>
      <c r="B61" s="873"/>
      <c r="C61" s="873"/>
      <c r="D61" s="873"/>
      <c r="E61" s="873"/>
      <c r="F61" s="873"/>
      <c r="G61" s="873"/>
      <c r="H61" s="873"/>
      <c r="I61" s="873"/>
    </row>
    <row r="62" spans="1:36" ht="39" thickBot="1">
      <c r="A62" s="247" t="s">
        <v>190</v>
      </c>
      <c r="B62" s="248" t="s">
        <v>191</v>
      </c>
      <c r="C62" s="249" t="s">
        <v>192</v>
      </c>
      <c r="D62" s="250" t="s">
        <v>193</v>
      </c>
      <c r="E62" s="189" t="s">
        <v>223</v>
      </c>
      <c r="F62" s="251" t="s">
        <v>195</v>
      </c>
      <c r="G62" s="251" t="s">
        <v>196</v>
      </c>
      <c r="H62" s="252" t="s">
        <v>197</v>
      </c>
      <c r="I62" s="253" t="s">
        <v>198</v>
      </c>
      <c r="J62" s="192"/>
      <c r="M62" s="923" t="s">
        <v>224</v>
      </c>
      <c r="N62" s="924"/>
      <c r="O62" s="193" t="s">
        <v>225</v>
      </c>
      <c r="P62" s="194" t="s">
        <v>226</v>
      </c>
      <c r="Q62" s="194" t="s">
        <v>195</v>
      </c>
      <c r="R62" s="194" t="s">
        <v>196</v>
      </c>
      <c r="S62" s="195" t="s">
        <v>197</v>
      </c>
      <c r="T62" s="421" t="s">
        <v>227</v>
      </c>
      <c r="U62" s="192"/>
      <c r="V62" s="192"/>
      <c r="W62" s="192"/>
      <c r="X62" s="196" t="s">
        <v>228</v>
      </c>
      <c r="Y62" s="196" t="s">
        <v>229</v>
      </c>
      <c r="Z62" s="196" t="s">
        <v>230</v>
      </c>
      <c r="AA62" s="197" t="s">
        <v>231</v>
      </c>
      <c r="AB62" s="197" t="s">
        <v>232</v>
      </c>
      <c r="AC62" s="197" t="s">
        <v>233</v>
      </c>
      <c r="AD62" s="196" t="s">
        <v>234</v>
      </c>
      <c r="AE62" s="196" t="s">
        <v>235</v>
      </c>
      <c r="AF62" s="196" t="s">
        <v>236</v>
      </c>
      <c r="AG62" s="197" t="s">
        <v>237</v>
      </c>
      <c r="AH62" s="197" t="s">
        <v>238</v>
      </c>
      <c r="AI62" s="197" t="s">
        <v>239</v>
      </c>
      <c r="AJ62" s="323" t="s">
        <v>240</v>
      </c>
    </row>
    <row r="63" spans="1:36" ht="21" customHeight="1">
      <c r="A63" s="874">
        <v>1</v>
      </c>
      <c r="B63" s="876" t="s">
        <v>23</v>
      </c>
      <c r="C63" s="388" t="s">
        <v>199</v>
      </c>
      <c r="D63" s="383" t="s">
        <v>200</v>
      </c>
      <c r="E63" s="381" t="s">
        <v>201</v>
      </c>
      <c r="F63" s="379">
        <v>1</v>
      </c>
      <c r="G63" s="201">
        <v>1</v>
      </c>
      <c r="H63" s="201">
        <v>1</v>
      </c>
      <c r="I63" s="202">
        <v>1</v>
      </c>
      <c r="J63" s="422" t="s">
        <v>241</v>
      </c>
      <c r="M63" s="925" t="s">
        <v>242</v>
      </c>
      <c r="N63" s="926" t="s">
        <v>184</v>
      </c>
      <c r="O63" s="935">
        <v>7.0000000000000007E-2</v>
      </c>
      <c r="P63" s="910">
        <v>0.18</v>
      </c>
      <c r="Q63" s="910">
        <v>0.25</v>
      </c>
      <c r="R63" s="910">
        <v>0.25</v>
      </c>
      <c r="S63" s="913">
        <v>0.25</v>
      </c>
      <c r="T63" s="932">
        <f>SUM(O63:S66)</f>
        <v>1</v>
      </c>
      <c r="U63" s="192"/>
      <c r="V63" s="204"/>
      <c r="W63" s="192"/>
      <c r="Y63" s="192"/>
      <c r="Z63" s="206"/>
      <c r="AA63" s="206"/>
      <c r="AB63" s="206"/>
      <c r="AC63" s="206"/>
      <c r="AD63" s="206"/>
      <c r="AE63" s="206"/>
      <c r="AF63" s="206"/>
      <c r="AG63" s="206"/>
      <c r="AH63" s="206"/>
      <c r="AI63" s="206"/>
      <c r="AJ63" s="324"/>
    </row>
    <row r="64" spans="1:36" ht="21" customHeight="1">
      <c r="A64" s="875"/>
      <c r="B64" s="877"/>
      <c r="C64" s="207" t="s">
        <v>202</v>
      </c>
      <c r="D64" s="384">
        <v>54000000</v>
      </c>
      <c r="E64" s="385">
        <v>1382914262</v>
      </c>
      <c r="F64" s="380">
        <v>119070000</v>
      </c>
      <c r="G64" s="209">
        <v>125023000</v>
      </c>
      <c r="H64" s="210">
        <v>53520000</v>
      </c>
      <c r="I64" s="211">
        <f>SUM(D64:H64)</f>
        <v>1734527262</v>
      </c>
      <c r="J64" s="212"/>
      <c r="M64" s="902"/>
      <c r="N64" s="893"/>
      <c r="O64" s="936"/>
      <c r="P64" s="911"/>
      <c r="Q64" s="911"/>
      <c r="R64" s="911"/>
      <c r="S64" s="914"/>
      <c r="T64" s="933"/>
      <c r="U64" s="325" t="s">
        <v>243</v>
      </c>
      <c r="V64" s="206">
        <v>0.09</v>
      </c>
      <c r="W64" s="885">
        <v>0.18</v>
      </c>
      <c r="X64" s="213">
        <f>'Meta 1 '!D30*$V$64/0.7</f>
        <v>3.8828571428571428E-2</v>
      </c>
      <c r="Y64" s="213">
        <f>'Meta 1 '!E30*$V$64/0.7</f>
        <v>4.5257142857142857E-2</v>
      </c>
      <c r="Z64" s="213">
        <f>'Meta 1 '!F30*$V$64/0.7</f>
        <v>5.1840000000000004E-2</v>
      </c>
      <c r="AA64" s="213">
        <f>'Meta 1 '!G30*$V$64/0.7</f>
        <v>5.8679999999999996E-2</v>
      </c>
      <c r="AB64" s="213">
        <f>'Meta 1 '!H30*$V$64/0.7</f>
        <v>6.5674285714285713E-2</v>
      </c>
      <c r="AC64" s="213">
        <f>'Meta 1 '!I30*$V$64/0.7</f>
        <v>7.1639999999999995E-2</v>
      </c>
      <c r="AD64" s="213">
        <f>'Meta 1 '!J30*$V$64/0.7</f>
        <v>7.5034285714285706E-2</v>
      </c>
      <c r="AE64" s="213">
        <f>'Meta 1 '!K30*$V$64/0.7</f>
        <v>7.8119999999999995E-2</v>
      </c>
      <c r="AF64" s="213">
        <f>'Meta 1 '!L30*$V$64/0.7</f>
        <v>8.1000000000000003E-2</v>
      </c>
      <c r="AG64" s="213">
        <f>'Meta 1 '!M30*$V$64/0.7</f>
        <v>8.3982857142857151E-2</v>
      </c>
      <c r="AH64" s="213">
        <f>'Meta 1 '!N30*$V$64/0.7</f>
        <v>8.706857142857144E-2</v>
      </c>
      <c r="AI64" s="213">
        <f>'Meta 1 '!O30*$V$64/0.7</f>
        <v>8.9074285714285717E-2</v>
      </c>
      <c r="AJ64" s="275">
        <f>+AF64</f>
        <v>8.1000000000000003E-2</v>
      </c>
    </row>
    <row r="65" spans="1:37" ht="21" customHeight="1">
      <c r="A65" s="869">
        <v>2</v>
      </c>
      <c r="B65" s="871" t="s">
        <v>113</v>
      </c>
      <c r="C65" s="198" t="s">
        <v>203</v>
      </c>
      <c r="D65" s="199">
        <v>0</v>
      </c>
      <c r="E65" s="200">
        <v>13</v>
      </c>
      <c r="F65" s="200">
        <v>13</v>
      </c>
      <c r="G65" s="200">
        <v>13</v>
      </c>
      <c r="H65" s="215">
        <v>13</v>
      </c>
      <c r="I65" s="216">
        <v>13</v>
      </c>
      <c r="J65" s="422" t="s">
        <v>244</v>
      </c>
      <c r="M65" s="902"/>
      <c r="N65" s="893"/>
      <c r="O65" s="936"/>
      <c r="P65" s="911"/>
      <c r="Q65" s="911"/>
      <c r="R65" s="911"/>
      <c r="S65" s="914"/>
      <c r="T65" s="933"/>
      <c r="U65" s="325" t="s">
        <v>245</v>
      </c>
      <c r="V65" s="326">
        <v>0.09</v>
      </c>
      <c r="W65" s="885"/>
      <c r="X65" s="213">
        <f>('Meta 2'!D30*$V$65/13)</f>
        <v>0.09</v>
      </c>
      <c r="Y65" s="213">
        <f>('Meta 2'!E30*$V$65/13)</f>
        <v>0.09</v>
      </c>
      <c r="Z65" s="213">
        <f>('Meta 2'!F30*$V$65/13)</f>
        <v>0.09</v>
      </c>
      <c r="AA65" s="213">
        <f>('Meta 2'!G30*$V$65/13)</f>
        <v>0.09</v>
      </c>
      <c r="AB65" s="213">
        <f>('Meta 2'!H30*$V$65/13)</f>
        <v>0.09</v>
      </c>
      <c r="AC65" s="213">
        <f>('Meta 2'!I30*$V$65/13)</f>
        <v>0.09</v>
      </c>
      <c r="AD65" s="213">
        <f>('Meta 2'!J30*$V$65/13)</f>
        <v>0.09</v>
      </c>
      <c r="AE65" s="213">
        <f>('Meta 2'!K30*$V$65/13)</f>
        <v>0.09</v>
      </c>
      <c r="AF65" s="213">
        <f>('Meta 2'!L30*$V$65/13)</f>
        <v>0.09</v>
      </c>
      <c r="AG65" s="213">
        <f>('Meta 2'!M30*$V$65/13)</f>
        <v>0.09</v>
      </c>
      <c r="AH65" s="213">
        <f>('Meta 2'!N30*$V$65/13)</f>
        <v>0.09</v>
      </c>
      <c r="AI65" s="213">
        <f>('Meta 2'!O30*$V$65/13)</f>
        <v>0.09</v>
      </c>
      <c r="AJ65" s="275">
        <f>+AA65</f>
        <v>0.09</v>
      </c>
    </row>
    <row r="66" spans="1:37" ht="21" customHeight="1">
      <c r="A66" s="875"/>
      <c r="B66" s="877"/>
      <c r="C66" s="207" t="s">
        <v>202</v>
      </c>
      <c r="D66" s="319">
        <v>60600000</v>
      </c>
      <c r="E66" s="255">
        <v>167358022</v>
      </c>
      <c r="F66" s="209">
        <v>250140000</v>
      </c>
      <c r="G66" s="209">
        <v>262047000</v>
      </c>
      <c r="H66" s="210">
        <v>120000000</v>
      </c>
      <c r="I66" s="211">
        <f>SUM(D66:H66)</f>
        <v>860145022</v>
      </c>
      <c r="J66" s="212"/>
      <c r="M66" s="903"/>
      <c r="N66" s="894"/>
      <c r="O66" s="937"/>
      <c r="P66" s="912"/>
      <c r="Q66" s="912"/>
      <c r="R66" s="912"/>
      <c r="S66" s="915"/>
      <c r="T66" s="934"/>
      <c r="U66" s="325"/>
      <c r="V66" s="192"/>
      <c r="W66" s="217" t="s">
        <v>246</v>
      </c>
      <c r="X66" s="218">
        <f>+X64+X65</f>
        <v>0.12882857142857143</v>
      </c>
      <c r="Y66" s="218">
        <f>+Y64+Y65</f>
        <v>0.13525714285714285</v>
      </c>
      <c r="Z66" s="218">
        <f>+Z64+Z65</f>
        <v>0.14183999999999999</v>
      </c>
      <c r="AA66" s="219">
        <f>(AA64+AA65)</f>
        <v>0.14867999999999998</v>
      </c>
      <c r="AB66" s="219">
        <f>(AB64+AB65)</f>
        <v>0.15567428571428571</v>
      </c>
      <c r="AC66" s="219">
        <f>(AC64+AC65)</f>
        <v>0.16164000000000001</v>
      </c>
      <c r="AD66" s="218">
        <f>+AD64+AD65</f>
        <v>0.16503428571428569</v>
      </c>
      <c r="AE66" s="218">
        <f>+AE64+AE65</f>
        <v>0.16811999999999999</v>
      </c>
      <c r="AF66" s="218">
        <f>+AF64+AF65</f>
        <v>0.17099999999999999</v>
      </c>
      <c r="AG66" s="219">
        <f>(AG64+AG65)</f>
        <v>0.17398285714285716</v>
      </c>
      <c r="AH66" s="219">
        <f>(AH64+AH65)</f>
        <v>0.17706857142857144</v>
      </c>
      <c r="AI66" s="219">
        <f>(AI64+AI65)</f>
        <v>0.17907428571428571</v>
      </c>
      <c r="AJ66" s="360">
        <f>+AJ64+AJ65</f>
        <v>0.17099999999999999</v>
      </c>
      <c r="AK66" s="366"/>
    </row>
    <row r="67" spans="1:37" ht="21" customHeight="1">
      <c r="A67" s="869">
        <v>3</v>
      </c>
      <c r="B67" s="871" t="s">
        <v>120</v>
      </c>
      <c r="C67" s="198" t="s">
        <v>204</v>
      </c>
      <c r="D67" s="320">
        <v>0</v>
      </c>
      <c r="E67" s="200">
        <v>0.25</v>
      </c>
      <c r="F67" s="200">
        <v>0.25</v>
      </c>
      <c r="G67" s="200">
        <v>0.25</v>
      </c>
      <c r="H67" s="200">
        <v>0.25</v>
      </c>
      <c r="I67" s="216">
        <v>1</v>
      </c>
      <c r="J67" s="422" t="s">
        <v>247</v>
      </c>
      <c r="M67" s="901" t="s">
        <v>248</v>
      </c>
      <c r="N67" s="892" t="s">
        <v>184</v>
      </c>
      <c r="O67" s="895">
        <v>0.1</v>
      </c>
      <c r="P67" s="898">
        <v>0.5</v>
      </c>
      <c r="Q67" s="898">
        <v>0.5</v>
      </c>
      <c r="R67" s="898">
        <v>0.5</v>
      </c>
      <c r="S67" s="938">
        <v>0.4</v>
      </c>
      <c r="T67" s="889">
        <f>SUM(O67:S72)</f>
        <v>2</v>
      </c>
      <c r="U67" s="325" t="s">
        <v>249</v>
      </c>
      <c r="V67" s="327">
        <v>0.34</v>
      </c>
      <c r="W67" s="886">
        <v>1</v>
      </c>
      <c r="X67" s="328">
        <f>'Meta 3'!D30*$V$67/$P$67</f>
        <v>0</v>
      </c>
      <c r="Y67" s="328">
        <f>'Meta 3'!E30*$V$67/$P$67</f>
        <v>6.5571428571428586E-3</v>
      </c>
      <c r="Z67" s="328">
        <f>'Meta 3'!F30*$V$67/$P$67</f>
        <v>2.0157142857142863E-2</v>
      </c>
      <c r="AA67" s="328">
        <f>'Meta 3'!G30*$V$67/$P$67</f>
        <v>1.5785714285714288E-2</v>
      </c>
      <c r="AB67" s="328">
        <f>'Meta 3'!H30*$V$67/$P$67</f>
        <v>1.5785714285714288E-2</v>
      </c>
      <c r="AC67" s="328">
        <f>'Meta 3'!I30*$V$67/$P$67</f>
        <v>1.5785714285714288E-2</v>
      </c>
      <c r="AD67" s="328">
        <f>'Meta 3'!J30*$V$67/$P$67</f>
        <v>1.5785714285714288E-2</v>
      </c>
      <c r="AE67" s="328">
        <f>'Meta 3'!K30*$V$67/$P$67</f>
        <v>1.5785714285714288E-2</v>
      </c>
      <c r="AF67" s="328">
        <f>'Meta 3'!L30*$V$67/$P$67</f>
        <v>1.5785714285714288E-2</v>
      </c>
      <c r="AG67" s="328">
        <f>'Meta 3'!M30*$V$67/$P$67</f>
        <v>1.5785714285714288E-2</v>
      </c>
      <c r="AH67" s="328">
        <f>'Meta 3'!N30*$V$67/$P$67</f>
        <v>2.0642857142857147E-2</v>
      </c>
      <c r="AI67" s="328">
        <f>'Meta 3'!O30*$V$67/$P$67</f>
        <v>6.3142857142857176E-3</v>
      </c>
      <c r="AJ67" s="329">
        <f>SUM(X67:AI67)</f>
        <v>0.16417142857142863</v>
      </c>
    </row>
    <row r="68" spans="1:37" ht="21" customHeight="1">
      <c r="A68" s="875"/>
      <c r="B68" s="877"/>
      <c r="C68" s="207" t="s">
        <v>202</v>
      </c>
      <c r="D68" s="319">
        <v>0</v>
      </c>
      <c r="E68" s="255">
        <v>1614672168</v>
      </c>
      <c r="F68" s="209">
        <v>1102524500</v>
      </c>
      <c r="G68" s="209">
        <v>1152136500</v>
      </c>
      <c r="H68" s="210">
        <v>560274500</v>
      </c>
      <c r="I68" s="211">
        <f>SUM(D68:H68)</f>
        <v>4429607668</v>
      </c>
      <c r="J68" s="212"/>
      <c r="M68" s="902"/>
      <c r="N68" s="893"/>
      <c r="O68" s="896"/>
      <c r="P68" s="899"/>
      <c r="Q68" s="899"/>
      <c r="R68" s="899"/>
      <c r="S68" s="939"/>
      <c r="T68" s="890"/>
      <c r="U68" s="325"/>
      <c r="V68" s="145"/>
      <c r="W68" s="886"/>
      <c r="X68" s="330"/>
      <c r="Y68" s="192"/>
      <c r="Z68" s="214"/>
      <c r="AA68" s="192"/>
      <c r="AB68" s="192"/>
      <c r="AC68" s="192"/>
      <c r="AD68" s="192"/>
      <c r="AE68" s="192"/>
      <c r="AF68" s="192"/>
      <c r="AG68" s="192"/>
      <c r="AH68" s="192"/>
      <c r="AI68" s="192"/>
      <c r="AJ68" s="324"/>
    </row>
    <row r="69" spans="1:37" ht="21" customHeight="1">
      <c r="A69" s="869">
        <v>4</v>
      </c>
      <c r="B69" s="871" t="s">
        <v>128</v>
      </c>
      <c r="C69" s="198" t="s">
        <v>204</v>
      </c>
      <c r="D69" s="320">
        <v>0.04</v>
      </c>
      <c r="E69" s="200">
        <v>0.24</v>
      </c>
      <c r="F69" s="200">
        <v>0.24</v>
      </c>
      <c r="G69" s="200">
        <v>0.24</v>
      </c>
      <c r="H69" s="200">
        <v>0.24</v>
      </c>
      <c r="I69" s="216">
        <v>1</v>
      </c>
      <c r="J69" s="422" t="s">
        <v>247</v>
      </c>
      <c r="M69" s="902"/>
      <c r="N69" s="893"/>
      <c r="O69" s="896"/>
      <c r="P69" s="899"/>
      <c r="Q69" s="899"/>
      <c r="R69" s="899"/>
      <c r="S69" s="939"/>
      <c r="T69" s="890"/>
      <c r="U69" s="325" t="s">
        <v>250</v>
      </c>
      <c r="V69" s="327">
        <v>0.34</v>
      </c>
      <c r="W69" s="886"/>
      <c r="X69" s="331">
        <f>'Meta 7'!D30*$V$69/$P$67</f>
        <v>6.0714285714285714E-3</v>
      </c>
      <c r="Y69" s="331">
        <f>'Meta 7'!E30*$V$69/$P$67</f>
        <v>8.0142857142857134E-3</v>
      </c>
      <c r="Z69" s="331">
        <f>'Meta 7'!F30*$V$69/$P$67</f>
        <v>1.6514285714285717E-2</v>
      </c>
      <c r="AA69" s="331">
        <f>'Meta 7'!G30*$V$69/$P$67</f>
        <v>1.6514285714285717E-2</v>
      </c>
      <c r="AB69" s="331">
        <f>'Meta 7'!H30*$V$69/$P$67</f>
        <v>1.6514285714285717E-2</v>
      </c>
      <c r="AC69" s="331">
        <f>'Meta 7'!I30*$V$69/$P$67</f>
        <v>1.6514285714285717E-2</v>
      </c>
      <c r="AD69" s="331">
        <f>'Meta 7'!J30*$V$69/$P$67</f>
        <v>1.6514285714285717E-2</v>
      </c>
      <c r="AE69" s="331">
        <f>'Meta 7'!K30*$V$69/$P$67</f>
        <v>1.6514285714285717E-2</v>
      </c>
      <c r="AF69" s="331">
        <f>'Meta 7'!L30*$V$69/$P$67</f>
        <v>1.6514285714285717E-2</v>
      </c>
      <c r="AG69" s="331">
        <f>'Meta 7'!M30*$V$69/$P$67</f>
        <v>1.6514285714285717E-2</v>
      </c>
      <c r="AH69" s="331">
        <f>'Meta 7'!N30*$V$69/$P$67</f>
        <v>1.6514285714285717E-2</v>
      </c>
      <c r="AI69" s="331">
        <f>'Meta 7'!O30*$V$69/$P$67</f>
        <v>7.2857142857142877E-3</v>
      </c>
      <c r="AJ69" s="329">
        <f>SUM(X69:AI69)</f>
        <v>0.16999999999999998</v>
      </c>
    </row>
    <row r="70" spans="1:37" ht="21" customHeight="1">
      <c r="A70" s="875"/>
      <c r="B70" s="877"/>
      <c r="C70" s="207" t="s">
        <v>202</v>
      </c>
      <c r="D70" s="319">
        <v>29400000</v>
      </c>
      <c r="E70" s="255">
        <v>4646245762</v>
      </c>
      <c r="F70" s="209">
        <v>956800000</v>
      </c>
      <c r="G70" s="209">
        <v>1005465000</v>
      </c>
      <c r="H70" s="210">
        <v>1054308000</v>
      </c>
      <c r="I70" s="211">
        <f>SUM(D70:H70)</f>
        <v>7692218762</v>
      </c>
      <c r="J70" s="212"/>
      <c r="M70" s="902"/>
      <c r="N70" s="893"/>
      <c r="O70" s="896"/>
      <c r="P70" s="899"/>
      <c r="Q70" s="899"/>
      <c r="R70" s="899"/>
      <c r="S70" s="939"/>
      <c r="T70" s="890"/>
      <c r="U70" s="325"/>
      <c r="V70" s="192"/>
      <c r="W70" s="886"/>
      <c r="X70" s="330"/>
      <c r="Y70" s="214"/>
      <c r="Z70" s="192"/>
      <c r="AA70" s="192"/>
      <c r="AB70" s="192"/>
      <c r="AC70" s="192"/>
      <c r="AD70" s="192"/>
      <c r="AE70" s="192"/>
      <c r="AF70" s="192"/>
      <c r="AG70" s="192"/>
      <c r="AH70" s="192"/>
      <c r="AI70" s="192"/>
      <c r="AJ70" s="324"/>
    </row>
    <row r="71" spans="1:37" ht="31.35" customHeight="1">
      <c r="A71" s="869">
        <v>5</v>
      </c>
      <c r="B71" s="871" t="s">
        <v>205</v>
      </c>
      <c r="C71" s="388" t="s">
        <v>199</v>
      </c>
      <c r="D71" s="383" t="s">
        <v>200</v>
      </c>
      <c r="E71" s="381" t="s">
        <v>201</v>
      </c>
      <c r="F71" s="379">
        <v>1</v>
      </c>
      <c r="G71" s="201">
        <v>1</v>
      </c>
      <c r="H71" s="201">
        <v>1</v>
      </c>
      <c r="I71" s="216">
        <v>1</v>
      </c>
      <c r="J71" s="422" t="s">
        <v>241</v>
      </c>
      <c r="M71" s="902"/>
      <c r="N71" s="893"/>
      <c r="O71" s="896"/>
      <c r="P71" s="899"/>
      <c r="Q71" s="899"/>
      <c r="R71" s="899"/>
      <c r="S71" s="939"/>
      <c r="T71" s="890"/>
      <c r="U71" s="325" t="s">
        <v>251</v>
      </c>
      <c r="V71" s="206">
        <v>0.32</v>
      </c>
      <c r="W71" s="886"/>
      <c r="X71" s="332">
        <f>'Meta 4'!D30*$V$71/$P$67</f>
        <v>6.4000000000000012E-3</v>
      </c>
      <c r="Y71" s="332">
        <f>'Meta 4'!E30*$V$71/$P$67</f>
        <v>7.1680000000000025E-3</v>
      </c>
      <c r="Z71" s="332">
        <f>'Meta 4'!F30*$V$71/$P$67</f>
        <v>1.3056000000000002E-2</v>
      </c>
      <c r="AA71" s="332">
        <f>'Meta 4'!G30*$V$71/$P$67</f>
        <v>1.3568E-2</v>
      </c>
      <c r="AB71" s="332">
        <f>'Meta 4'!H30*$V$71/$P$67</f>
        <v>1.4848000000000002E-2</v>
      </c>
      <c r="AC71" s="332">
        <f>'Meta 4'!I30*$V$71/$P$67</f>
        <v>1.4848000000000002E-2</v>
      </c>
      <c r="AD71" s="332">
        <f>'Meta 4'!J30*$V$71/$P$67</f>
        <v>2.6112000000000003E-2</v>
      </c>
      <c r="AE71" s="332">
        <f>'Meta 4'!K30*$V$71/$P$67</f>
        <v>1.3056000000000002E-2</v>
      </c>
      <c r="AF71" s="332">
        <f>'Meta 4'!L30*$V$71/$P$67</f>
        <v>1.3056000000000002E-2</v>
      </c>
      <c r="AG71" s="332">
        <f>'Meta 4'!M30*$V$71/$P$67</f>
        <v>1.2544000000000001E-2</v>
      </c>
      <c r="AH71" s="332">
        <f>'Meta 4'!N30*$V$71/$P$67</f>
        <v>1.2544000000000001E-2</v>
      </c>
      <c r="AI71" s="332">
        <f>'Meta 4'!O30*$V$71/$P$67</f>
        <v>4.3520000000000008E-3</v>
      </c>
      <c r="AJ71" s="329">
        <f>SUM(X71:AI71)</f>
        <v>0.15155199999999999</v>
      </c>
    </row>
    <row r="72" spans="1:37" ht="31.35" customHeight="1">
      <c r="A72" s="875"/>
      <c r="B72" s="877"/>
      <c r="C72" s="207" t="s">
        <v>202</v>
      </c>
      <c r="D72" s="384">
        <v>22948800</v>
      </c>
      <c r="E72" s="385">
        <v>279914262</v>
      </c>
      <c r="F72" s="380">
        <v>117098000</v>
      </c>
      <c r="G72" s="209">
        <v>122615000</v>
      </c>
      <c r="H72" s="210">
        <v>79800000</v>
      </c>
      <c r="I72" s="211">
        <f>SUM(D72:H72)</f>
        <v>622376062</v>
      </c>
      <c r="J72" s="212"/>
      <c r="M72" s="903"/>
      <c r="N72" s="894"/>
      <c r="O72" s="897"/>
      <c r="P72" s="900"/>
      <c r="Q72" s="900"/>
      <c r="R72" s="900"/>
      <c r="S72" s="940"/>
      <c r="T72" s="891"/>
      <c r="U72" s="192"/>
      <c r="V72" s="192"/>
      <c r="W72" s="217" t="s">
        <v>246</v>
      </c>
      <c r="X72" s="221">
        <f t="shared" ref="X72:AC72" si="4">X67+X69+X71</f>
        <v>1.2471428571428573E-2</v>
      </c>
      <c r="Y72" s="221">
        <f t="shared" si="4"/>
        <v>2.1739428571428576E-2</v>
      </c>
      <c r="Z72" s="221">
        <f t="shared" si="4"/>
        <v>4.9727428571428575E-2</v>
      </c>
      <c r="AA72" s="222">
        <f t="shared" si="4"/>
        <v>4.5868000000000006E-2</v>
      </c>
      <c r="AB72" s="222">
        <f>AB67+AB69+AB71</f>
        <v>4.7148000000000009E-2</v>
      </c>
      <c r="AC72" s="222">
        <f t="shared" si="4"/>
        <v>4.7148000000000009E-2</v>
      </c>
      <c r="AD72" s="221">
        <f>+AD67+AD69+AD71</f>
        <v>5.8412000000000013E-2</v>
      </c>
      <c r="AE72" s="221">
        <f>+AE67+AE69+AE71</f>
        <v>4.5356000000000007E-2</v>
      </c>
      <c r="AF72" s="221">
        <f>+AF67+AF69+AF71</f>
        <v>4.5356000000000007E-2</v>
      </c>
      <c r="AG72" s="222">
        <f t="shared" ref="AG72:AI72" si="5">AG67+AG69+AG71</f>
        <v>4.4844000000000009E-2</v>
      </c>
      <c r="AH72" s="222">
        <f t="shared" si="5"/>
        <v>4.970114285714286E-2</v>
      </c>
      <c r="AI72" s="222">
        <f t="shared" si="5"/>
        <v>1.7952000000000006E-2</v>
      </c>
      <c r="AJ72" s="361">
        <f>SUM(AJ67:AJ71)</f>
        <v>0.48572342857142858</v>
      </c>
    </row>
    <row r="73" spans="1:37" ht="21" customHeight="1">
      <c r="A73" s="869">
        <v>6</v>
      </c>
      <c r="B73" s="878" t="s">
        <v>149</v>
      </c>
      <c r="C73" s="388" t="s">
        <v>199</v>
      </c>
      <c r="D73" s="383" t="s">
        <v>200</v>
      </c>
      <c r="E73" s="381" t="s">
        <v>201</v>
      </c>
      <c r="F73" s="381">
        <v>1</v>
      </c>
      <c r="G73" s="200">
        <v>1</v>
      </c>
      <c r="H73" s="215">
        <v>1</v>
      </c>
      <c r="I73" s="216">
        <v>1</v>
      </c>
      <c r="J73" s="422" t="s">
        <v>247</v>
      </c>
      <c r="M73" s="928" t="s">
        <v>252</v>
      </c>
      <c r="N73" s="905" t="s">
        <v>180</v>
      </c>
      <c r="O73" s="895" t="s">
        <v>200</v>
      </c>
      <c r="P73" s="898" t="s">
        <v>201</v>
      </c>
      <c r="Q73" s="898">
        <v>1</v>
      </c>
      <c r="R73" s="898">
        <v>1</v>
      </c>
      <c r="S73" s="938">
        <v>1</v>
      </c>
      <c r="T73" s="889">
        <f>SUM(O73:S76)</f>
        <v>3</v>
      </c>
      <c r="U73" s="325" t="s">
        <v>253</v>
      </c>
      <c r="V73" s="206">
        <v>0.5</v>
      </c>
      <c r="W73" s="192"/>
      <c r="X73" s="223">
        <f>'Meta 5'!D30</f>
        <v>0.313</v>
      </c>
      <c r="Y73" s="223">
        <f>'Meta 5'!E30</f>
        <v>0.34749999999999998</v>
      </c>
      <c r="Z73" s="223">
        <f>'Meta 5'!F30</f>
        <v>0.3805</v>
      </c>
      <c r="AA73" s="223">
        <f>'Meta 5'!G30</f>
        <v>0.41749999999999998</v>
      </c>
      <c r="AB73" s="223">
        <f>'Meta 5'!H30</f>
        <v>0.45450000000000002</v>
      </c>
      <c r="AC73" s="223">
        <f>'Meta 5'!I30</f>
        <v>0.49149999999999999</v>
      </c>
      <c r="AD73" s="223">
        <f>'Meta 5'!J30</f>
        <v>0.52849999999999997</v>
      </c>
      <c r="AE73" s="223">
        <f>'Meta 5'!K30</f>
        <v>0.56549999999999989</v>
      </c>
      <c r="AF73" s="223">
        <f>'Meta 5'!L30</f>
        <v>0.61699999999999999</v>
      </c>
      <c r="AG73" s="223">
        <f>'Meta 5'!M30</f>
        <v>0.65100000000000002</v>
      </c>
      <c r="AH73" s="223">
        <f>'Meta 5'!N30</f>
        <v>0.6875</v>
      </c>
      <c r="AI73" s="223">
        <f>'Meta 5'!O30</f>
        <v>0.7</v>
      </c>
      <c r="AJ73" s="329">
        <f>SUM(X73:AI73)</f>
        <v>6.1539999999999999</v>
      </c>
    </row>
    <row r="74" spans="1:37" ht="21" customHeight="1">
      <c r="A74" s="875"/>
      <c r="B74" s="879"/>
      <c r="C74" s="226" t="s">
        <v>202</v>
      </c>
      <c r="D74" s="386">
        <v>5737200</v>
      </c>
      <c r="E74" s="387">
        <v>1550979262</v>
      </c>
      <c r="F74" s="382">
        <v>2361015000</v>
      </c>
      <c r="G74" s="228">
        <v>1620503500</v>
      </c>
      <c r="H74" s="229">
        <v>1345922500</v>
      </c>
      <c r="I74" s="211">
        <f>SUM(D74:H74)</f>
        <v>6884157462</v>
      </c>
      <c r="J74" s="212"/>
      <c r="M74" s="929"/>
      <c r="N74" s="906"/>
      <c r="O74" s="896"/>
      <c r="P74" s="899"/>
      <c r="Q74" s="899"/>
      <c r="R74" s="899"/>
      <c r="S74" s="939"/>
      <c r="T74" s="890"/>
      <c r="U74" s="325" t="s">
        <v>254</v>
      </c>
      <c r="V74" s="206">
        <v>0.5</v>
      </c>
      <c r="W74" s="192"/>
      <c r="X74" s="225">
        <f>'Meta 6 '!D30</f>
        <v>0.3</v>
      </c>
      <c r="Y74" s="225">
        <f>'Meta 6 '!E30</f>
        <v>0.34099999999999997</v>
      </c>
      <c r="Z74" s="225">
        <f>'Meta 6 '!F30</f>
        <v>0.377</v>
      </c>
      <c r="AA74" s="225">
        <f>'Meta 6 '!G30</f>
        <v>0.41299999999999998</v>
      </c>
      <c r="AB74" s="225">
        <f>'Meta 6 '!H30</f>
        <v>0.44900000000000001</v>
      </c>
      <c r="AC74" s="225">
        <f>'Meta 6 '!I30</f>
        <v>0.48499999999999999</v>
      </c>
      <c r="AD74" s="225">
        <f>'Meta 6 '!J30</f>
        <v>0.52200000000000002</v>
      </c>
      <c r="AE74" s="225">
        <f>'Meta 6 '!K30</f>
        <v>0.55800000000000005</v>
      </c>
      <c r="AF74" s="225">
        <f>'Meta 6 '!L30</f>
        <v>0.59400000000000008</v>
      </c>
      <c r="AG74" s="225">
        <f>'Meta 6 '!M30</f>
        <v>0.63000000000000012</v>
      </c>
      <c r="AH74" s="225">
        <f>'Meta 6 '!N30</f>
        <v>0.66600000000000004</v>
      </c>
      <c r="AI74" s="225">
        <f>'Meta 6 '!O30</f>
        <v>0.7</v>
      </c>
      <c r="AJ74" s="329">
        <f>SUM(X74:AI74)</f>
        <v>6.035000000000001</v>
      </c>
    </row>
    <row r="75" spans="1:37" ht="21" customHeight="1">
      <c r="A75" s="869">
        <v>7</v>
      </c>
      <c r="B75" s="871" t="s">
        <v>156</v>
      </c>
      <c r="C75" s="198" t="s">
        <v>204</v>
      </c>
      <c r="D75" s="199">
        <v>0</v>
      </c>
      <c r="E75" s="200">
        <v>0.25</v>
      </c>
      <c r="F75" s="200">
        <v>0.25</v>
      </c>
      <c r="G75" s="200">
        <v>0.25</v>
      </c>
      <c r="H75" s="200">
        <v>0.25</v>
      </c>
      <c r="I75" s="216">
        <v>1</v>
      </c>
      <c r="J75" s="422" t="s">
        <v>247</v>
      </c>
      <c r="M75" s="929"/>
      <c r="N75" s="906"/>
      <c r="O75" s="896"/>
      <c r="P75" s="899"/>
      <c r="Q75" s="899"/>
      <c r="R75" s="899"/>
      <c r="S75" s="939"/>
      <c r="T75" s="890"/>
      <c r="U75" s="192"/>
      <c r="V75" s="192"/>
      <c r="W75" s="217" t="s">
        <v>246</v>
      </c>
      <c r="X75" s="346">
        <f>AVERAGE(X73:X74)</f>
        <v>0.30649999999999999</v>
      </c>
      <c r="Y75" s="346">
        <f>+AVERAGE(Y73:Y74)</f>
        <v>0.34424999999999994</v>
      </c>
      <c r="Z75" s="346">
        <f>+AVERAGE(Z73:Z74)</f>
        <v>0.37875000000000003</v>
      </c>
      <c r="AA75" s="347">
        <f>+AVERAGE(AA73:AA74)</f>
        <v>0.41525000000000001</v>
      </c>
      <c r="AB75" s="347">
        <f>+AVERAGE(AB73:AB74)</f>
        <v>0.45174999999999998</v>
      </c>
      <c r="AC75" s="347">
        <f>+AVERAGE(AC73:AC74)</f>
        <v>0.48824999999999996</v>
      </c>
      <c r="AD75" s="346">
        <f t="shared" ref="AD75:AI75" si="6">+AVERAGE(AD73:AD74)</f>
        <v>0.52524999999999999</v>
      </c>
      <c r="AE75" s="346">
        <f t="shared" si="6"/>
        <v>0.56174999999999997</v>
      </c>
      <c r="AF75" s="346">
        <f t="shared" si="6"/>
        <v>0.60550000000000004</v>
      </c>
      <c r="AG75" s="347">
        <f t="shared" si="6"/>
        <v>0.64050000000000007</v>
      </c>
      <c r="AH75" s="347">
        <f t="shared" si="6"/>
        <v>0.67674999999999996</v>
      </c>
      <c r="AI75" s="347">
        <f t="shared" si="6"/>
        <v>0.7</v>
      </c>
      <c r="AJ75" s="361">
        <f>SUM(X75:AI75)</f>
        <v>6.0945000000000009</v>
      </c>
    </row>
    <row r="76" spans="1:37" ht="21" customHeight="1" thickBot="1">
      <c r="A76" s="870"/>
      <c r="B76" s="872"/>
      <c r="C76" s="207" t="s">
        <v>202</v>
      </c>
      <c r="D76" s="208">
        <v>0</v>
      </c>
      <c r="E76" s="255">
        <v>1384314262</v>
      </c>
      <c r="F76" s="209">
        <v>4343520000</v>
      </c>
      <c r="G76" s="209">
        <v>4558896000</v>
      </c>
      <c r="H76" s="210">
        <v>4578975000</v>
      </c>
      <c r="I76" s="211">
        <f>SUM(D76:H76)</f>
        <v>14865705262</v>
      </c>
      <c r="J76" s="212"/>
      <c r="M76" s="930"/>
      <c r="N76" s="907"/>
      <c r="O76" s="908"/>
      <c r="P76" s="909"/>
      <c r="Q76" s="909"/>
      <c r="R76" s="909"/>
      <c r="S76" s="941"/>
      <c r="T76" s="904"/>
      <c r="U76" s="192"/>
      <c r="V76" s="192"/>
      <c r="X76" s="230" t="s">
        <v>255</v>
      </c>
      <c r="Y76" s="263" t="s">
        <v>256</v>
      </c>
      <c r="Z76" s="370">
        <f>+Z75</f>
        <v>0.37875000000000003</v>
      </c>
      <c r="AA76" s="366" t="s">
        <v>255</v>
      </c>
      <c r="AB76" s="224" t="s">
        <v>257</v>
      </c>
      <c r="AC76" s="365">
        <f>+AC75</f>
        <v>0.48824999999999996</v>
      </c>
      <c r="AD76" s="366" t="s">
        <v>255</v>
      </c>
      <c r="AE76" s="263" t="s">
        <v>258</v>
      </c>
      <c r="AF76" s="370">
        <f>+AF75</f>
        <v>0.60550000000000004</v>
      </c>
      <c r="AG76" s="366" t="s">
        <v>255</v>
      </c>
      <c r="AH76" s="263" t="s">
        <v>259</v>
      </c>
      <c r="AI76" s="370">
        <f>+AI75</f>
        <v>0.7</v>
      </c>
    </row>
    <row r="77" spans="1:37" ht="13.5" thickBot="1">
      <c r="A77" s="880" t="s">
        <v>198</v>
      </c>
      <c r="B77" s="881"/>
      <c r="C77" s="882"/>
      <c r="D77" s="231">
        <f t="shared" ref="D77:I77" si="7">+D64+D66+D68+D76+D70+D72+D74</f>
        <v>172686000</v>
      </c>
      <c r="E77" s="333">
        <f>+E64+E66+E68+E76+E70+E72+E74</f>
        <v>11026398000</v>
      </c>
      <c r="F77" s="231">
        <f>+F64+F66+F68+F76+F70+F72+F74</f>
        <v>9250167500</v>
      </c>
      <c r="G77" s="231">
        <f t="shared" si="7"/>
        <v>8846686000</v>
      </c>
      <c r="H77" s="231">
        <f t="shared" si="7"/>
        <v>7792800000</v>
      </c>
      <c r="I77" s="231">
        <f t="shared" si="7"/>
        <v>37088737500</v>
      </c>
      <c r="J77" s="192"/>
      <c r="M77" s="192"/>
      <c r="N77" s="192"/>
      <c r="O77" s="192"/>
      <c r="P77" s="192"/>
      <c r="Q77" s="192"/>
      <c r="R77" s="192"/>
      <c r="S77" s="192"/>
      <c r="T77" s="192"/>
      <c r="U77" s="192"/>
      <c r="V77" s="192"/>
      <c r="X77" s="263" t="s">
        <v>260</v>
      </c>
      <c r="Y77" s="263" t="s">
        <v>256</v>
      </c>
      <c r="Z77" s="269">
        <f>+X72+Y72+Z72</f>
        <v>8.3938285714285715E-2</v>
      </c>
      <c r="AA77" s="263" t="s">
        <v>260</v>
      </c>
      <c r="AB77" s="192" t="s">
        <v>257</v>
      </c>
      <c r="AC77" s="369">
        <f>+AA72+AB72+AC72</f>
        <v>0.14016400000000001</v>
      </c>
      <c r="AD77" s="263" t="s">
        <v>260</v>
      </c>
      <c r="AE77" s="263" t="s">
        <v>258</v>
      </c>
      <c r="AF77" s="269">
        <f>+AD72+AE72+AF72</f>
        <v>0.14912400000000003</v>
      </c>
      <c r="AG77" s="263" t="s">
        <v>260</v>
      </c>
      <c r="AH77" s="263" t="s">
        <v>259</v>
      </c>
      <c r="AI77" s="269">
        <f>+AG72+AH72+AI72</f>
        <v>0.11249714285714288</v>
      </c>
    </row>
    <row r="78" spans="1:37" ht="13.5" thickBot="1"/>
    <row r="79" spans="1:37" ht="39" thickBot="1">
      <c r="B79" s="883" t="s">
        <v>206</v>
      </c>
      <c r="C79" s="884"/>
      <c r="D79" s="334" t="s">
        <v>207</v>
      </c>
      <c r="E79" s="335" t="s">
        <v>208</v>
      </c>
      <c r="F79" s="371">
        <f>+E77-F77</f>
        <v>1776230500</v>
      </c>
      <c r="AG79" s="367"/>
    </row>
    <row r="80" spans="1:37" ht="15">
      <c r="B80" s="267" t="s">
        <v>210</v>
      </c>
      <c r="C80" s="336">
        <v>83300000</v>
      </c>
      <c r="D80" s="337" t="s">
        <v>211</v>
      </c>
      <c r="E80" s="262">
        <v>95525000</v>
      </c>
      <c r="AG80" s="366"/>
    </row>
    <row r="81" spans="1:24" ht="15">
      <c r="B81" s="268" t="s">
        <v>212</v>
      </c>
      <c r="C81" s="338">
        <v>257876000</v>
      </c>
      <c r="D81" s="337" t="s">
        <v>212</v>
      </c>
      <c r="E81" s="262">
        <v>182580000</v>
      </c>
    </row>
    <row r="82" spans="1:24" ht="15">
      <c r="B82" s="268" t="s">
        <v>213</v>
      </c>
      <c r="C82" s="338">
        <v>42000000</v>
      </c>
      <c r="D82" s="337" t="s">
        <v>213</v>
      </c>
      <c r="E82" s="262">
        <v>42000000</v>
      </c>
    </row>
    <row r="83" spans="1:24" ht="15">
      <c r="B83" s="268" t="s">
        <v>214</v>
      </c>
      <c r="C83" s="338">
        <v>1015000000</v>
      </c>
      <c r="D83" s="337" t="s">
        <v>215</v>
      </c>
      <c r="E83" s="262">
        <v>1110000000</v>
      </c>
    </row>
    <row r="84" spans="1:24" ht="15">
      <c r="B84" s="268" t="s">
        <v>216</v>
      </c>
      <c r="C84" s="338">
        <v>41209000</v>
      </c>
      <c r="D84" s="337" t="s">
        <v>216</v>
      </c>
      <c r="E84" s="262">
        <v>43551443</v>
      </c>
    </row>
    <row r="85" spans="1:24" ht="15">
      <c r="B85" s="268" t="s">
        <v>217</v>
      </c>
      <c r="C85" s="338">
        <v>3707688000</v>
      </c>
      <c r="D85" s="337" t="s">
        <v>218</v>
      </c>
      <c r="E85" s="262">
        <v>4037541556.96</v>
      </c>
    </row>
    <row r="86" spans="1:24" ht="15.75" thickBot="1">
      <c r="B86" s="268" t="s">
        <v>219</v>
      </c>
      <c r="C86" s="338">
        <v>5879325000</v>
      </c>
      <c r="D86" s="339" t="s">
        <v>220</v>
      </c>
      <c r="E86" s="340">
        <v>5515200000</v>
      </c>
    </row>
    <row r="87" spans="1:24" ht="15.75" thickBot="1">
      <c r="B87" s="271" t="s">
        <v>221</v>
      </c>
      <c r="C87" s="341">
        <v>11026398000</v>
      </c>
      <c r="D87" s="342" t="s">
        <v>222</v>
      </c>
      <c r="E87" s="343">
        <f>SUM(E80:E86)</f>
        <v>11026397999.959999</v>
      </c>
    </row>
    <row r="92" spans="1:24" ht="13.5" thickBot="1"/>
    <row r="93" spans="1:24" ht="27" customHeight="1" thickBot="1">
      <c r="A93" s="873" t="s">
        <v>189</v>
      </c>
      <c r="B93" s="873"/>
      <c r="C93" s="873"/>
      <c r="D93" s="873"/>
      <c r="E93" s="873"/>
      <c r="F93" s="873"/>
      <c r="G93" s="873"/>
      <c r="H93" s="873"/>
      <c r="I93" s="873"/>
      <c r="X93" s="263"/>
    </row>
    <row r="94" spans="1:24" ht="39" thickBot="1">
      <c r="A94" s="247" t="s">
        <v>190</v>
      </c>
      <c r="B94" s="248" t="s">
        <v>191</v>
      </c>
      <c r="C94" s="249" t="s">
        <v>192</v>
      </c>
      <c r="D94" s="250" t="s">
        <v>193</v>
      </c>
      <c r="E94" s="251" t="s">
        <v>261</v>
      </c>
      <c r="F94" s="251" t="s">
        <v>195</v>
      </c>
      <c r="G94" s="251" t="s">
        <v>196</v>
      </c>
      <c r="H94" s="252" t="s">
        <v>197</v>
      </c>
      <c r="I94" s="253" t="s">
        <v>198</v>
      </c>
      <c r="J94" s="192"/>
      <c r="K94" s="276" t="s">
        <v>262</v>
      </c>
      <c r="M94" s="887" t="s">
        <v>263</v>
      </c>
      <c r="N94" s="888"/>
      <c r="X94" s="263"/>
    </row>
    <row r="95" spans="1:24" ht="21" customHeight="1">
      <c r="A95" s="874">
        <v>1</v>
      </c>
      <c r="B95" s="876" t="s">
        <v>23</v>
      </c>
      <c r="C95" s="198" t="s">
        <v>199</v>
      </c>
      <c r="D95" s="199" t="s">
        <v>200</v>
      </c>
      <c r="E95" s="254" t="s">
        <v>201</v>
      </c>
      <c r="F95" s="201">
        <v>1</v>
      </c>
      <c r="G95" s="201">
        <v>1</v>
      </c>
      <c r="H95" s="201">
        <v>1</v>
      </c>
      <c r="I95" s="202">
        <v>1</v>
      </c>
      <c r="J95" s="422" t="s">
        <v>241</v>
      </c>
      <c r="K95" s="422"/>
      <c r="M95" s="259" t="s">
        <v>264</v>
      </c>
      <c r="N95" s="260">
        <v>2763819000</v>
      </c>
      <c r="X95" s="263"/>
    </row>
    <row r="96" spans="1:24" ht="21" customHeight="1">
      <c r="A96" s="875"/>
      <c r="B96" s="877"/>
      <c r="C96" s="207" t="s">
        <v>202</v>
      </c>
      <c r="D96" s="208">
        <v>54000000</v>
      </c>
      <c r="E96" s="255">
        <v>1913400000</v>
      </c>
      <c r="F96" s="209">
        <v>119070000</v>
      </c>
      <c r="G96" s="209">
        <v>125023000</v>
      </c>
      <c r="H96" s="210">
        <v>53520000</v>
      </c>
      <c r="I96" s="211">
        <f>SUM(D96:H96)</f>
        <v>2265013000</v>
      </c>
      <c r="J96" s="212"/>
      <c r="K96" s="273">
        <f>+E96/$E$109</f>
        <v>0.173529024325488</v>
      </c>
      <c r="M96" s="264"/>
      <c r="N96" s="264"/>
      <c r="X96" s="263"/>
    </row>
    <row r="97" spans="1:24" ht="21" customHeight="1">
      <c r="A97" s="869">
        <v>2</v>
      </c>
      <c r="B97" s="871" t="s">
        <v>265</v>
      </c>
      <c r="C97" s="198" t="s">
        <v>203</v>
      </c>
      <c r="D97" s="199">
        <v>0</v>
      </c>
      <c r="E97" s="254">
        <v>13</v>
      </c>
      <c r="F97" s="200">
        <v>13</v>
      </c>
      <c r="G97" s="200">
        <v>13</v>
      </c>
      <c r="H97" s="215">
        <v>13</v>
      </c>
      <c r="I97" s="216">
        <v>13</v>
      </c>
      <c r="J97" s="422" t="s">
        <v>244</v>
      </c>
      <c r="K97" s="274"/>
      <c r="M97" s="259" t="s">
        <v>266</v>
      </c>
      <c r="N97" s="260">
        <v>270384000</v>
      </c>
      <c r="X97" s="263"/>
    </row>
    <row r="98" spans="1:24" ht="21" customHeight="1">
      <c r="A98" s="875"/>
      <c r="B98" s="877"/>
      <c r="C98" s="207" t="s">
        <v>202</v>
      </c>
      <c r="D98" s="319">
        <v>60600000</v>
      </c>
      <c r="E98" s="255">
        <v>238800000</v>
      </c>
      <c r="F98" s="209">
        <v>250140000</v>
      </c>
      <c r="G98" s="209">
        <v>262047000</v>
      </c>
      <c r="H98" s="210">
        <v>120000000</v>
      </c>
      <c r="I98" s="211">
        <f>SUM(D98:H98)</f>
        <v>931587000</v>
      </c>
      <c r="J98" s="212"/>
      <c r="K98" s="273">
        <f>+E98/$E$109</f>
        <v>2.1657118746172536E-2</v>
      </c>
      <c r="M98" s="264"/>
      <c r="N98" s="264"/>
      <c r="X98" s="263"/>
    </row>
    <row r="99" spans="1:24" ht="21" customHeight="1">
      <c r="A99" s="869">
        <v>3</v>
      </c>
      <c r="B99" s="871" t="s">
        <v>120</v>
      </c>
      <c r="C99" s="198" t="s">
        <v>204</v>
      </c>
      <c r="D99" s="320">
        <v>0</v>
      </c>
      <c r="E99" s="254">
        <v>0.25</v>
      </c>
      <c r="F99" s="200">
        <v>0.25</v>
      </c>
      <c r="G99" s="200">
        <v>0.25</v>
      </c>
      <c r="H99" s="200">
        <v>0.25</v>
      </c>
      <c r="I99" s="216">
        <v>1</v>
      </c>
      <c r="J99" s="422" t="s">
        <v>247</v>
      </c>
      <c r="K99" s="422"/>
      <c r="M99" s="259" t="s">
        <v>267</v>
      </c>
      <c r="N99" s="260">
        <v>1004603000</v>
      </c>
      <c r="X99" s="263"/>
    </row>
    <row r="100" spans="1:24" ht="21" customHeight="1">
      <c r="A100" s="875"/>
      <c r="B100" s="877"/>
      <c r="C100" s="207" t="s">
        <v>202</v>
      </c>
      <c r="D100" s="319">
        <v>0</v>
      </c>
      <c r="E100" s="255">
        <v>1141274500</v>
      </c>
      <c r="F100" s="209">
        <v>1102524500</v>
      </c>
      <c r="G100" s="209">
        <v>1152136500</v>
      </c>
      <c r="H100" s="210">
        <v>560274500</v>
      </c>
      <c r="I100" s="211">
        <f>SUM(D100:H100)</f>
        <v>3956210000</v>
      </c>
      <c r="J100" s="212"/>
      <c r="K100" s="273">
        <f>+E100/$E$109</f>
        <v>0.10350384157654392</v>
      </c>
      <c r="M100" s="264"/>
      <c r="N100" s="264"/>
      <c r="X100" s="263"/>
    </row>
    <row r="101" spans="1:24" ht="21" customHeight="1">
      <c r="A101" s="869">
        <v>4</v>
      </c>
      <c r="B101" s="871" t="s">
        <v>128</v>
      </c>
      <c r="C101" s="198" t="s">
        <v>204</v>
      </c>
      <c r="D101" s="320">
        <v>0.04</v>
      </c>
      <c r="E101" s="254">
        <v>0.24</v>
      </c>
      <c r="F101" s="200">
        <v>0.24</v>
      </c>
      <c r="G101" s="200">
        <v>0.24</v>
      </c>
      <c r="H101" s="200">
        <v>0.24</v>
      </c>
      <c r="I101" s="216">
        <v>1</v>
      </c>
      <c r="J101" s="422" t="s">
        <v>247</v>
      </c>
      <c r="K101" s="422"/>
      <c r="M101" s="259" t="s">
        <v>268</v>
      </c>
      <c r="N101" s="260">
        <v>1857258000</v>
      </c>
      <c r="X101" s="263"/>
    </row>
    <row r="102" spans="1:24" ht="21" customHeight="1">
      <c r="A102" s="875"/>
      <c r="B102" s="877"/>
      <c r="C102" s="207" t="s">
        <v>202</v>
      </c>
      <c r="D102" s="319">
        <v>29400000</v>
      </c>
      <c r="E102" s="255">
        <v>1137426000</v>
      </c>
      <c r="F102" s="209">
        <v>956800000</v>
      </c>
      <c r="G102" s="209">
        <v>1005465000</v>
      </c>
      <c r="H102" s="210">
        <v>1054308000</v>
      </c>
      <c r="I102" s="211">
        <f>SUM(D102:H102)</f>
        <v>4183399000</v>
      </c>
      <c r="J102" s="212"/>
      <c r="K102" s="273">
        <f>+E102/$E$109</f>
        <v>0.10315481552338376</v>
      </c>
      <c r="M102" s="264"/>
      <c r="N102" s="264"/>
      <c r="X102" s="263"/>
    </row>
    <row r="103" spans="1:24" ht="21" customHeight="1">
      <c r="A103" s="869">
        <v>5</v>
      </c>
      <c r="B103" s="871" t="s">
        <v>205</v>
      </c>
      <c r="C103" s="198" t="s">
        <v>199</v>
      </c>
      <c r="D103" s="320" t="s">
        <v>200</v>
      </c>
      <c r="E103" s="254" t="s">
        <v>201</v>
      </c>
      <c r="F103" s="201">
        <v>1</v>
      </c>
      <c r="G103" s="201">
        <v>1</v>
      </c>
      <c r="H103" s="201">
        <v>1</v>
      </c>
      <c r="I103" s="216">
        <v>1</v>
      </c>
      <c r="J103" s="422" t="s">
        <v>241</v>
      </c>
      <c r="K103" s="422"/>
      <c r="M103" s="259" t="s">
        <v>269</v>
      </c>
      <c r="N103" s="260">
        <v>213551000</v>
      </c>
      <c r="X103" s="263"/>
    </row>
    <row r="104" spans="1:24" ht="29.1" customHeight="1">
      <c r="A104" s="875"/>
      <c r="B104" s="877"/>
      <c r="C104" s="207" t="s">
        <v>202</v>
      </c>
      <c r="D104" s="208">
        <v>22948800</v>
      </c>
      <c r="E104" s="255">
        <v>111844000</v>
      </c>
      <c r="F104" s="209">
        <v>117098000</v>
      </c>
      <c r="G104" s="209">
        <v>122615000</v>
      </c>
      <c r="H104" s="210">
        <v>79800000</v>
      </c>
      <c r="I104" s="211">
        <f>SUM(D104:H104)</f>
        <v>454305800</v>
      </c>
      <c r="J104" s="212"/>
      <c r="K104" s="273">
        <f>+E104/$E$109</f>
        <v>1.0143294761503021E-2</v>
      </c>
      <c r="M104" s="264"/>
      <c r="N104" s="264"/>
      <c r="X104" s="263"/>
    </row>
    <row r="105" spans="1:24" ht="21" customHeight="1">
      <c r="A105" s="869">
        <v>6</v>
      </c>
      <c r="B105" s="917" t="s">
        <v>270</v>
      </c>
      <c r="C105" s="198" t="s">
        <v>199</v>
      </c>
      <c r="D105" s="199" t="s">
        <v>200</v>
      </c>
      <c r="E105" s="254" t="s">
        <v>201</v>
      </c>
      <c r="F105" s="200">
        <v>1</v>
      </c>
      <c r="G105" s="200">
        <v>1</v>
      </c>
      <c r="H105" s="215">
        <v>1</v>
      </c>
      <c r="I105" s="216">
        <v>1</v>
      </c>
      <c r="J105" s="422" t="s">
        <v>247</v>
      </c>
      <c r="K105" s="422"/>
      <c r="M105" s="259" t="s">
        <v>271</v>
      </c>
      <c r="N105" s="260">
        <v>2760525000</v>
      </c>
      <c r="X105" s="263"/>
    </row>
    <row r="106" spans="1:24" ht="21" customHeight="1">
      <c r="A106" s="875"/>
      <c r="B106" s="877"/>
      <c r="C106" s="226" t="s">
        <v>202</v>
      </c>
      <c r="D106" s="227">
        <v>5737200</v>
      </c>
      <c r="E106" s="256">
        <v>2345253000</v>
      </c>
      <c r="F106" s="228">
        <v>2361015000</v>
      </c>
      <c r="G106" s="228">
        <v>1620503500</v>
      </c>
      <c r="H106" s="229">
        <v>1345922500</v>
      </c>
      <c r="I106" s="211">
        <f>SUM(D106:H106)</f>
        <v>7678431200</v>
      </c>
      <c r="J106" s="212"/>
      <c r="K106" s="273">
        <f>+E106/$E$109</f>
        <v>0.21269439996154682</v>
      </c>
      <c r="M106" s="264"/>
      <c r="N106" s="264"/>
      <c r="X106" s="263"/>
    </row>
    <row r="107" spans="1:24" ht="21" customHeight="1">
      <c r="A107" s="869">
        <v>7</v>
      </c>
      <c r="B107" s="871" t="s">
        <v>156</v>
      </c>
      <c r="C107" s="198" t="s">
        <v>204</v>
      </c>
      <c r="D107" s="199">
        <v>0</v>
      </c>
      <c r="E107" s="254">
        <v>0.25</v>
      </c>
      <c r="F107" s="200">
        <v>0.25</v>
      </c>
      <c r="G107" s="200">
        <v>0.25</v>
      </c>
      <c r="H107" s="200">
        <v>0.25</v>
      </c>
      <c r="I107" s="216">
        <v>1</v>
      </c>
      <c r="J107" s="422" t="s">
        <v>247</v>
      </c>
      <c r="K107" s="422"/>
      <c r="M107" s="259" t="s">
        <v>272</v>
      </c>
      <c r="N107" s="260">
        <v>2156258000</v>
      </c>
      <c r="X107" s="263"/>
    </row>
    <row r="108" spans="1:24" ht="21" customHeight="1" thickBot="1">
      <c r="A108" s="870"/>
      <c r="B108" s="872"/>
      <c r="C108" s="207" t="s">
        <v>202</v>
      </c>
      <c r="D108" s="208">
        <v>0</v>
      </c>
      <c r="E108" s="255">
        <v>4138400000</v>
      </c>
      <c r="F108" s="209">
        <v>4343520000</v>
      </c>
      <c r="G108" s="209">
        <v>4558896000</v>
      </c>
      <c r="H108" s="210">
        <v>4578975000</v>
      </c>
      <c r="I108" s="211">
        <f>SUM(D108:H108)</f>
        <v>17619791000</v>
      </c>
      <c r="J108" s="212"/>
      <c r="K108" s="273">
        <f>+E108/$E$109</f>
        <v>0.37531750510536194</v>
      </c>
      <c r="M108" s="264"/>
      <c r="N108" s="264"/>
      <c r="X108" s="263"/>
    </row>
    <row r="109" spans="1:24" ht="13.5" thickBot="1">
      <c r="A109" s="880" t="s">
        <v>198</v>
      </c>
      <c r="B109" s="881"/>
      <c r="C109" s="882"/>
      <c r="D109" s="231">
        <f t="shared" ref="D109:I109" si="8">+D96+D98+D100+D108+D102+D104+D106</f>
        <v>172686000</v>
      </c>
      <c r="E109" s="231">
        <f t="shared" si="8"/>
        <v>11026397500</v>
      </c>
      <c r="F109" s="231">
        <f t="shared" si="8"/>
        <v>9250167500</v>
      </c>
      <c r="G109" s="231">
        <f t="shared" si="8"/>
        <v>8846686000</v>
      </c>
      <c r="H109" s="231">
        <f t="shared" si="8"/>
        <v>7792800000</v>
      </c>
      <c r="I109" s="231">
        <f t="shared" si="8"/>
        <v>37088737000</v>
      </c>
      <c r="J109" s="192"/>
      <c r="K109" s="275">
        <f>+K96+K98+K100+K102+K104+K106+K108</f>
        <v>1</v>
      </c>
      <c r="M109" s="265" t="s">
        <v>273</v>
      </c>
      <c r="N109" s="266">
        <f>+N95+N97+N99+N101+N103+N105+N107</f>
        <v>11026398000</v>
      </c>
      <c r="X109" s="263"/>
    </row>
    <row r="110" spans="1:24" ht="13.5" thickBot="1">
      <c r="X110" s="263"/>
    </row>
    <row r="111" spans="1:24" ht="15.75" thickBot="1">
      <c r="B111" s="883" t="s">
        <v>206</v>
      </c>
      <c r="C111" s="916"/>
      <c r="X111" s="263"/>
    </row>
    <row r="112" spans="1:24" ht="15">
      <c r="B112" s="267" t="s">
        <v>210</v>
      </c>
      <c r="C112" s="261">
        <v>83300000</v>
      </c>
      <c r="X112" s="263"/>
    </row>
    <row r="113" spans="1:24" ht="15">
      <c r="B113" s="268" t="s">
        <v>212</v>
      </c>
      <c r="C113" s="262">
        <v>257876000</v>
      </c>
      <c r="X113" s="263"/>
    </row>
    <row r="114" spans="1:24" ht="15">
      <c r="B114" s="268" t="s">
        <v>213</v>
      </c>
      <c r="C114" s="262">
        <v>42000000</v>
      </c>
      <c r="X114" s="263"/>
    </row>
    <row r="115" spans="1:24" ht="15">
      <c r="B115" s="268" t="s">
        <v>214</v>
      </c>
      <c r="C115" s="262">
        <v>1015000000</v>
      </c>
      <c r="X115" s="263"/>
    </row>
    <row r="116" spans="1:24" ht="15">
      <c r="B116" s="268" t="s">
        <v>216</v>
      </c>
      <c r="C116" s="262">
        <v>41209000</v>
      </c>
      <c r="X116" s="263"/>
    </row>
    <row r="117" spans="1:24" ht="15">
      <c r="B117" s="268" t="s">
        <v>217</v>
      </c>
      <c r="C117" s="262">
        <v>3707688000</v>
      </c>
      <c r="X117" s="263"/>
    </row>
    <row r="118" spans="1:24" ht="15">
      <c r="B118" s="268" t="s">
        <v>219</v>
      </c>
      <c r="C118" s="262">
        <v>5879325000</v>
      </c>
    </row>
    <row r="119" spans="1:24" ht="15.75" thickBot="1">
      <c r="B119" s="271" t="s">
        <v>221</v>
      </c>
      <c r="C119" s="272">
        <v>11026398000</v>
      </c>
    </row>
    <row r="124" spans="1:24" ht="13.5" thickBot="1"/>
    <row r="125" spans="1:24" ht="27" customHeight="1" thickBot="1">
      <c r="A125" s="931" t="s">
        <v>274</v>
      </c>
      <c r="B125" s="931"/>
      <c r="C125" s="931"/>
      <c r="D125" s="931"/>
      <c r="E125" s="931"/>
      <c r="F125" s="931"/>
      <c r="G125" s="931"/>
      <c r="H125" s="931"/>
      <c r="I125" s="931"/>
    </row>
    <row r="126" spans="1:24" ht="26.25" thickBot="1">
      <c r="A126" s="185" t="s">
        <v>190</v>
      </c>
      <c r="B126" s="186" t="s">
        <v>191</v>
      </c>
      <c r="C126" s="187" t="s">
        <v>192</v>
      </c>
      <c r="D126" s="188" t="s">
        <v>225</v>
      </c>
      <c r="E126" s="189" t="s">
        <v>226</v>
      </c>
      <c r="F126" s="189" t="s">
        <v>195</v>
      </c>
      <c r="G126" s="189" t="s">
        <v>196</v>
      </c>
      <c r="H126" s="190" t="s">
        <v>197</v>
      </c>
      <c r="I126" s="191" t="s">
        <v>198</v>
      </c>
      <c r="J126" s="192"/>
      <c r="L126" s="192"/>
      <c r="X126" s="263"/>
    </row>
    <row r="127" spans="1:24" ht="21" customHeight="1">
      <c r="A127" s="874">
        <v>1</v>
      </c>
      <c r="B127" s="876" t="s">
        <v>23</v>
      </c>
      <c r="C127" s="198" t="s">
        <v>199</v>
      </c>
      <c r="D127" s="199" t="s">
        <v>200</v>
      </c>
      <c r="E127" s="200" t="s">
        <v>201</v>
      </c>
      <c r="F127" s="201">
        <v>1</v>
      </c>
      <c r="G127" s="201">
        <v>1</v>
      </c>
      <c r="H127" s="201">
        <v>1</v>
      </c>
      <c r="I127" s="202">
        <v>1</v>
      </c>
      <c r="J127" s="422" t="s">
        <v>241</v>
      </c>
      <c r="K127" s="422"/>
      <c r="L127" s="203">
        <v>122</v>
      </c>
      <c r="X127" s="263"/>
    </row>
    <row r="128" spans="1:24" ht="21" customHeight="1">
      <c r="A128" s="875"/>
      <c r="B128" s="877"/>
      <c r="C128" s="207" t="s">
        <v>202</v>
      </c>
      <c r="D128" s="208">
        <v>54000000</v>
      </c>
      <c r="E128" s="209">
        <v>1913400000</v>
      </c>
      <c r="F128" s="209">
        <v>119070000</v>
      </c>
      <c r="G128" s="209">
        <v>125023000</v>
      </c>
      <c r="H128" s="210">
        <v>53520000</v>
      </c>
      <c r="I128" s="211">
        <f>SUM(D128:H128)</f>
        <v>2265013000</v>
      </c>
      <c r="J128" s="212"/>
      <c r="K128" s="212"/>
      <c r="L128" s="203"/>
      <c r="X128" s="263"/>
    </row>
    <row r="129" spans="1:38" ht="21" customHeight="1">
      <c r="A129" s="869">
        <v>2</v>
      </c>
      <c r="B129" s="871" t="s">
        <v>113</v>
      </c>
      <c r="C129" s="198" t="s">
        <v>203</v>
      </c>
      <c r="D129" s="199">
        <v>0</v>
      </c>
      <c r="E129" s="200">
        <v>13</v>
      </c>
      <c r="F129" s="200">
        <v>13</v>
      </c>
      <c r="G129" s="200">
        <v>13</v>
      </c>
      <c r="H129" s="215">
        <v>13</v>
      </c>
      <c r="I129" s="216">
        <v>13</v>
      </c>
      <c r="J129" s="422" t="s">
        <v>244</v>
      </c>
      <c r="K129" s="212"/>
      <c r="L129" s="203">
        <v>139</v>
      </c>
      <c r="X129" s="263"/>
    </row>
    <row r="130" spans="1:38" ht="21" customHeight="1">
      <c r="A130" s="875"/>
      <c r="B130" s="877"/>
      <c r="C130" s="207" t="s">
        <v>202</v>
      </c>
      <c r="D130" s="208">
        <v>60000000</v>
      </c>
      <c r="E130" s="209">
        <v>238800000</v>
      </c>
      <c r="F130" s="209">
        <v>250140000</v>
      </c>
      <c r="G130" s="209">
        <v>262047000</v>
      </c>
      <c r="H130" s="210">
        <v>120000000</v>
      </c>
      <c r="I130" s="211">
        <f>SUM(D130:H130)</f>
        <v>930987000</v>
      </c>
      <c r="J130" s="212"/>
      <c r="K130" s="212"/>
      <c r="L130" s="203"/>
      <c r="X130" s="263"/>
    </row>
    <row r="131" spans="1:38" ht="21" customHeight="1">
      <c r="A131" s="869">
        <v>3</v>
      </c>
      <c r="B131" s="871" t="s">
        <v>120</v>
      </c>
      <c r="C131" s="198" t="s">
        <v>204</v>
      </c>
      <c r="D131" s="199">
        <v>0</v>
      </c>
      <c r="E131" s="200">
        <v>0.25</v>
      </c>
      <c r="F131" s="200">
        <v>0.25</v>
      </c>
      <c r="G131" s="200">
        <v>0.25</v>
      </c>
      <c r="H131" s="200">
        <v>0.25</v>
      </c>
      <c r="I131" s="216">
        <v>1</v>
      </c>
      <c r="J131" s="422" t="s">
        <v>247</v>
      </c>
      <c r="K131" s="422"/>
      <c r="L131" s="203">
        <v>96</v>
      </c>
      <c r="X131" s="263"/>
    </row>
    <row r="132" spans="1:38" ht="21" customHeight="1">
      <c r="A132" s="875"/>
      <c r="B132" s="877"/>
      <c r="C132" s="207" t="s">
        <v>202</v>
      </c>
      <c r="D132" s="208">
        <v>0</v>
      </c>
      <c r="E132" s="209">
        <v>1141274500</v>
      </c>
      <c r="F132" s="209">
        <v>1102524500</v>
      </c>
      <c r="G132" s="209">
        <v>1152136500</v>
      </c>
      <c r="H132" s="210">
        <v>560274500</v>
      </c>
      <c r="I132" s="211">
        <f>SUM(D132:H132)</f>
        <v>3956210000</v>
      </c>
      <c r="J132" s="212"/>
      <c r="K132" s="212"/>
      <c r="L132" s="203"/>
      <c r="X132" s="263"/>
    </row>
    <row r="133" spans="1:38" ht="21" customHeight="1">
      <c r="A133" s="869">
        <v>7</v>
      </c>
      <c r="B133" s="871" t="s">
        <v>156</v>
      </c>
      <c r="C133" s="198" t="s">
        <v>204</v>
      </c>
      <c r="D133" s="199">
        <v>0</v>
      </c>
      <c r="E133" s="200">
        <v>0.25</v>
      </c>
      <c r="F133" s="200">
        <v>0.25</v>
      </c>
      <c r="G133" s="200">
        <v>0.25</v>
      </c>
      <c r="H133" s="200">
        <v>0.25</v>
      </c>
      <c r="I133" s="216">
        <v>1</v>
      </c>
      <c r="J133" s="422" t="s">
        <v>247</v>
      </c>
      <c r="K133" s="422"/>
      <c r="L133" s="203">
        <v>76</v>
      </c>
      <c r="X133" s="263"/>
    </row>
    <row r="134" spans="1:38" ht="21" customHeight="1">
      <c r="A134" s="875"/>
      <c r="B134" s="877"/>
      <c r="C134" s="207" t="s">
        <v>202</v>
      </c>
      <c r="D134" s="208">
        <v>0</v>
      </c>
      <c r="E134" s="209">
        <v>4138400000</v>
      </c>
      <c r="F134" s="209">
        <v>4343520000</v>
      </c>
      <c r="G134" s="209">
        <v>4558896000</v>
      </c>
      <c r="H134" s="210">
        <v>4578975000</v>
      </c>
      <c r="I134" s="211">
        <f>SUM(D134:H134)</f>
        <v>17619791000</v>
      </c>
      <c r="J134" s="212"/>
      <c r="K134" s="212"/>
      <c r="L134" s="203"/>
      <c r="X134" s="263"/>
    </row>
    <row r="135" spans="1:38" ht="21" customHeight="1">
      <c r="A135" s="869">
        <v>4</v>
      </c>
      <c r="B135" s="871" t="s">
        <v>128</v>
      </c>
      <c r="C135" s="198" t="s">
        <v>204</v>
      </c>
      <c r="D135" s="199">
        <v>0.04</v>
      </c>
      <c r="E135" s="200">
        <v>0.24</v>
      </c>
      <c r="F135" s="200">
        <v>0.24</v>
      </c>
      <c r="G135" s="200">
        <v>0.24</v>
      </c>
      <c r="H135" s="200">
        <v>0.24</v>
      </c>
      <c r="I135" s="216">
        <v>1</v>
      </c>
      <c r="J135" s="422" t="s">
        <v>247</v>
      </c>
      <c r="K135" s="422"/>
      <c r="L135" s="203">
        <v>73</v>
      </c>
      <c r="X135" s="263"/>
    </row>
    <row r="136" spans="1:38" ht="21" customHeight="1">
      <c r="A136" s="875"/>
      <c r="B136" s="877"/>
      <c r="C136" s="207" t="s">
        <v>202</v>
      </c>
      <c r="D136" s="208">
        <v>30000000</v>
      </c>
      <c r="E136" s="209">
        <v>1137426000</v>
      </c>
      <c r="F136" s="209">
        <v>956800000</v>
      </c>
      <c r="G136" s="209">
        <v>1005465000</v>
      </c>
      <c r="H136" s="210">
        <v>1054308000</v>
      </c>
      <c r="I136" s="211">
        <f>SUM(D136:H136)</f>
        <v>4183999000</v>
      </c>
      <c r="J136" s="212"/>
      <c r="K136" s="212"/>
      <c r="L136" s="203"/>
      <c r="X136" s="263"/>
      <c r="AK136" s="263">
        <f>+AD72+AF72+AH72+AJ72</f>
        <v>0.63919257142857144</v>
      </c>
      <c r="AL136" s="269">
        <f>+X72-AD72</f>
        <v>-4.5940571428571442E-2</v>
      </c>
    </row>
    <row r="137" spans="1:38" ht="30" customHeight="1">
      <c r="A137" s="869">
        <v>5</v>
      </c>
      <c r="B137" s="871" t="s">
        <v>137</v>
      </c>
      <c r="C137" s="198" t="s">
        <v>199</v>
      </c>
      <c r="D137" s="199" t="s">
        <v>200</v>
      </c>
      <c r="E137" s="200" t="s">
        <v>201</v>
      </c>
      <c r="F137" s="201">
        <v>1</v>
      </c>
      <c r="G137" s="201">
        <v>1</v>
      </c>
      <c r="H137" s="201">
        <v>1</v>
      </c>
      <c r="I137" s="216">
        <v>1</v>
      </c>
      <c r="J137" s="422" t="s">
        <v>241</v>
      </c>
      <c r="K137" s="422"/>
      <c r="L137" s="203">
        <v>233</v>
      </c>
      <c r="X137" s="263"/>
    </row>
    <row r="138" spans="1:38" ht="30" customHeight="1">
      <c r="A138" s="875"/>
      <c r="B138" s="877"/>
      <c r="C138" s="207" t="s">
        <v>202</v>
      </c>
      <c r="D138" s="208">
        <v>22948800</v>
      </c>
      <c r="E138" s="209">
        <v>111844000</v>
      </c>
      <c r="F138" s="209">
        <v>117098000</v>
      </c>
      <c r="G138" s="209">
        <v>122615000</v>
      </c>
      <c r="H138" s="210">
        <v>79800000</v>
      </c>
      <c r="I138" s="211">
        <f>SUM(D138:H138)</f>
        <v>454305800</v>
      </c>
      <c r="J138" s="212"/>
      <c r="K138" s="212"/>
      <c r="L138" s="203"/>
      <c r="X138" s="263"/>
    </row>
    <row r="139" spans="1:38" ht="21" customHeight="1">
      <c r="A139" s="869">
        <v>6</v>
      </c>
      <c r="B139" s="878" t="s">
        <v>149</v>
      </c>
      <c r="C139" s="198" t="s">
        <v>199</v>
      </c>
      <c r="D139" s="199" t="s">
        <v>200</v>
      </c>
      <c r="E139" s="200" t="s">
        <v>201</v>
      </c>
      <c r="F139" s="200">
        <v>1</v>
      </c>
      <c r="G139" s="200">
        <v>1</v>
      </c>
      <c r="H139" s="215">
        <v>1</v>
      </c>
      <c r="I139" s="216">
        <v>1</v>
      </c>
      <c r="J139" s="422" t="s">
        <v>247</v>
      </c>
      <c r="K139" s="422"/>
      <c r="L139" s="203">
        <v>136</v>
      </c>
      <c r="X139" s="263"/>
    </row>
    <row r="140" spans="1:38" ht="21" customHeight="1" thickBot="1">
      <c r="A140" s="870"/>
      <c r="B140" s="927"/>
      <c r="C140" s="226" t="s">
        <v>202</v>
      </c>
      <c r="D140" s="227">
        <v>5737200</v>
      </c>
      <c r="E140" s="228">
        <v>2345253000</v>
      </c>
      <c r="F140" s="228">
        <v>2361015000</v>
      </c>
      <c r="G140" s="228">
        <v>1620503500</v>
      </c>
      <c r="H140" s="229">
        <v>1345922500</v>
      </c>
      <c r="I140" s="211">
        <f>SUM(D140:H140)</f>
        <v>7678431200</v>
      </c>
      <c r="J140" s="212"/>
      <c r="K140" s="212"/>
      <c r="L140" s="192"/>
      <c r="X140" s="263"/>
    </row>
    <row r="141" spans="1:38" ht="13.5" thickBot="1">
      <c r="A141" s="880" t="s">
        <v>198</v>
      </c>
      <c r="B141" s="881"/>
      <c r="C141" s="882"/>
      <c r="D141" s="231">
        <f t="shared" ref="D141:I141" si="9">+D128+D130+D132+D134+D136+D138+D140</f>
        <v>172686000</v>
      </c>
      <c r="E141" s="231">
        <f t="shared" si="9"/>
        <v>11026397500</v>
      </c>
      <c r="F141" s="231">
        <f t="shared" si="9"/>
        <v>9250167500</v>
      </c>
      <c r="G141" s="231">
        <f t="shared" si="9"/>
        <v>8846686000</v>
      </c>
      <c r="H141" s="231">
        <f t="shared" si="9"/>
        <v>7792800000</v>
      </c>
      <c r="I141" s="231">
        <f t="shared" si="9"/>
        <v>37088737000</v>
      </c>
      <c r="J141" s="192"/>
      <c r="K141" s="192"/>
      <c r="L141" s="192"/>
      <c r="X141" s="263"/>
    </row>
    <row r="142" spans="1:38">
      <c r="A142" s="232"/>
      <c r="B142" s="232"/>
      <c r="C142" s="232"/>
      <c r="D142" s="192"/>
      <c r="E142" s="192"/>
      <c r="F142" s="192"/>
      <c r="G142" s="192"/>
      <c r="H142" s="192"/>
      <c r="I142" s="192"/>
      <c r="J142" s="192"/>
      <c r="K142" s="192"/>
      <c r="L142" s="192"/>
      <c r="M142" s="192"/>
      <c r="N142" s="206"/>
      <c r="O142" s="220"/>
      <c r="P142" s="220"/>
      <c r="Q142" s="220"/>
      <c r="R142" s="220"/>
      <c r="S142" s="220"/>
      <c r="T142" s="192"/>
      <c r="U142" s="192"/>
      <c r="V142" s="192"/>
      <c r="W142" s="192"/>
      <c r="X142" s="223"/>
      <c r="AB142" s="192"/>
      <c r="AC142" s="192"/>
    </row>
    <row r="143" spans="1:38" ht="13.5" thickBot="1">
      <c r="A143" s="192"/>
      <c r="B143" s="192"/>
      <c r="C143" s="192"/>
      <c r="D143" s="192"/>
      <c r="E143" s="192"/>
      <c r="F143" s="192"/>
      <c r="G143" s="192"/>
      <c r="H143" s="192"/>
      <c r="I143" s="192"/>
      <c r="J143" s="192"/>
      <c r="K143" s="192"/>
      <c r="L143" s="192"/>
      <c r="M143" s="192"/>
      <c r="N143" s="206"/>
      <c r="O143" s="220"/>
      <c r="P143" s="220"/>
      <c r="Q143" s="220"/>
      <c r="R143" s="220"/>
      <c r="S143" s="220"/>
      <c r="T143" s="192"/>
      <c r="U143" s="192"/>
      <c r="V143" s="206"/>
      <c r="W143" s="192"/>
      <c r="AB143" s="192"/>
      <c r="AC143" s="192"/>
    </row>
    <row r="144" spans="1:38" ht="51.75" thickBot="1">
      <c r="A144" s="233" t="s">
        <v>275</v>
      </c>
      <c r="B144" s="234" t="s">
        <v>276</v>
      </c>
      <c r="C144" s="234" t="s">
        <v>277</v>
      </c>
      <c r="D144" s="234" t="s">
        <v>226</v>
      </c>
      <c r="E144" s="234" t="s">
        <v>195</v>
      </c>
      <c r="F144" s="234" t="s">
        <v>196</v>
      </c>
      <c r="G144" s="235" t="s">
        <v>197</v>
      </c>
      <c r="H144" s="236" t="s">
        <v>198</v>
      </c>
      <c r="I144" s="192"/>
      <c r="J144" s="192"/>
      <c r="K144" s="192"/>
      <c r="L144" s="192"/>
      <c r="M144" s="192"/>
      <c r="N144" s="192"/>
      <c r="O144" s="192"/>
      <c r="P144" s="192"/>
      <c r="Q144" s="192"/>
      <c r="R144" s="192"/>
      <c r="S144" s="192"/>
      <c r="T144" s="192"/>
      <c r="U144" s="192"/>
      <c r="V144" s="192"/>
      <c r="W144" s="192"/>
      <c r="X144" s="223"/>
      <c r="AB144" s="192"/>
      <c r="AC144" s="192"/>
    </row>
    <row r="145" spans="1:29" ht="25.35" customHeight="1">
      <c r="A145" s="237">
        <v>31312</v>
      </c>
      <c r="B145" s="238" t="s">
        <v>278</v>
      </c>
      <c r="C145" s="239">
        <v>172686000</v>
      </c>
      <c r="D145" s="239">
        <v>3109728500</v>
      </c>
      <c r="E145" s="239">
        <v>3260524500</v>
      </c>
      <c r="F145" s="239">
        <v>3414605500</v>
      </c>
      <c r="G145" s="240">
        <v>2228382500</v>
      </c>
      <c r="H145" s="241">
        <v>12185927000</v>
      </c>
      <c r="I145" s="192"/>
      <c r="J145" s="192"/>
      <c r="K145" s="192"/>
      <c r="L145" s="192"/>
      <c r="M145" s="192"/>
      <c r="N145" s="192"/>
      <c r="O145" s="192"/>
      <c r="P145" s="192"/>
      <c r="Q145" s="192"/>
      <c r="R145" s="192"/>
      <c r="S145" s="192"/>
      <c r="T145" s="192"/>
      <c r="U145" s="192"/>
      <c r="V145" s="192"/>
      <c r="W145" s="192"/>
      <c r="Y145" s="192"/>
      <c r="Z145" s="192"/>
      <c r="AA145" s="192"/>
      <c r="AB145" s="192"/>
      <c r="AC145" s="192"/>
    </row>
    <row r="146" spans="1:29" ht="25.35" customHeight="1">
      <c r="A146" s="237">
        <v>13110</v>
      </c>
      <c r="B146" s="238" t="s">
        <v>279</v>
      </c>
      <c r="C146" s="239">
        <v>0</v>
      </c>
      <c r="D146" s="239">
        <v>317026000</v>
      </c>
      <c r="E146" s="239">
        <v>0</v>
      </c>
      <c r="F146" s="239">
        <v>0</v>
      </c>
      <c r="G146" s="240">
        <v>0</v>
      </c>
      <c r="H146" s="241">
        <v>317026000</v>
      </c>
      <c r="I146" s="192"/>
      <c r="J146" s="192"/>
      <c r="K146" s="192"/>
      <c r="L146" s="192"/>
      <c r="M146" s="192"/>
      <c r="N146" s="192"/>
      <c r="O146" s="192"/>
      <c r="P146" s="192"/>
      <c r="Q146" s="192"/>
      <c r="R146" s="192"/>
      <c r="S146" s="192"/>
      <c r="T146" s="192"/>
      <c r="U146" s="192"/>
      <c r="V146" s="192"/>
      <c r="W146" s="192"/>
      <c r="X146" s="242"/>
      <c r="Y146" s="206"/>
      <c r="Z146" s="192"/>
      <c r="AA146" s="192"/>
      <c r="AB146" s="192"/>
      <c r="AC146" s="192"/>
    </row>
    <row r="147" spans="1:29" ht="25.35" customHeight="1">
      <c r="A147" s="237">
        <v>52159</v>
      </c>
      <c r="B147" s="238" t="s">
        <v>280</v>
      </c>
      <c r="C147" s="239">
        <v>0</v>
      </c>
      <c r="D147" s="239">
        <v>1999643000</v>
      </c>
      <c r="E147" s="239">
        <v>1999643000</v>
      </c>
      <c r="F147" s="239">
        <v>1242580500</v>
      </c>
      <c r="G147" s="240">
        <v>1165442500</v>
      </c>
      <c r="H147" s="241">
        <v>6407309000</v>
      </c>
      <c r="I147" s="192"/>
      <c r="J147" s="192"/>
      <c r="K147" s="192"/>
      <c r="L147" s="192"/>
      <c r="M147" s="192"/>
      <c r="N147" s="192"/>
      <c r="O147" s="192"/>
      <c r="P147" s="192"/>
      <c r="Q147" s="192"/>
      <c r="R147" s="192"/>
      <c r="S147" s="192"/>
      <c r="T147" s="192"/>
      <c r="U147" s="192"/>
      <c r="V147" s="192"/>
      <c r="W147" s="192"/>
      <c r="X147" s="242"/>
      <c r="Y147" s="192"/>
      <c r="Z147" s="192"/>
      <c r="AA147" s="192"/>
      <c r="AB147" s="192"/>
      <c r="AC147" s="192"/>
    </row>
    <row r="148" spans="1:29" ht="25.35" customHeight="1">
      <c r="A148" s="237">
        <v>264</v>
      </c>
      <c r="B148" s="238" t="s">
        <v>281</v>
      </c>
      <c r="C148" s="239">
        <v>0</v>
      </c>
      <c r="D148" s="239">
        <v>1800000000</v>
      </c>
      <c r="E148" s="239">
        <v>0</v>
      </c>
      <c r="F148" s="239">
        <v>0</v>
      </c>
      <c r="G148" s="240">
        <v>0</v>
      </c>
      <c r="H148" s="241">
        <v>1800000000</v>
      </c>
      <c r="I148" s="192"/>
      <c r="J148" s="192"/>
      <c r="K148" s="192"/>
      <c r="L148" s="192"/>
      <c r="M148" s="192"/>
      <c r="N148" s="192"/>
      <c r="O148" s="192"/>
      <c r="P148" s="192"/>
      <c r="Q148" s="192"/>
      <c r="R148" s="192"/>
      <c r="S148" s="192"/>
      <c r="T148" s="192"/>
      <c r="U148" s="192"/>
      <c r="V148" s="192"/>
      <c r="W148" s="192"/>
      <c r="X148" s="220"/>
      <c r="Y148" s="192"/>
      <c r="Z148" s="192"/>
      <c r="AA148" s="192"/>
      <c r="AB148" s="192"/>
      <c r="AC148" s="192"/>
    </row>
    <row r="149" spans="1:29" ht="25.35" customHeight="1" thickBot="1">
      <c r="A149" s="237">
        <v>26118</v>
      </c>
      <c r="B149" s="238" t="s">
        <v>282</v>
      </c>
      <c r="C149" s="239">
        <v>0</v>
      </c>
      <c r="D149" s="239">
        <v>3800000000</v>
      </c>
      <c r="E149" s="239">
        <v>3990000000</v>
      </c>
      <c r="F149" s="239">
        <v>4189500000</v>
      </c>
      <c r="G149" s="240">
        <v>4398975000</v>
      </c>
      <c r="H149" s="241">
        <v>16378475000</v>
      </c>
      <c r="I149" s="192"/>
      <c r="J149" s="192"/>
      <c r="K149" s="192"/>
      <c r="L149" s="192"/>
      <c r="M149" s="192"/>
      <c r="N149" s="192"/>
      <c r="O149" s="192"/>
      <c r="P149" s="192"/>
      <c r="Q149" s="192"/>
      <c r="R149" s="192"/>
      <c r="S149" s="192"/>
      <c r="T149" s="192"/>
      <c r="U149" s="192"/>
      <c r="V149" s="192"/>
      <c r="W149" s="192"/>
      <c r="X149" s="242"/>
      <c r="Y149" s="206"/>
      <c r="Z149" s="192"/>
      <c r="AA149" s="192"/>
      <c r="AB149" s="192"/>
      <c r="AC149" s="192"/>
    </row>
    <row r="150" spans="1:29" ht="13.5" thickBot="1">
      <c r="A150" s="920" t="s">
        <v>198</v>
      </c>
      <c r="B150" s="921"/>
      <c r="C150" s="243">
        <v>172686000</v>
      </c>
      <c r="D150" s="243">
        <v>11026397500</v>
      </c>
      <c r="E150" s="243">
        <v>9250167500</v>
      </c>
      <c r="F150" s="243">
        <v>8846686000</v>
      </c>
      <c r="G150" s="244">
        <v>7792800000</v>
      </c>
      <c r="H150" s="270">
        <v>37088737000</v>
      </c>
      <c r="I150" s="192"/>
      <c r="J150" s="192"/>
      <c r="K150" s="192"/>
      <c r="L150" s="192"/>
      <c r="M150" s="192"/>
      <c r="N150" s="192"/>
      <c r="O150" s="192"/>
      <c r="P150" s="206"/>
      <c r="Q150" s="192"/>
      <c r="R150" s="192"/>
      <c r="S150" s="192"/>
      <c r="T150" s="192"/>
      <c r="U150" s="192"/>
      <c r="V150" s="192"/>
      <c r="W150" s="192"/>
      <c r="X150" s="242"/>
      <c r="Y150" s="192"/>
      <c r="Z150" s="192"/>
      <c r="AA150" s="192"/>
      <c r="AB150" s="192"/>
      <c r="AC150" s="192"/>
    </row>
    <row r="151" spans="1:29">
      <c r="A151" s="192"/>
      <c r="B151" s="192"/>
      <c r="C151" s="192"/>
      <c r="D151" s="192"/>
      <c r="E151" s="192"/>
      <c r="F151" s="192"/>
      <c r="G151" s="192"/>
      <c r="H151" s="192"/>
      <c r="I151" s="192"/>
      <c r="J151" s="192"/>
      <c r="K151" s="192"/>
      <c r="L151" s="192"/>
      <c r="M151" s="192"/>
      <c r="N151" s="192"/>
      <c r="O151" s="192"/>
      <c r="P151" s="206"/>
      <c r="Q151" s="192"/>
      <c r="R151" s="192"/>
      <c r="S151" s="192"/>
      <c r="T151" s="192"/>
      <c r="U151" s="192"/>
      <c r="V151" s="192"/>
      <c r="W151" s="192"/>
      <c r="X151" s="220"/>
      <c r="Y151" s="206"/>
      <c r="Z151" s="192"/>
      <c r="AA151" s="192"/>
      <c r="AB151" s="192"/>
      <c r="AC151" s="192"/>
    </row>
    <row r="152" spans="1:29">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220"/>
      <c r="Y152" s="192"/>
      <c r="Z152" s="192"/>
      <c r="AA152" s="192"/>
      <c r="AB152" s="192"/>
      <c r="AC152" s="192"/>
    </row>
    <row r="153" spans="1:29" ht="13.35" customHeight="1">
      <c r="A153" s="922" t="s">
        <v>283</v>
      </c>
      <c r="B153" s="922"/>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2"/>
      <c r="Y153" s="245"/>
      <c r="Z153" s="245"/>
      <c r="AA153" s="245"/>
      <c r="AB153" s="245"/>
      <c r="AC153" s="245"/>
    </row>
    <row r="154" spans="1:29" ht="13.35" customHeight="1">
      <c r="A154" s="918" t="s">
        <v>284</v>
      </c>
      <c r="B154" s="918"/>
      <c r="C154" s="245"/>
      <c r="D154" s="245"/>
      <c r="E154" s="245"/>
      <c r="F154" s="245"/>
      <c r="G154" s="245"/>
      <c r="H154" s="245"/>
      <c r="I154" s="245"/>
      <c r="J154" s="245"/>
      <c r="K154" s="245"/>
      <c r="L154" s="245"/>
      <c r="M154" s="245"/>
      <c r="N154" s="245"/>
      <c r="O154" s="246"/>
      <c r="P154" s="246"/>
      <c r="Q154" s="246"/>
      <c r="R154" s="246"/>
      <c r="S154" s="246"/>
      <c r="T154" s="246"/>
      <c r="U154" s="245"/>
      <c r="V154" s="245"/>
      <c r="W154" s="245"/>
      <c r="X154" s="242"/>
      <c r="Y154" s="245"/>
      <c r="Z154" s="245"/>
      <c r="AA154" s="245"/>
      <c r="AB154" s="245"/>
      <c r="AC154" s="245"/>
    </row>
    <row r="155" spans="1:29" ht="13.35" customHeight="1">
      <c r="A155" s="919" t="s">
        <v>285</v>
      </c>
      <c r="B155" s="919"/>
      <c r="C155" s="245"/>
      <c r="D155" s="245"/>
      <c r="E155" s="245"/>
      <c r="F155" s="245"/>
      <c r="G155" s="245"/>
      <c r="H155" s="245"/>
      <c r="I155" s="245"/>
      <c r="J155" s="245"/>
      <c r="K155" s="245"/>
      <c r="L155" s="245"/>
      <c r="M155" s="245"/>
      <c r="N155" s="245"/>
      <c r="O155" s="246"/>
      <c r="P155" s="242"/>
      <c r="Q155" s="242"/>
      <c r="R155" s="246"/>
      <c r="S155" s="246"/>
      <c r="T155" s="242"/>
      <c r="U155" s="245"/>
      <c r="V155" s="245"/>
      <c r="W155" s="245"/>
      <c r="X155" s="242"/>
      <c r="Y155" s="245"/>
      <c r="Z155" s="245"/>
      <c r="AA155" s="245"/>
      <c r="AB155" s="245"/>
      <c r="AC155" s="245"/>
    </row>
    <row r="156" spans="1:29" ht="13.35" customHeight="1">
      <c r="A156" s="918" t="s">
        <v>286</v>
      </c>
      <c r="B156" s="918"/>
      <c r="C156" s="245"/>
      <c r="D156" s="245"/>
      <c r="E156" s="245"/>
      <c r="F156" s="245"/>
      <c r="G156" s="245"/>
      <c r="H156" s="245"/>
      <c r="I156" s="245"/>
      <c r="J156" s="245"/>
      <c r="K156" s="245"/>
      <c r="L156" s="245"/>
      <c r="M156" s="245"/>
      <c r="N156" s="245"/>
      <c r="O156" s="246"/>
      <c r="P156" s="242"/>
      <c r="Q156" s="242"/>
      <c r="R156" s="246"/>
      <c r="S156" s="246"/>
      <c r="T156" s="242"/>
      <c r="U156" s="245"/>
      <c r="V156" s="245"/>
      <c r="W156" s="245"/>
      <c r="X156" s="242"/>
      <c r="Y156" s="245"/>
      <c r="Z156" s="245"/>
      <c r="AA156" s="245"/>
      <c r="AB156" s="245"/>
      <c r="AC156" s="245"/>
    </row>
    <row r="157" spans="1:29" ht="13.35" customHeight="1">
      <c r="A157" s="919" t="s">
        <v>287</v>
      </c>
      <c r="B157" s="919"/>
      <c r="C157" s="245"/>
      <c r="D157" s="245"/>
      <c r="E157" s="245"/>
      <c r="F157" s="245"/>
      <c r="G157" s="245"/>
      <c r="H157" s="245"/>
      <c r="I157" s="245"/>
      <c r="J157" s="245"/>
      <c r="K157" s="245"/>
      <c r="L157" s="245"/>
      <c r="M157" s="245"/>
      <c r="N157" s="245"/>
      <c r="O157" s="246"/>
      <c r="P157" s="242"/>
      <c r="Q157" s="242"/>
      <c r="R157" s="246"/>
      <c r="S157" s="246"/>
      <c r="T157" s="242"/>
      <c r="U157" s="245"/>
      <c r="V157" s="245"/>
      <c r="W157" s="245"/>
      <c r="X157" s="242"/>
      <c r="Y157" s="245"/>
      <c r="Z157" s="245"/>
      <c r="AA157" s="245"/>
      <c r="AB157" s="245"/>
      <c r="AC157" s="245"/>
    </row>
    <row r="158" spans="1:29" ht="13.35" customHeight="1">
      <c r="A158" s="918" t="s">
        <v>288</v>
      </c>
      <c r="B158" s="918"/>
      <c r="C158" s="245"/>
      <c r="D158" s="245"/>
      <c r="E158" s="245"/>
      <c r="F158" s="245"/>
      <c r="G158" s="245"/>
      <c r="H158" s="245"/>
      <c r="I158" s="245"/>
      <c r="J158" s="245"/>
      <c r="K158" s="245"/>
      <c r="L158" s="245"/>
      <c r="M158" s="245"/>
      <c r="N158" s="245"/>
      <c r="O158" s="246"/>
      <c r="P158" s="242"/>
      <c r="Q158" s="242"/>
      <c r="R158" s="246"/>
      <c r="S158" s="246"/>
      <c r="T158" s="242"/>
      <c r="U158" s="245"/>
      <c r="V158" s="245"/>
      <c r="W158" s="245"/>
      <c r="X158" s="242"/>
      <c r="Y158" s="245"/>
      <c r="Z158" s="245"/>
      <c r="AA158" s="245"/>
      <c r="AB158" s="245"/>
      <c r="AC158" s="245"/>
    </row>
    <row r="159" spans="1:29" ht="13.35" customHeight="1">
      <c r="A159" s="919" t="s">
        <v>289</v>
      </c>
      <c r="B159" s="919"/>
      <c r="C159" s="245"/>
      <c r="D159" s="245"/>
      <c r="E159" s="245"/>
      <c r="F159" s="245"/>
      <c r="G159" s="245"/>
      <c r="H159" s="245"/>
      <c r="I159" s="245"/>
      <c r="J159" s="245"/>
      <c r="K159" s="245"/>
      <c r="L159" s="245"/>
      <c r="M159" s="245"/>
      <c r="N159" s="245"/>
      <c r="O159" s="246"/>
      <c r="P159" s="242"/>
      <c r="Q159" s="242"/>
      <c r="R159" s="246"/>
      <c r="S159" s="246"/>
      <c r="T159" s="242"/>
      <c r="U159" s="245"/>
      <c r="V159" s="245"/>
      <c r="W159" s="245"/>
      <c r="X159" s="242"/>
      <c r="Y159" s="245"/>
      <c r="Z159" s="245"/>
      <c r="AA159" s="245"/>
      <c r="AB159" s="245"/>
      <c r="AC159" s="245"/>
    </row>
    <row r="160" spans="1:29" ht="13.35" customHeight="1">
      <c r="A160" s="919" t="s">
        <v>290</v>
      </c>
      <c r="B160" s="919"/>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2"/>
      <c r="Y160" s="245"/>
      <c r="Z160" s="245"/>
      <c r="AA160" s="245"/>
      <c r="AB160" s="245"/>
      <c r="AC160" s="245"/>
    </row>
    <row r="161" spans="1:29" ht="13.35" customHeight="1">
      <c r="A161" s="918" t="s">
        <v>291</v>
      </c>
      <c r="B161" s="918"/>
      <c r="C161" s="245"/>
      <c r="D161" s="245"/>
      <c r="E161" s="245"/>
      <c r="F161" s="245"/>
      <c r="G161" s="245"/>
      <c r="H161" s="245"/>
      <c r="I161" s="245"/>
      <c r="J161" s="245"/>
      <c r="K161" s="245"/>
      <c r="L161" s="245"/>
      <c r="M161" s="245"/>
      <c r="N161" s="245"/>
      <c r="O161" s="245"/>
      <c r="P161" s="245"/>
      <c r="Q161" s="245"/>
      <c r="R161" s="245"/>
      <c r="S161" s="245"/>
      <c r="T161" s="245"/>
      <c r="U161" s="245"/>
      <c r="V161" s="245"/>
      <c r="W161" s="245"/>
      <c r="X161" s="242"/>
      <c r="Y161" s="245"/>
      <c r="Z161" s="245"/>
      <c r="AA161" s="245"/>
      <c r="AB161" s="245"/>
      <c r="AC161" s="245"/>
    </row>
    <row r="162" spans="1:29" ht="13.35" customHeight="1">
      <c r="A162" s="919" t="s">
        <v>292</v>
      </c>
      <c r="B162" s="919"/>
      <c r="C162" s="245"/>
      <c r="D162" s="245"/>
      <c r="E162" s="245"/>
      <c r="F162" s="245"/>
      <c r="G162" s="245"/>
      <c r="H162" s="245"/>
      <c r="I162" s="245"/>
      <c r="J162" s="245"/>
      <c r="K162" s="245"/>
      <c r="L162" s="245"/>
      <c r="M162" s="245"/>
      <c r="N162" s="245"/>
      <c r="O162" s="245"/>
      <c r="P162" s="245"/>
      <c r="Q162" s="245"/>
      <c r="R162" s="245"/>
      <c r="S162" s="245"/>
      <c r="T162" s="245"/>
      <c r="U162" s="245"/>
      <c r="V162" s="245"/>
      <c r="W162" s="245"/>
      <c r="X162" s="242"/>
      <c r="Y162" s="245"/>
      <c r="Z162" s="245"/>
      <c r="AA162" s="245"/>
      <c r="AB162" s="245"/>
      <c r="AC162" s="245"/>
    </row>
    <row r="171" spans="1:29" ht="15">
      <c r="A171" s="176"/>
      <c r="B171" s="183">
        <v>2020</v>
      </c>
      <c r="C171" s="183" t="s">
        <v>293</v>
      </c>
      <c r="D171" s="119"/>
      <c r="E171" s="119"/>
    </row>
    <row r="172" spans="1:29" ht="15">
      <c r="A172" s="315" t="s">
        <v>294</v>
      </c>
      <c r="B172" s="180">
        <v>0.31</v>
      </c>
      <c r="C172" s="314">
        <v>0.1</v>
      </c>
      <c r="D172" s="119"/>
      <c r="E172" s="177">
        <v>10</v>
      </c>
    </row>
    <row r="173" spans="1:29" ht="15">
      <c r="A173" s="315" t="s">
        <v>115</v>
      </c>
      <c r="B173" s="180">
        <v>0.35</v>
      </c>
      <c r="C173" s="180">
        <v>0.12</v>
      </c>
      <c r="D173" s="119"/>
      <c r="E173" s="177">
        <v>12</v>
      </c>
    </row>
    <row r="174" spans="1:29" ht="15">
      <c r="A174" s="316" t="s">
        <v>121</v>
      </c>
      <c r="B174" s="181">
        <v>0</v>
      </c>
      <c r="C174" s="181">
        <v>0.21</v>
      </c>
      <c r="D174" s="179"/>
      <c r="E174" s="178">
        <v>20</v>
      </c>
    </row>
    <row r="175" spans="1:29" ht="15">
      <c r="A175" s="316" t="s">
        <v>130</v>
      </c>
      <c r="B175" s="181">
        <v>0.17</v>
      </c>
      <c r="C175" s="181">
        <v>0.18</v>
      </c>
      <c r="D175" s="179"/>
      <c r="E175" s="178">
        <v>18</v>
      </c>
    </row>
    <row r="176" spans="1:29" ht="15">
      <c r="A176" s="315" t="s">
        <v>138</v>
      </c>
      <c r="B176" s="180">
        <v>0.13</v>
      </c>
      <c r="C176" s="180">
        <v>0.06</v>
      </c>
      <c r="D176" s="119"/>
      <c r="E176" s="177">
        <v>6</v>
      </c>
    </row>
    <row r="177" spans="1:5" ht="15">
      <c r="A177" s="316" t="s">
        <v>150</v>
      </c>
      <c r="B177" s="181">
        <v>0.04</v>
      </c>
      <c r="C177" s="181">
        <v>0.12</v>
      </c>
      <c r="D177" s="179"/>
      <c r="E177" s="178">
        <v>12</v>
      </c>
    </row>
    <row r="178" spans="1:5" ht="15">
      <c r="A178" s="316" t="s">
        <v>295</v>
      </c>
      <c r="B178" s="181">
        <v>0</v>
      </c>
      <c r="C178" s="181">
        <v>0.21</v>
      </c>
      <c r="D178" s="179"/>
      <c r="E178" s="178">
        <v>20</v>
      </c>
    </row>
    <row r="179" spans="1:5" ht="15">
      <c r="A179" s="176"/>
      <c r="B179" s="182">
        <f>SUM(B172:B178)</f>
        <v>1</v>
      </c>
      <c r="C179" s="182">
        <f>SUM(C172:C178)</f>
        <v>0.99999999999999989</v>
      </c>
      <c r="D179" s="119"/>
      <c r="E179" s="119"/>
    </row>
  </sheetData>
  <mergeCells count="123">
    <mergeCell ref="A61:I61"/>
    <mergeCell ref="A63:A64"/>
    <mergeCell ref="B63:B64"/>
    <mergeCell ref="A65:A66"/>
    <mergeCell ref="B65:B66"/>
    <mergeCell ref="A67:A68"/>
    <mergeCell ref="B67:B68"/>
    <mergeCell ref="A69:A70"/>
    <mergeCell ref="B69:B70"/>
    <mergeCell ref="A75:A76"/>
    <mergeCell ref="B75:B76"/>
    <mergeCell ref="T63:T66"/>
    <mergeCell ref="O63:O66"/>
    <mergeCell ref="Q67:Q72"/>
    <mergeCell ref="R67:R72"/>
    <mergeCell ref="S67:S72"/>
    <mergeCell ref="Q73:Q76"/>
    <mergeCell ref="R73:R76"/>
    <mergeCell ref="S73:S76"/>
    <mergeCell ref="M62:N62"/>
    <mergeCell ref="M63:M66"/>
    <mergeCell ref="N63:N66"/>
    <mergeCell ref="A139:A140"/>
    <mergeCell ref="B139:B140"/>
    <mergeCell ref="A137:A138"/>
    <mergeCell ref="B137:B138"/>
    <mergeCell ref="M73:M76"/>
    <mergeCell ref="A129:A130"/>
    <mergeCell ref="B129:B130"/>
    <mergeCell ref="A93:I93"/>
    <mergeCell ref="A95:A96"/>
    <mergeCell ref="B95:B96"/>
    <mergeCell ref="A97:A98"/>
    <mergeCell ref="B97:B98"/>
    <mergeCell ref="A125:I125"/>
    <mergeCell ref="A135:A136"/>
    <mergeCell ref="B135:B136"/>
    <mergeCell ref="A131:A132"/>
    <mergeCell ref="A133:A134"/>
    <mergeCell ref="B133:B134"/>
    <mergeCell ref="A77:C77"/>
    <mergeCell ref="B131:B132"/>
    <mergeCell ref="A127:A128"/>
    <mergeCell ref="B127:B128"/>
    <mergeCell ref="A161:B161"/>
    <mergeCell ref="A162:B162"/>
    <mergeCell ref="A141:C141"/>
    <mergeCell ref="A150:B150"/>
    <mergeCell ref="A153:B153"/>
    <mergeCell ref="A154:B154"/>
    <mergeCell ref="A155:B155"/>
    <mergeCell ref="A156:B156"/>
    <mergeCell ref="A157:B157"/>
    <mergeCell ref="A158:B158"/>
    <mergeCell ref="A159:B159"/>
    <mergeCell ref="A160:B160"/>
    <mergeCell ref="B111:C111"/>
    <mergeCell ref="A107:A108"/>
    <mergeCell ref="B107:B108"/>
    <mergeCell ref="A105:A106"/>
    <mergeCell ref="B105:B106"/>
    <mergeCell ref="A101:A102"/>
    <mergeCell ref="B101:B102"/>
    <mergeCell ref="A103:A104"/>
    <mergeCell ref="B103:B104"/>
    <mergeCell ref="W64:W65"/>
    <mergeCell ref="W67:W71"/>
    <mergeCell ref="A109:C109"/>
    <mergeCell ref="M94:N94"/>
    <mergeCell ref="A99:A100"/>
    <mergeCell ref="B99:B100"/>
    <mergeCell ref="T67:T72"/>
    <mergeCell ref="N67:N72"/>
    <mergeCell ref="O67:O72"/>
    <mergeCell ref="P67:P72"/>
    <mergeCell ref="M67:M72"/>
    <mergeCell ref="T73:T76"/>
    <mergeCell ref="N73:N76"/>
    <mergeCell ref="O73:O76"/>
    <mergeCell ref="P73:P76"/>
    <mergeCell ref="P63:P66"/>
    <mergeCell ref="Q63:Q66"/>
    <mergeCell ref="R63:R66"/>
    <mergeCell ref="S63:S66"/>
    <mergeCell ref="A71:A72"/>
    <mergeCell ref="B71:B72"/>
    <mergeCell ref="B79:C79"/>
    <mergeCell ref="A73:A74"/>
    <mergeCell ref="B73:B74"/>
    <mergeCell ref="A17:C17"/>
    <mergeCell ref="B19:C19"/>
    <mergeCell ref="B49:C49"/>
    <mergeCell ref="A43:A44"/>
    <mergeCell ref="B43:B44"/>
    <mergeCell ref="A45:A46"/>
    <mergeCell ref="B45:B46"/>
    <mergeCell ref="A47:C47"/>
    <mergeCell ref="A37:A38"/>
    <mergeCell ref="B37:B38"/>
    <mergeCell ref="A39:A40"/>
    <mergeCell ref="B39:B40"/>
    <mergeCell ref="A41:A42"/>
    <mergeCell ref="B41:B42"/>
    <mergeCell ref="A31:I31"/>
    <mergeCell ref="A33:A34"/>
    <mergeCell ref="B33:B34"/>
    <mergeCell ref="A35:A36"/>
    <mergeCell ref="B35:B36"/>
    <mergeCell ref="A15:A16"/>
    <mergeCell ref="B15:B16"/>
    <mergeCell ref="A1:I1"/>
    <mergeCell ref="A3:A4"/>
    <mergeCell ref="B3:B4"/>
    <mergeCell ref="A5:A6"/>
    <mergeCell ref="B5:B6"/>
    <mergeCell ref="A7:A8"/>
    <mergeCell ref="B7:B8"/>
    <mergeCell ref="A9:A10"/>
    <mergeCell ref="B9:B10"/>
    <mergeCell ref="A11:A12"/>
    <mergeCell ref="B11:B12"/>
    <mergeCell ref="A13:A14"/>
    <mergeCell ref="B13:B14"/>
  </mergeCells>
  <pageMargins left="0.7" right="0.7" top="0.75" bottom="0.75" header="0.3" footer="0.3"/>
  <pageSetup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5"/>
  <sheetViews>
    <sheetView zoomScale="92" workbookViewId="0">
      <selection activeCell="C75" sqref="C75"/>
    </sheetView>
  </sheetViews>
  <sheetFormatPr baseColWidth="10" defaultColWidth="11.42578125" defaultRowHeight="15"/>
  <cols>
    <col min="1" max="1" width="10.7109375" customWidth="1"/>
    <col min="2" max="2" width="6" customWidth="1"/>
    <col min="3" max="3" width="24" customWidth="1"/>
    <col min="4" max="4" width="12" customWidth="1"/>
  </cols>
  <sheetData>
    <row r="1" spans="1:4">
      <c r="A1" s="376" t="s">
        <v>296</v>
      </c>
    </row>
    <row r="3" spans="1:4">
      <c r="A3">
        <v>2021</v>
      </c>
      <c r="B3" s="364">
        <v>0.38</v>
      </c>
      <c r="C3">
        <f>0.25/12</f>
        <v>2.0833333333333332E-2</v>
      </c>
      <c r="D3" t="s">
        <v>297</v>
      </c>
    </row>
    <row r="4" spans="1:4">
      <c r="A4">
        <v>2022</v>
      </c>
      <c r="B4" s="364">
        <v>0.25</v>
      </c>
      <c r="C4" s="447">
        <f>+C3*3</f>
        <v>6.25E-2</v>
      </c>
      <c r="D4" t="s">
        <v>298</v>
      </c>
    </row>
    <row r="5" spans="1:4">
      <c r="A5">
        <v>2023</v>
      </c>
      <c r="B5" s="364">
        <v>0.25</v>
      </c>
      <c r="C5" s="447">
        <f>+C3*5</f>
        <v>0.10416666666666666</v>
      </c>
      <c r="D5" t="s">
        <v>232</v>
      </c>
    </row>
    <row r="6" spans="1:4">
      <c r="A6">
        <v>2024</v>
      </c>
      <c r="B6" s="364">
        <v>0.12</v>
      </c>
      <c r="C6" s="447">
        <f>+C3*7</f>
        <v>0.14583333333333331</v>
      </c>
      <c r="D6" t="s">
        <v>233</v>
      </c>
    </row>
    <row r="7" spans="1:4">
      <c r="B7" s="364"/>
      <c r="C7" s="447">
        <f>+$C$3*7</f>
        <v>0.14583333333333331</v>
      </c>
      <c r="D7" t="s">
        <v>234</v>
      </c>
    </row>
    <row r="8" spans="1:4">
      <c r="B8" s="364"/>
      <c r="C8" s="447">
        <f>+$C$3*8</f>
        <v>0.16666666666666666</v>
      </c>
      <c r="D8" t="s">
        <v>235</v>
      </c>
    </row>
    <row r="9" spans="1:4">
      <c r="B9" s="364"/>
      <c r="C9" s="447">
        <f>+$C$3*13</f>
        <v>0.27083333333333331</v>
      </c>
      <c r="D9" t="s">
        <v>236</v>
      </c>
    </row>
    <row r="10" spans="1:4">
      <c r="B10" s="364"/>
      <c r="C10" s="447">
        <f>+$C$3*14</f>
        <v>0.29166666666666663</v>
      </c>
      <c r="D10" t="s">
        <v>237</v>
      </c>
    </row>
    <row r="11" spans="1:4">
      <c r="B11" s="364"/>
      <c r="C11" s="447">
        <f>+$C$3*16</f>
        <v>0.33333333333333331</v>
      </c>
      <c r="D11" t="s">
        <v>238</v>
      </c>
    </row>
    <row r="12" spans="1:4">
      <c r="B12" s="364"/>
      <c r="C12" s="447">
        <f>+$C$3*18</f>
        <v>0.375</v>
      </c>
      <c r="D12" t="s">
        <v>239</v>
      </c>
    </row>
    <row r="13" spans="1:4">
      <c r="B13" s="364"/>
    </row>
    <row r="14" spans="1:4">
      <c r="A14" t="s">
        <v>299</v>
      </c>
      <c r="C14" t="s">
        <v>300</v>
      </c>
    </row>
    <row r="15" spans="1:4">
      <c r="A15" t="s">
        <v>301</v>
      </c>
      <c r="C15" t="s">
        <v>302</v>
      </c>
    </row>
    <row r="16" spans="1:4">
      <c r="A16" t="s">
        <v>303</v>
      </c>
      <c r="C16" t="s">
        <v>304</v>
      </c>
    </row>
    <row r="17" spans="1:4">
      <c r="A17" t="s">
        <v>305</v>
      </c>
      <c r="C17" t="s">
        <v>306</v>
      </c>
    </row>
    <row r="18" spans="1:4">
      <c r="A18" t="s">
        <v>307</v>
      </c>
      <c r="C18" t="s">
        <v>308</v>
      </c>
    </row>
    <row r="19" spans="1:4">
      <c r="A19" t="s">
        <v>309</v>
      </c>
      <c r="C19" t="s">
        <v>310</v>
      </c>
    </row>
    <row r="20" spans="1:4">
      <c r="A20" t="s">
        <v>311</v>
      </c>
      <c r="C20" t="s">
        <v>312</v>
      </c>
    </row>
    <row r="21" spans="1:4">
      <c r="A21" t="s">
        <v>313</v>
      </c>
      <c r="C21" t="s">
        <v>314</v>
      </c>
    </row>
    <row r="22" spans="1:4">
      <c r="A22" t="s">
        <v>430</v>
      </c>
      <c r="C22" t="s">
        <v>431</v>
      </c>
    </row>
    <row r="23" spans="1:4">
      <c r="C23">
        <f>+LEN(C22)</f>
        <v>187</v>
      </c>
    </row>
    <row r="27" spans="1:4">
      <c r="A27" s="376" t="s">
        <v>315</v>
      </c>
    </row>
    <row r="29" spans="1:4">
      <c r="A29" t="s">
        <v>299</v>
      </c>
      <c r="C29" t="s">
        <v>316</v>
      </c>
    </row>
    <row r="30" spans="1:4">
      <c r="A30" t="s">
        <v>317</v>
      </c>
      <c r="C30" t="s">
        <v>318</v>
      </c>
      <c r="D30">
        <f>+LEN(C33)</f>
        <v>293</v>
      </c>
    </row>
    <row r="31" spans="1:4">
      <c r="A31" t="s">
        <v>319</v>
      </c>
      <c r="C31" t="s">
        <v>320</v>
      </c>
    </row>
    <row r="32" spans="1:4">
      <c r="A32" t="s">
        <v>321</v>
      </c>
      <c r="C32" t="s">
        <v>322</v>
      </c>
    </row>
    <row r="33" spans="1:6">
      <c r="A33" t="s">
        <v>307</v>
      </c>
      <c r="C33" t="s">
        <v>323</v>
      </c>
    </row>
    <row r="34" spans="1:6">
      <c r="A34" t="s">
        <v>309</v>
      </c>
      <c r="C34" t="s">
        <v>324</v>
      </c>
    </row>
    <row r="35" spans="1:6" ht="18" customHeight="1">
      <c r="A35" t="s">
        <v>311</v>
      </c>
      <c r="C35" t="s">
        <v>325</v>
      </c>
    </row>
    <row r="36" spans="1:6">
      <c r="A36" t="s">
        <v>313</v>
      </c>
      <c r="C36" t="s">
        <v>326</v>
      </c>
    </row>
    <row r="37" spans="1:6">
      <c r="A37" t="s">
        <v>430</v>
      </c>
      <c r="C37" t="s">
        <v>432</v>
      </c>
    </row>
    <row r="38" spans="1:6" ht="15" customHeight="1">
      <c r="C38">
        <f>+LEN(C37)</f>
        <v>297</v>
      </c>
    </row>
    <row r="40" spans="1:6">
      <c r="B40" s="138">
        <f>32*0.25</f>
        <v>8</v>
      </c>
      <c r="C40" s="138" t="s">
        <v>327</v>
      </c>
      <c r="D40" s="138"/>
      <c r="E40" s="138"/>
      <c r="F40" s="138"/>
    </row>
    <row r="41" spans="1:6" ht="18.75">
      <c r="B41" s="136">
        <f>+B40/100</f>
        <v>0.08</v>
      </c>
      <c r="C41" s="825" t="s">
        <v>328</v>
      </c>
      <c r="D41" s="825"/>
      <c r="E41" s="825"/>
      <c r="F41" s="825"/>
    </row>
    <row r="42" spans="1:6" ht="18.75">
      <c r="B42" s="131"/>
      <c r="C42" s="825"/>
      <c r="D42" s="825"/>
      <c r="E42" s="825"/>
      <c r="F42" s="825"/>
    </row>
    <row r="43" spans="1:6">
      <c r="B43" s="138"/>
      <c r="C43" s="825"/>
      <c r="D43" s="825"/>
      <c r="E43" s="825"/>
      <c r="F43" s="825"/>
    </row>
    <row r="44" spans="1:6" ht="18.75">
      <c r="B44" s="138"/>
      <c r="C44" s="425"/>
      <c r="D44" s="425"/>
      <c r="E44" s="425"/>
      <c r="F44" s="425"/>
    </row>
    <row r="45" spans="1:6" ht="18.75">
      <c r="A45" s="377" t="s">
        <v>329</v>
      </c>
      <c r="B45" s="377">
        <f>+(32*0.25)/100</f>
        <v>0.08</v>
      </c>
      <c r="C45" s="425"/>
      <c r="D45" s="425"/>
      <c r="E45" s="425"/>
      <c r="F45" s="425"/>
    </row>
    <row r="46" spans="1:6" ht="18.75">
      <c r="A46" s="377" t="s">
        <v>330</v>
      </c>
      <c r="B46" s="377">
        <f>+(41*0.25)/100</f>
        <v>0.10249999999999999</v>
      </c>
      <c r="C46" s="425"/>
      <c r="D46" s="425"/>
      <c r="E46" s="425"/>
      <c r="F46" s="425"/>
    </row>
    <row r="47" spans="1:6" ht="18.75">
      <c r="A47" t="s">
        <v>331</v>
      </c>
      <c r="B47" s="377">
        <f>+(50*0.25)/100</f>
        <v>0.125</v>
      </c>
      <c r="C47" s="425"/>
      <c r="D47" s="425"/>
      <c r="E47" s="425"/>
      <c r="F47" s="425"/>
    </row>
    <row r="48" spans="1:6" ht="18.75">
      <c r="A48" t="s">
        <v>234</v>
      </c>
      <c r="B48" s="377">
        <f>+(59*0.25)/100</f>
        <v>0.14749999999999999</v>
      </c>
      <c r="C48" s="425"/>
      <c r="D48" s="425"/>
      <c r="E48" s="425"/>
      <c r="F48" s="425"/>
    </row>
    <row r="49" spans="1:6" ht="18.75">
      <c r="A49" t="s">
        <v>235</v>
      </c>
      <c r="B49" s="377">
        <f>+(68*0.25)/100</f>
        <v>0.17</v>
      </c>
      <c r="C49" s="425"/>
      <c r="D49" s="425"/>
      <c r="E49" s="425"/>
      <c r="F49" s="425"/>
    </row>
    <row r="50" spans="1:6" ht="18.75">
      <c r="A50" t="s">
        <v>236</v>
      </c>
      <c r="B50" s="377">
        <f>+(77*0.25)/100</f>
        <v>0.1925</v>
      </c>
      <c r="C50" s="425"/>
      <c r="D50" s="425"/>
      <c r="E50" s="425"/>
      <c r="F50" s="425"/>
    </row>
    <row r="51" spans="1:6" ht="18.75">
      <c r="A51" t="s">
        <v>237</v>
      </c>
      <c r="B51" s="377">
        <f>+(86*0.25)/100</f>
        <v>0.215</v>
      </c>
      <c r="C51" s="425"/>
      <c r="D51" s="425"/>
      <c r="E51" s="425"/>
      <c r="F51" s="425"/>
    </row>
    <row r="52" spans="1:6" ht="18.75">
      <c r="A52" t="s">
        <v>238</v>
      </c>
      <c r="B52" s="377">
        <f>+(95*0.25)/100</f>
        <v>0.23749999999999999</v>
      </c>
      <c r="C52" s="425"/>
      <c r="D52" s="425"/>
      <c r="E52" s="425"/>
      <c r="F52" s="425"/>
    </row>
    <row r="53" spans="1:6">
      <c r="A53" t="s">
        <v>239</v>
      </c>
      <c r="B53" s="377">
        <f>+(100*0.25)/100</f>
        <v>0.25</v>
      </c>
    </row>
    <row r="55" spans="1:6">
      <c r="A55" s="376" t="s">
        <v>332</v>
      </c>
    </row>
    <row r="56" spans="1:6">
      <c r="A56">
        <v>2021</v>
      </c>
      <c r="B56">
        <v>7</v>
      </c>
      <c r="C56" t="s">
        <v>333</v>
      </c>
      <c r="D56" s="364">
        <v>0.45</v>
      </c>
      <c r="E56" t="s">
        <v>334</v>
      </c>
    </row>
    <row r="57" spans="1:6">
      <c r="A57">
        <v>2022</v>
      </c>
      <c r="B57">
        <v>5</v>
      </c>
      <c r="C57" t="s">
        <v>333</v>
      </c>
      <c r="D57" s="364">
        <v>0.25</v>
      </c>
      <c r="E57" t="s">
        <v>335</v>
      </c>
    </row>
    <row r="58" spans="1:6">
      <c r="A58">
        <v>2023</v>
      </c>
      <c r="B58">
        <v>5</v>
      </c>
      <c r="C58" t="s">
        <v>333</v>
      </c>
      <c r="D58" s="364">
        <v>0.25</v>
      </c>
      <c r="E58" t="s">
        <v>335</v>
      </c>
    </row>
    <row r="59" spans="1:6">
      <c r="A59">
        <v>2024</v>
      </c>
      <c r="B59">
        <v>0</v>
      </c>
      <c r="C59" t="s">
        <v>333</v>
      </c>
      <c r="D59" s="364">
        <v>0.05</v>
      </c>
      <c r="E59" t="s">
        <v>336</v>
      </c>
    </row>
    <row r="60" spans="1:6">
      <c r="B60" t="s">
        <v>337</v>
      </c>
      <c r="C60">
        <f>0.45/7</f>
        <v>6.4285714285714293E-2</v>
      </c>
      <c r="D60" t="s">
        <v>338</v>
      </c>
    </row>
    <row r="61" spans="1:6">
      <c r="D61" t="s">
        <v>339</v>
      </c>
    </row>
    <row r="63" spans="1:6">
      <c r="A63" t="s">
        <v>340</v>
      </c>
      <c r="C63" t="s">
        <v>341</v>
      </c>
    </row>
    <row r="64" spans="1:6">
      <c r="A64" t="s">
        <v>342</v>
      </c>
      <c r="C64" t="s">
        <v>343</v>
      </c>
    </row>
    <row r="65" spans="1:3">
      <c r="A65" t="s">
        <v>301</v>
      </c>
      <c r="C65" t="s">
        <v>344</v>
      </c>
    </row>
    <row r="66" spans="1:3">
      <c r="A66" t="s">
        <v>303</v>
      </c>
      <c r="C66" t="s">
        <v>345</v>
      </c>
    </row>
    <row r="67" spans="1:3">
      <c r="A67" t="s">
        <v>303</v>
      </c>
      <c r="C67" t="s">
        <v>346</v>
      </c>
    </row>
    <row r="68" spans="1:3">
      <c r="A68" t="s">
        <v>307</v>
      </c>
      <c r="C68" t="s">
        <v>347</v>
      </c>
    </row>
    <row r="69" spans="1:3">
      <c r="A69" t="s">
        <v>309</v>
      </c>
      <c r="C69" t="s">
        <v>348</v>
      </c>
    </row>
    <row r="70" spans="1:3">
      <c r="A70" t="s">
        <v>311</v>
      </c>
      <c r="C70" t="s">
        <v>349</v>
      </c>
    </row>
    <row r="71" spans="1:3">
      <c r="A71" t="s">
        <v>313</v>
      </c>
      <c r="C71" t="s">
        <v>350</v>
      </c>
    </row>
    <row r="72" spans="1:3">
      <c r="A72" t="s">
        <v>430</v>
      </c>
      <c r="C72" t="s">
        <v>433</v>
      </c>
    </row>
    <row r="73" spans="1:3">
      <c r="C73">
        <f>+LEN(C72)</f>
        <v>224</v>
      </c>
    </row>
    <row r="75" spans="1:3">
      <c r="A75" t="s">
        <v>413</v>
      </c>
      <c r="C75">
        <f>+C60*5</f>
        <v>0.32142857142857145</v>
      </c>
    </row>
  </sheetData>
  <mergeCells count="1">
    <mergeCell ref="C41:F43"/>
  </mergeCells>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4" sqref="B34"/>
    </sheetView>
  </sheetViews>
  <sheetFormatPr baseColWidth="10" defaultColWidth="9.140625" defaultRowHeight="1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2"/>
  <sheetViews>
    <sheetView zoomScale="90" zoomScaleNormal="90" workbookViewId="0">
      <selection activeCell="A8" sqref="A8"/>
    </sheetView>
  </sheetViews>
  <sheetFormatPr baseColWidth="10" defaultColWidth="11.42578125" defaultRowHeight="12.75"/>
  <cols>
    <col min="1" max="1" width="6.28515625" style="80" bestFit="1" customWidth="1"/>
    <col min="2" max="2" width="50.7109375" style="80" customWidth="1"/>
    <col min="3" max="5" width="13.7109375" style="80" customWidth="1"/>
    <col min="6" max="6" width="11.42578125" style="80"/>
    <col min="7" max="7" width="6.7109375" style="80" bestFit="1" customWidth="1"/>
    <col min="8" max="8" width="50.7109375" style="80" customWidth="1"/>
    <col min="9" max="16384" width="11.42578125" style="80"/>
  </cols>
  <sheetData>
    <row r="1" spans="1:8">
      <c r="A1" s="942" t="s">
        <v>351</v>
      </c>
      <c r="B1" s="943"/>
      <c r="C1" s="943"/>
      <c r="D1" s="943"/>
      <c r="E1" s="944"/>
    </row>
    <row r="2" spans="1:8" ht="25.5">
      <c r="A2" s="946" t="s">
        <v>352</v>
      </c>
      <c r="B2" s="945"/>
      <c r="C2" s="423" t="s">
        <v>353</v>
      </c>
      <c r="D2" s="423" t="s">
        <v>354</v>
      </c>
      <c r="E2" s="81" t="s">
        <v>355</v>
      </c>
      <c r="G2" s="100" t="s">
        <v>356</v>
      </c>
    </row>
    <row r="3" spans="1:8" s="86" customFormat="1" ht="41.85" customHeight="1">
      <c r="A3" s="109" t="s">
        <v>243</v>
      </c>
      <c r="B3" s="110" t="s">
        <v>357</v>
      </c>
      <c r="C3" s="84">
        <v>54000000</v>
      </c>
      <c r="D3" s="117">
        <f>+C3/$C$10</f>
        <v>0.31270629929467358</v>
      </c>
      <c r="E3" s="109">
        <v>0.3</v>
      </c>
      <c r="G3" s="419">
        <v>1</v>
      </c>
      <c r="H3" s="86" t="s">
        <v>357</v>
      </c>
    </row>
    <row r="4" spans="1:8" s="86" customFormat="1" ht="41.85" customHeight="1">
      <c r="A4" s="109" t="s">
        <v>245</v>
      </c>
      <c r="B4" s="110" t="s">
        <v>358</v>
      </c>
      <c r="C4" s="84">
        <v>60000000</v>
      </c>
      <c r="D4" s="117">
        <f t="shared" ref="D4:D9" si="0">+C4/$C$10</f>
        <v>0.34745144366074843</v>
      </c>
      <c r="E4" s="111">
        <v>12</v>
      </c>
      <c r="G4" s="419">
        <v>2</v>
      </c>
      <c r="H4" s="86" t="s">
        <v>358</v>
      </c>
    </row>
    <row r="5" spans="1:8" s="86" customFormat="1" ht="41.85" customHeight="1">
      <c r="A5" s="109" t="s">
        <v>249</v>
      </c>
      <c r="B5" s="110" t="s">
        <v>359</v>
      </c>
      <c r="C5" s="84">
        <v>0</v>
      </c>
      <c r="D5" s="117">
        <f t="shared" si="0"/>
        <v>0</v>
      </c>
      <c r="E5" s="111">
        <v>0</v>
      </c>
      <c r="G5" s="419">
        <v>3</v>
      </c>
      <c r="H5" s="86" t="s">
        <v>359</v>
      </c>
    </row>
    <row r="6" spans="1:8" s="86" customFormat="1" ht="41.85" customHeight="1">
      <c r="A6" s="109" t="s">
        <v>251</v>
      </c>
      <c r="B6" s="110" t="s">
        <v>360</v>
      </c>
      <c r="C6" s="84">
        <v>30000000</v>
      </c>
      <c r="D6" s="117">
        <f t="shared" si="0"/>
        <v>0.17372572183037421</v>
      </c>
      <c r="E6" s="115">
        <v>0.04</v>
      </c>
      <c r="G6" s="104">
        <v>4</v>
      </c>
      <c r="H6" s="105" t="s">
        <v>360</v>
      </c>
    </row>
    <row r="7" spans="1:8" s="86" customFormat="1" ht="76.5">
      <c r="A7" s="109" t="s">
        <v>253</v>
      </c>
      <c r="B7" s="110" t="s">
        <v>361</v>
      </c>
      <c r="C7" s="84">
        <v>22948800</v>
      </c>
      <c r="D7" s="117">
        <f t="shared" si="0"/>
        <v>0.13289322817136306</v>
      </c>
      <c r="E7" s="109">
        <v>0.3</v>
      </c>
      <c r="G7" s="104">
        <v>5</v>
      </c>
      <c r="H7" s="105" t="s">
        <v>361</v>
      </c>
    </row>
    <row r="8" spans="1:8" s="86" customFormat="1" ht="54.6" customHeight="1">
      <c r="A8" s="109" t="s">
        <v>254</v>
      </c>
      <c r="B8" s="110" t="s">
        <v>362</v>
      </c>
      <c r="C8" s="84">
        <v>5737200</v>
      </c>
      <c r="D8" s="117">
        <f t="shared" si="0"/>
        <v>3.3223307042840766E-2</v>
      </c>
      <c r="E8" s="109">
        <v>0.3</v>
      </c>
      <c r="G8" s="104">
        <v>6</v>
      </c>
      <c r="H8" s="105" t="s">
        <v>362</v>
      </c>
    </row>
    <row r="9" spans="1:8" s="86" customFormat="1" ht="41.85" customHeight="1">
      <c r="A9" s="109" t="s">
        <v>250</v>
      </c>
      <c r="B9" s="110" t="s">
        <v>363</v>
      </c>
      <c r="C9" s="84">
        <v>0</v>
      </c>
      <c r="D9" s="117">
        <f t="shared" si="0"/>
        <v>0</v>
      </c>
      <c r="E9" s="111">
        <v>0</v>
      </c>
      <c r="G9" s="104">
        <v>7</v>
      </c>
      <c r="H9" s="105" t="s">
        <v>363</v>
      </c>
    </row>
    <row r="10" spans="1:8">
      <c r="A10" s="945" t="s">
        <v>198</v>
      </c>
      <c r="B10" s="945"/>
      <c r="C10" s="112">
        <f>SUM(C3:C9)</f>
        <v>172686000</v>
      </c>
      <c r="D10" s="113">
        <f>SUM(D3:D9)</f>
        <v>1</v>
      </c>
      <c r="E10" s="114"/>
    </row>
    <row r="13" spans="1:8">
      <c r="H13" s="116"/>
    </row>
    <row r="15" spans="1:8" ht="183.6" customHeight="1">
      <c r="A15" s="82" t="s">
        <v>243</v>
      </c>
      <c r="B15" s="83" t="s">
        <v>364</v>
      </c>
      <c r="C15" s="84">
        <v>54000000</v>
      </c>
      <c r="D15" s="101">
        <f>+C15/$C$10</f>
        <v>0.31270629929467358</v>
      </c>
      <c r="E15" s="85">
        <v>0.3</v>
      </c>
    </row>
    <row r="16" spans="1:8" ht="38.25">
      <c r="A16" s="82" t="s">
        <v>245</v>
      </c>
      <c r="B16" s="99" t="s">
        <v>365</v>
      </c>
      <c r="C16" s="84">
        <v>60000000</v>
      </c>
      <c r="D16" s="101">
        <f t="shared" ref="D16:D21" si="1">+C16/$C$10</f>
        <v>0.34745144366074843</v>
      </c>
      <c r="E16" s="87">
        <v>8</v>
      </c>
    </row>
    <row r="17" spans="1:5" ht="25.5">
      <c r="A17" s="95" t="s">
        <v>249</v>
      </c>
      <c r="B17" s="96" t="s">
        <v>366</v>
      </c>
      <c r="C17" s="97">
        <v>0</v>
      </c>
      <c r="D17" s="102">
        <f t="shared" si="1"/>
        <v>0</v>
      </c>
      <c r="E17" s="98">
        <v>0</v>
      </c>
    </row>
    <row r="18" spans="1:5" ht="25.5">
      <c r="A18" s="95" t="s">
        <v>251</v>
      </c>
      <c r="B18" s="96" t="s">
        <v>367</v>
      </c>
      <c r="C18" s="97">
        <v>0</v>
      </c>
      <c r="D18" s="102">
        <f t="shared" si="1"/>
        <v>0</v>
      </c>
      <c r="E18" s="98">
        <v>0</v>
      </c>
    </row>
    <row r="19" spans="1:5" ht="25.5">
      <c r="A19" s="82" t="s">
        <v>253</v>
      </c>
      <c r="B19" s="83" t="s">
        <v>368</v>
      </c>
      <c r="C19" s="84">
        <v>30000000</v>
      </c>
      <c r="D19" s="101">
        <f t="shared" si="1"/>
        <v>0.17372572183037421</v>
      </c>
      <c r="E19" s="87">
        <v>1</v>
      </c>
    </row>
    <row r="20" spans="1:5" ht="51">
      <c r="A20" s="82" t="s">
        <v>254</v>
      </c>
      <c r="B20" s="83" t="s">
        <v>369</v>
      </c>
      <c r="C20" s="84">
        <v>22948800</v>
      </c>
      <c r="D20" s="101">
        <f t="shared" si="1"/>
        <v>0.13289322817136306</v>
      </c>
      <c r="E20" s="85">
        <v>0.3</v>
      </c>
    </row>
    <row r="21" spans="1:5" ht="39" thickBot="1">
      <c r="A21" s="88" t="s">
        <v>250</v>
      </c>
      <c r="B21" s="89" t="s">
        <v>370</v>
      </c>
      <c r="C21" s="90">
        <v>5737200</v>
      </c>
      <c r="D21" s="103">
        <f t="shared" si="1"/>
        <v>3.3223307042840766E-2</v>
      </c>
      <c r="E21" s="91">
        <v>0.3</v>
      </c>
    </row>
    <row r="22" spans="1:5" ht="13.5" thickBot="1">
      <c r="A22" s="947" t="s">
        <v>198</v>
      </c>
      <c r="B22" s="948"/>
      <c r="C22" s="92">
        <f>SUM(C15:C21)</f>
        <v>172686000</v>
      </c>
      <c r="D22" s="93">
        <f>SUM(D15:D21)</f>
        <v>1</v>
      </c>
    </row>
  </sheetData>
  <mergeCells count="4">
    <mergeCell ref="A1:E1"/>
    <mergeCell ref="A10:B10"/>
    <mergeCell ref="A2:B2"/>
    <mergeCell ref="A22:B22"/>
  </mergeCells>
  <phoneticPr fontId="12" type="noConversion"/>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43" zoomScale="90" zoomScaleNormal="90" workbookViewId="0">
      <selection activeCell="J31" sqref="J31"/>
    </sheetView>
  </sheetViews>
  <sheetFormatPr baseColWidth="10" defaultColWidth="9.140625" defaultRowHeight="15"/>
  <cols>
    <col min="1" max="2" width="11.42578125" customWidth="1"/>
    <col min="3" max="3" width="6.7109375" customWidth="1"/>
    <col min="4" max="4" width="8.7109375" customWidth="1"/>
    <col min="5" max="5" width="10.7109375" customWidth="1"/>
    <col min="6" max="256" width="11.42578125" customWidth="1"/>
  </cols>
  <sheetData>
    <row r="1" spans="1:14">
      <c r="B1" t="s">
        <v>371</v>
      </c>
      <c r="C1" s="952" t="s">
        <v>372</v>
      </c>
      <c r="D1" s="952"/>
      <c r="E1" s="952"/>
      <c r="F1" s="952"/>
      <c r="G1" s="953" t="s">
        <v>373</v>
      </c>
      <c r="H1" s="954"/>
      <c r="I1" s="954"/>
      <c r="J1" s="955"/>
      <c r="K1" s="951" t="s">
        <v>374</v>
      </c>
      <c r="L1" s="951"/>
      <c r="M1" s="951"/>
      <c r="N1" s="951"/>
    </row>
    <row r="2" spans="1:14">
      <c r="C2" s="424"/>
      <c r="D2" s="424"/>
      <c r="E2" s="424"/>
      <c r="F2" s="424" t="s">
        <v>375</v>
      </c>
      <c r="G2" s="37"/>
      <c r="H2" s="424"/>
      <c r="I2" s="424"/>
      <c r="J2" s="38" t="s">
        <v>375</v>
      </c>
      <c r="K2" s="424"/>
      <c r="L2" s="424"/>
      <c r="M2" s="424"/>
      <c r="N2" s="424" t="s">
        <v>375</v>
      </c>
    </row>
    <row r="3" spans="1:14">
      <c r="A3" s="950" t="s">
        <v>376</v>
      </c>
      <c r="B3" s="12">
        <v>1</v>
      </c>
      <c r="C3" s="13">
        <v>0.05</v>
      </c>
      <c r="D3" s="13">
        <v>0.05</v>
      </c>
      <c r="E3" s="13">
        <v>0.1</v>
      </c>
      <c r="F3" s="14">
        <f>(C3+D3+E3)</f>
        <v>0.2</v>
      </c>
      <c r="G3" s="39">
        <v>0.1</v>
      </c>
      <c r="H3" s="13">
        <v>0.1</v>
      </c>
      <c r="I3" s="13">
        <v>0.1</v>
      </c>
      <c r="J3" s="40">
        <f>(G3+H3+I3)</f>
        <v>0.30000000000000004</v>
      </c>
      <c r="K3" s="10">
        <v>0.1</v>
      </c>
      <c r="L3" s="10">
        <v>0.1</v>
      </c>
      <c r="M3" s="10">
        <v>0.1</v>
      </c>
      <c r="N3" s="11">
        <f>K3+L3+M3</f>
        <v>0.30000000000000004</v>
      </c>
    </row>
    <row r="4" spans="1:14">
      <c r="A4" s="950"/>
      <c r="B4" s="12">
        <v>2</v>
      </c>
      <c r="C4" s="13">
        <v>0.05</v>
      </c>
      <c r="D4" s="13">
        <v>0.05</v>
      </c>
      <c r="E4" s="13">
        <v>0.1</v>
      </c>
      <c r="F4" s="14">
        <f>(C4+D4+E4)</f>
        <v>0.2</v>
      </c>
      <c r="G4" s="39">
        <v>0.1</v>
      </c>
      <c r="H4" s="13">
        <v>0.1</v>
      </c>
      <c r="I4" s="13">
        <v>0.1</v>
      </c>
      <c r="J4" s="40">
        <f>(G4+H4+I4)</f>
        <v>0.30000000000000004</v>
      </c>
      <c r="K4" s="10">
        <v>0.1</v>
      </c>
      <c r="L4" s="10">
        <v>0.1</v>
      </c>
      <c r="M4" s="10">
        <v>0.1</v>
      </c>
      <c r="N4" s="11">
        <f>K4+L4+M4</f>
        <v>0.30000000000000004</v>
      </c>
    </row>
    <row r="5" spans="1:14">
      <c r="A5" s="950"/>
      <c r="B5" s="12">
        <v>3</v>
      </c>
      <c r="C5" s="13">
        <v>0.05</v>
      </c>
      <c r="D5" s="13">
        <v>0.05</v>
      </c>
      <c r="E5" s="13">
        <v>0.1</v>
      </c>
      <c r="F5" s="14">
        <f>(C5+D5+E5)</f>
        <v>0.2</v>
      </c>
      <c r="G5" s="39">
        <v>0.1</v>
      </c>
      <c r="H5" s="13">
        <v>0.1</v>
      </c>
      <c r="I5" s="13">
        <v>0.1</v>
      </c>
      <c r="J5" s="40">
        <f>(G5+H5+I5)</f>
        <v>0.30000000000000004</v>
      </c>
      <c r="K5" s="31"/>
      <c r="L5" s="12"/>
      <c r="M5" s="12"/>
      <c r="N5" s="12"/>
    </row>
    <row r="6" spans="1:14">
      <c r="A6" s="950"/>
      <c r="B6" s="12">
        <v>4</v>
      </c>
      <c r="C6" s="13">
        <v>0.1</v>
      </c>
      <c r="D6" s="13">
        <v>0.1</v>
      </c>
      <c r="E6" s="13">
        <v>0.2</v>
      </c>
      <c r="F6" s="14">
        <f>(C6+D6+E6)</f>
        <v>0.4</v>
      </c>
      <c r="G6" s="39">
        <v>0</v>
      </c>
      <c r="H6" s="13">
        <v>0</v>
      </c>
      <c r="I6" s="13">
        <v>0.1</v>
      </c>
      <c r="J6" s="40">
        <f>(G6+H6+I6)</f>
        <v>0.1</v>
      </c>
      <c r="K6" s="31"/>
      <c r="L6" s="12"/>
      <c r="M6" s="12"/>
      <c r="N6" s="12"/>
    </row>
    <row r="7" spans="1:14">
      <c r="A7" s="950"/>
      <c r="B7" s="12">
        <v>5</v>
      </c>
      <c r="C7" s="13">
        <v>0</v>
      </c>
      <c r="D7" s="13">
        <v>0</v>
      </c>
      <c r="E7" s="13">
        <v>0</v>
      </c>
      <c r="F7" s="14">
        <f>(C7+D7+E7)</f>
        <v>0</v>
      </c>
      <c r="G7" s="39">
        <v>0</v>
      </c>
      <c r="H7" s="13">
        <v>0</v>
      </c>
      <c r="I7" s="13">
        <v>0</v>
      </c>
      <c r="J7" s="40">
        <f>(G7+H7+I7)</f>
        <v>0</v>
      </c>
      <c r="K7" s="31"/>
      <c r="L7" s="12"/>
      <c r="M7" s="12"/>
      <c r="N7" s="12"/>
    </row>
    <row r="8" spans="1:14">
      <c r="A8" s="950" t="s">
        <v>377</v>
      </c>
      <c r="B8" s="16">
        <v>6</v>
      </c>
      <c r="C8" s="17">
        <v>0.1</v>
      </c>
      <c r="D8" s="17">
        <v>0.1</v>
      </c>
      <c r="E8" s="17">
        <v>0.1</v>
      </c>
      <c r="F8" s="18">
        <f>C8+D8+E8</f>
        <v>0.30000000000000004</v>
      </c>
      <c r="G8" s="41"/>
      <c r="H8" s="16"/>
      <c r="I8" s="16"/>
      <c r="J8" s="42"/>
      <c r="K8" s="32"/>
      <c r="L8" s="16"/>
      <c r="M8" s="16"/>
      <c r="N8" s="16"/>
    </row>
    <row r="9" spans="1:14">
      <c r="A9" s="950"/>
      <c r="B9" s="16">
        <v>7</v>
      </c>
      <c r="C9" s="16"/>
      <c r="D9" s="16"/>
      <c r="E9" s="16"/>
      <c r="F9" s="26"/>
      <c r="G9" s="43"/>
      <c r="H9" s="16"/>
      <c r="I9" s="16"/>
      <c r="J9" s="42"/>
      <c r="K9" s="32"/>
      <c r="L9" s="16"/>
      <c r="M9" s="16"/>
      <c r="N9" s="16"/>
    </row>
    <row r="10" spans="1:14">
      <c r="A10" s="950"/>
      <c r="B10" s="16">
        <v>8</v>
      </c>
      <c r="C10" s="16"/>
      <c r="D10" s="16"/>
      <c r="E10" s="16"/>
      <c r="F10" s="26"/>
      <c r="G10" s="43"/>
      <c r="H10" s="16"/>
      <c r="I10" s="16"/>
      <c r="J10" s="42"/>
      <c r="K10" s="32"/>
      <c r="L10" s="16"/>
      <c r="M10" s="16"/>
      <c r="N10" s="16"/>
    </row>
    <row r="11" spans="1:14">
      <c r="A11" s="950"/>
      <c r="B11" s="16">
        <v>9</v>
      </c>
      <c r="C11" s="16"/>
      <c r="D11" s="16"/>
      <c r="E11" s="16"/>
      <c r="F11" s="26"/>
      <c r="G11" s="43"/>
      <c r="H11" s="16"/>
      <c r="I11" s="16"/>
      <c r="J11" s="42"/>
      <c r="K11" s="32"/>
      <c r="L11" s="16"/>
      <c r="M11" s="16"/>
      <c r="N11" s="16"/>
    </row>
    <row r="12" spans="1:14">
      <c r="A12" s="950" t="s">
        <v>378</v>
      </c>
      <c r="B12" s="21">
        <v>10</v>
      </c>
      <c r="C12" s="21"/>
      <c r="D12" s="21"/>
      <c r="E12" s="21"/>
      <c r="F12" s="27"/>
      <c r="G12" s="44"/>
      <c r="H12" s="21"/>
      <c r="I12" s="21"/>
      <c r="J12" s="45"/>
      <c r="K12" s="33"/>
      <c r="L12" s="21"/>
      <c r="M12" s="21"/>
      <c r="N12" s="21"/>
    </row>
    <row r="13" spans="1:14">
      <c r="A13" s="950"/>
      <c r="B13" s="21">
        <v>11</v>
      </c>
      <c r="C13" s="21"/>
      <c r="D13" s="21"/>
      <c r="E13" s="21"/>
      <c r="F13" s="27"/>
      <c r="G13" s="44"/>
      <c r="H13" s="21"/>
      <c r="I13" s="21"/>
      <c r="J13" s="45"/>
      <c r="K13" s="33"/>
      <c r="L13" s="21"/>
      <c r="M13" s="21"/>
      <c r="N13" s="21"/>
    </row>
    <row r="14" spans="1:14">
      <c r="A14" s="950"/>
      <c r="B14" s="21">
        <v>12</v>
      </c>
      <c r="C14" s="21"/>
      <c r="D14" s="21"/>
      <c r="E14" s="21"/>
      <c r="F14" s="27"/>
      <c r="G14" s="44"/>
      <c r="H14" s="21"/>
      <c r="I14" s="21"/>
      <c r="J14" s="45"/>
      <c r="K14" s="33"/>
      <c r="L14" s="21"/>
      <c r="M14" s="21"/>
      <c r="N14" s="21"/>
    </row>
    <row r="15" spans="1:14">
      <c r="A15" s="950"/>
      <c r="B15" s="21">
        <v>13</v>
      </c>
      <c r="C15" s="21"/>
      <c r="D15" s="21"/>
      <c r="E15" s="21"/>
      <c r="F15" s="27"/>
      <c r="G15" s="44"/>
      <c r="H15" s="21"/>
      <c r="I15" s="21"/>
      <c r="J15" s="45"/>
      <c r="K15" s="33"/>
      <c r="L15" s="21"/>
      <c r="M15" s="21"/>
      <c r="N15" s="21"/>
    </row>
    <row r="16" spans="1:14">
      <c r="A16" s="950" t="s">
        <v>379</v>
      </c>
      <c r="B16" s="22">
        <v>14</v>
      </c>
      <c r="C16" s="22"/>
      <c r="D16" s="22"/>
      <c r="E16" s="22"/>
      <c r="F16" s="28"/>
      <c r="G16" s="46"/>
      <c r="H16" s="22"/>
      <c r="I16" s="22"/>
      <c r="J16" s="47"/>
      <c r="K16" s="34"/>
      <c r="L16" s="22"/>
      <c r="M16" s="22"/>
      <c r="N16" s="22"/>
    </row>
    <row r="17" spans="1:14">
      <c r="A17" s="950"/>
      <c r="B17" s="22">
        <v>15</v>
      </c>
      <c r="C17" s="22"/>
      <c r="D17" s="22"/>
      <c r="E17" s="22"/>
      <c r="F17" s="28"/>
      <c r="G17" s="46"/>
      <c r="H17" s="22"/>
      <c r="I17" s="22"/>
      <c r="J17" s="47"/>
      <c r="K17" s="34"/>
      <c r="L17" s="22"/>
      <c r="M17" s="22"/>
      <c r="N17" s="22"/>
    </row>
    <row r="18" spans="1:14">
      <c r="A18" s="950"/>
      <c r="B18" s="22">
        <v>16</v>
      </c>
      <c r="C18" s="22"/>
      <c r="D18" s="22"/>
      <c r="E18" s="22"/>
      <c r="F18" s="28"/>
      <c r="G18" s="46"/>
      <c r="H18" s="22"/>
      <c r="I18" s="22"/>
      <c r="J18" s="47"/>
      <c r="K18" s="34"/>
      <c r="L18" s="22"/>
      <c r="M18" s="22"/>
      <c r="N18" s="22"/>
    </row>
    <row r="19" spans="1:14">
      <c r="A19" s="950" t="s">
        <v>380</v>
      </c>
      <c r="B19" s="25">
        <v>17</v>
      </c>
      <c r="C19" s="25"/>
      <c r="D19" s="25"/>
      <c r="E19" s="25"/>
      <c r="F19" s="29"/>
      <c r="G19" s="48"/>
      <c r="H19" s="25"/>
      <c r="I19" s="25"/>
      <c r="J19" s="49"/>
      <c r="K19" s="35"/>
      <c r="L19" s="25"/>
      <c r="M19" s="25"/>
      <c r="N19" s="25"/>
    </row>
    <row r="20" spans="1:14">
      <c r="A20" s="950"/>
      <c r="B20" s="25">
        <v>18</v>
      </c>
      <c r="C20" s="25"/>
      <c r="D20" s="25"/>
      <c r="E20" s="25"/>
      <c r="F20" s="29"/>
      <c r="G20" s="48"/>
      <c r="H20" s="25"/>
      <c r="I20" s="25"/>
      <c r="J20" s="49"/>
      <c r="K20" s="35"/>
      <c r="L20" s="25"/>
      <c r="M20" s="25"/>
      <c r="N20" s="25"/>
    </row>
    <row r="21" spans="1:14">
      <c r="A21" s="950"/>
      <c r="B21" s="25">
        <v>19</v>
      </c>
      <c r="C21" s="25"/>
      <c r="D21" s="25"/>
      <c r="E21" s="25"/>
      <c r="F21" s="29"/>
      <c r="G21" s="48"/>
      <c r="H21" s="25"/>
      <c r="I21" s="25"/>
      <c r="J21" s="49"/>
      <c r="K21" s="35"/>
      <c r="L21" s="25"/>
      <c r="M21" s="25"/>
      <c r="N21" s="25"/>
    </row>
    <row r="22" spans="1:14">
      <c r="A22" s="950"/>
      <c r="B22" s="25">
        <v>20</v>
      </c>
      <c r="C22" s="25"/>
      <c r="D22" s="25"/>
      <c r="E22" s="25"/>
      <c r="F22" s="29"/>
      <c r="G22" s="48"/>
      <c r="H22" s="25"/>
      <c r="I22" s="25"/>
      <c r="J22" s="49"/>
      <c r="K22" s="35"/>
      <c r="L22" s="25"/>
      <c r="M22" s="25"/>
      <c r="N22" s="25"/>
    </row>
    <row r="23" spans="1:14">
      <c r="A23" s="950" t="s">
        <v>381</v>
      </c>
      <c r="B23" s="20">
        <v>21</v>
      </c>
      <c r="C23" s="20"/>
      <c r="D23" s="20"/>
      <c r="E23" s="20"/>
      <c r="F23" s="30"/>
      <c r="G23" s="50"/>
      <c r="H23" s="20"/>
      <c r="I23" s="20"/>
      <c r="J23" s="51"/>
      <c r="K23" s="36"/>
      <c r="L23" s="20"/>
      <c r="M23" s="20"/>
      <c r="N23" s="20"/>
    </row>
    <row r="24" spans="1:14">
      <c r="A24" s="950"/>
      <c r="B24" s="20">
        <v>22</v>
      </c>
      <c r="C24" s="20"/>
      <c r="D24" s="20"/>
      <c r="E24" s="20"/>
      <c r="F24" s="30"/>
      <c r="G24" s="50"/>
      <c r="H24" s="20"/>
      <c r="I24" s="20"/>
      <c r="J24" s="51"/>
      <c r="K24" s="36"/>
      <c r="L24" s="20"/>
      <c r="M24" s="20"/>
      <c r="N24" s="20"/>
    </row>
    <row r="25" spans="1:14">
      <c r="A25" s="950"/>
      <c r="B25" s="20">
        <v>23</v>
      </c>
      <c r="C25" s="20"/>
      <c r="D25" s="20"/>
      <c r="E25" s="20"/>
      <c r="F25" s="30"/>
      <c r="G25" s="50"/>
      <c r="H25" s="20"/>
      <c r="I25" s="20"/>
      <c r="J25" s="51"/>
      <c r="K25" s="36"/>
      <c r="L25" s="20"/>
      <c r="M25" s="20"/>
      <c r="N25" s="20"/>
    </row>
    <row r="26" spans="1:14">
      <c r="A26" s="950"/>
      <c r="B26" s="20">
        <v>24</v>
      </c>
      <c r="C26" s="20"/>
      <c r="D26" s="20"/>
      <c r="E26" s="20"/>
      <c r="F26" s="30"/>
      <c r="G26" s="50"/>
      <c r="H26" s="20"/>
      <c r="I26" s="20"/>
      <c r="J26" s="51"/>
      <c r="K26" s="36"/>
      <c r="L26" s="20"/>
      <c r="M26" s="20"/>
      <c r="N26" s="20"/>
    </row>
    <row r="27" spans="1:14">
      <c r="A27" s="950" t="s">
        <v>382</v>
      </c>
      <c r="B27" s="16">
        <v>25</v>
      </c>
      <c r="C27" s="16"/>
      <c r="D27" s="16"/>
      <c r="E27" s="16"/>
      <c r="F27" s="16"/>
      <c r="G27" s="16"/>
      <c r="H27" s="16"/>
      <c r="I27" s="16"/>
      <c r="J27" s="16"/>
      <c r="K27" s="16"/>
      <c r="L27" s="16"/>
      <c r="M27" s="16"/>
      <c r="N27" s="16"/>
    </row>
    <row r="28" spans="1:14">
      <c r="A28" s="950"/>
      <c r="B28" s="16">
        <v>26</v>
      </c>
      <c r="C28" s="16"/>
      <c r="D28" s="16"/>
      <c r="E28" s="16"/>
      <c r="F28" s="16"/>
      <c r="G28" s="16"/>
      <c r="H28" s="16"/>
      <c r="I28" s="16"/>
      <c r="J28" s="16"/>
      <c r="K28" s="16"/>
      <c r="L28" s="16"/>
      <c r="M28" s="16"/>
      <c r="N28" s="16"/>
    </row>
    <row r="29" spans="1:14">
      <c r="A29" s="950"/>
      <c r="B29" s="16">
        <v>27</v>
      </c>
      <c r="C29" s="16"/>
      <c r="D29" s="16"/>
      <c r="E29" s="16"/>
      <c r="F29" s="16"/>
      <c r="G29" s="16"/>
      <c r="H29" s="16"/>
      <c r="I29" s="16"/>
      <c r="J29" s="16"/>
      <c r="K29" s="16"/>
      <c r="L29" s="16"/>
      <c r="M29" s="16"/>
      <c r="N29" s="16"/>
    </row>
    <row r="30" spans="1:14">
      <c r="A30" s="950"/>
      <c r="B30" s="16">
        <v>28</v>
      </c>
      <c r="C30" s="16"/>
      <c r="D30" s="16"/>
      <c r="E30" s="16"/>
      <c r="F30" s="16"/>
      <c r="G30" s="16"/>
      <c r="H30" s="16"/>
      <c r="I30" s="16"/>
      <c r="J30" s="16"/>
      <c r="K30" s="16"/>
      <c r="L30" s="16"/>
      <c r="M30" s="16"/>
      <c r="N30" s="16"/>
    </row>
    <row r="31" spans="1:14">
      <c r="A31" s="950"/>
      <c r="B31" s="16">
        <v>29</v>
      </c>
      <c r="C31" s="16"/>
      <c r="D31" s="16"/>
      <c r="E31" s="16"/>
      <c r="F31" s="16"/>
      <c r="G31" s="16"/>
      <c r="H31" s="16"/>
      <c r="I31" s="16"/>
      <c r="J31" s="16"/>
      <c r="K31" s="16"/>
      <c r="L31" s="16"/>
      <c r="M31" s="16"/>
      <c r="N31" s="16"/>
    </row>
    <row r="32" spans="1:14">
      <c r="A32" s="950" t="s">
        <v>383</v>
      </c>
      <c r="B32" s="23">
        <v>30</v>
      </c>
      <c r="C32" s="23"/>
      <c r="D32" s="23"/>
      <c r="E32" s="23"/>
      <c r="F32" s="23"/>
      <c r="G32" s="23"/>
      <c r="H32" s="23"/>
      <c r="I32" s="23"/>
      <c r="J32" s="23"/>
      <c r="K32" s="23"/>
      <c r="L32" s="23"/>
      <c r="M32" s="23"/>
      <c r="N32" s="23"/>
    </row>
    <row r="33" spans="1:14">
      <c r="A33" s="950"/>
      <c r="B33" s="23">
        <v>31</v>
      </c>
      <c r="C33" s="23"/>
      <c r="D33" s="23"/>
      <c r="E33" s="23"/>
      <c r="F33" s="23"/>
      <c r="G33" s="23"/>
      <c r="H33" s="23"/>
      <c r="I33" s="23"/>
      <c r="J33" s="23"/>
      <c r="K33" s="23"/>
      <c r="L33" s="23"/>
      <c r="M33" s="23"/>
      <c r="N33" s="23"/>
    </row>
    <row r="34" spans="1:14">
      <c r="A34" s="950"/>
      <c r="B34" s="23">
        <v>32</v>
      </c>
      <c r="C34" s="23"/>
      <c r="D34" s="23"/>
      <c r="E34" s="23"/>
      <c r="F34" s="23"/>
      <c r="G34" s="23"/>
      <c r="H34" s="23"/>
      <c r="I34" s="23"/>
      <c r="J34" s="23"/>
      <c r="K34" s="23"/>
      <c r="L34" s="23"/>
      <c r="M34" s="23"/>
      <c r="N34" s="23"/>
    </row>
    <row r="35" spans="1:14">
      <c r="A35" s="950" t="s">
        <v>384</v>
      </c>
      <c r="B35" s="24">
        <v>33</v>
      </c>
      <c r="C35" s="21"/>
      <c r="D35" s="21"/>
      <c r="E35" s="21"/>
      <c r="F35" s="21"/>
      <c r="G35" s="21"/>
      <c r="H35" s="21"/>
      <c r="I35" s="21"/>
      <c r="J35" s="21"/>
      <c r="K35" s="21"/>
      <c r="L35" s="21"/>
      <c r="M35" s="21"/>
      <c r="N35" s="21"/>
    </row>
    <row r="36" spans="1:14">
      <c r="A36" s="950"/>
      <c r="B36" s="21">
        <v>34</v>
      </c>
      <c r="C36" s="21"/>
      <c r="D36" s="21"/>
      <c r="E36" s="21"/>
      <c r="F36" s="21"/>
      <c r="G36" s="21"/>
      <c r="H36" s="21"/>
      <c r="I36" s="21"/>
      <c r="J36" s="21"/>
      <c r="K36" s="21"/>
      <c r="L36" s="21"/>
      <c r="M36" s="21"/>
      <c r="N36" s="21"/>
    </row>
    <row r="37" spans="1:14">
      <c r="A37" s="950"/>
      <c r="B37" s="52">
        <v>35</v>
      </c>
      <c r="C37" s="21"/>
      <c r="D37" s="21"/>
      <c r="E37" s="21"/>
      <c r="F37" s="21"/>
      <c r="G37" s="21"/>
      <c r="H37" s="21"/>
      <c r="I37" s="21"/>
      <c r="J37" s="21"/>
      <c r="K37" s="21"/>
      <c r="L37" s="21"/>
      <c r="M37" s="21"/>
      <c r="N37" s="21"/>
    </row>
    <row r="38" spans="1:14">
      <c r="A38" s="950" t="s">
        <v>385</v>
      </c>
      <c r="B38" s="15">
        <v>36</v>
      </c>
      <c r="C38" s="15"/>
      <c r="D38" s="15"/>
      <c r="E38" s="15"/>
      <c r="F38" s="15"/>
      <c r="G38" s="15"/>
      <c r="H38" s="15"/>
      <c r="I38" s="15"/>
      <c r="J38" s="15"/>
      <c r="K38" s="15"/>
      <c r="L38" s="15"/>
      <c r="M38" s="15"/>
      <c r="N38" s="15"/>
    </row>
    <row r="39" spans="1:14">
      <c r="A39" s="950"/>
      <c r="B39" s="15">
        <v>37</v>
      </c>
      <c r="C39" s="15"/>
      <c r="D39" s="15"/>
      <c r="E39" s="15"/>
      <c r="F39" s="15"/>
      <c r="G39" s="15"/>
      <c r="H39" s="15"/>
      <c r="I39" s="15"/>
      <c r="J39" s="15"/>
      <c r="K39" s="15"/>
      <c r="L39" s="15"/>
      <c r="M39" s="15"/>
      <c r="N39" s="15"/>
    </row>
    <row r="40" spans="1:14">
      <c r="A40" s="950"/>
      <c r="B40" s="15">
        <v>38</v>
      </c>
      <c r="C40" s="15"/>
      <c r="D40" s="15"/>
      <c r="E40" s="15"/>
      <c r="F40" s="15"/>
      <c r="G40" s="15"/>
      <c r="H40" s="15"/>
      <c r="I40" s="15"/>
      <c r="J40" s="15"/>
      <c r="K40" s="15"/>
      <c r="L40" s="15"/>
      <c r="M40" s="15"/>
      <c r="N40" s="15"/>
    </row>
    <row r="41" spans="1:14">
      <c r="A41" s="956" t="s">
        <v>386</v>
      </c>
      <c r="B41" s="53">
        <v>39</v>
      </c>
      <c r="C41" s="54"/>
      <c r="D41" s="54"/>
      <c r="E41" s="54"/>
      <c r="F41" s="54"/>
      <c r="G41" s="54"/>
      <c r="H41" s="54"/>
      <c r="I41" s="54"/>
      <c r="J41" s="54"/>
      <c r="K41" s="54"/>
      <c r="L41" s="54"/>
      <c r="M41" s="54"/>
      <c r="N41" s="54"/>
    </row>
    <row r="42" spans="1:14">
      <c r="A42" s="956"/>
      <c r="B42" s="54">
        <v>40</v>
      </c>
      <c r="C42" s="54"/>
      <c r="D42" s="54"/>
      <c r="E42" s="54"/>
      <c r="F42" s="54"/>
      <c r="G42" s="54"/>
      <c r="H42" s="54"/>
      <c r="I42" s="54"/>
      <c r="J42" s="54"/>
      <c r="K42" s="54"/>
      <c r="L42" s="54"/>
      <c r="M42" s="54"/>
      <c r="N42" s="54"/>
    </row>
    <row r="43" spans="1:14">
      <c r="A43" s="956"/>
      <c r="B43" s="54">
        <v>41</v>
      </c>
      <c r="C43" s="54"/>
      <c r="D43" s="54"/>
      <c r="E43" s="54"/>
      <c r="F43" s="54"/>
      <c r="G43" s="54"/>
      <c r="H43" s="54"/>
      <c r="I43" s="54"/>
      <c r="J43" s="54"/>
      <c r="K43" s="54"/>
      <c r="L43" s="54"/>
      <c r="M43" s="54"/>
      <c r="N43" s="54"/>
    </row>
    <row r="44" spans="1:14">
      <c r="A44" s="956"/>
      <c r="B44" s="55">
        <v>42</v>
      </c>
      <c r="C44" s="54"/>
      <c r="D44" s="54"/>
      <c r="E44" s="54"/>
      <c r="F44" s="54"/>
      <c r="G44" s="54"/>
      <c r="H44" s="54"/>
      <c r="I44" s="54"/>
      <c r="J44" s="54"/>
      <c r="K44" s="54"/>
      <c r="L44" s="54"/>
      <c r="M44" s="54"/>
      <c r="N44" s="54"/>
    </row>
    <row r="45" spans="1:14">
      <c r="A45" s="949" t="s">
        <v>387</v>
      </c>
      <c r="B45" s="19">
        <v>43</v>
      </c>
      <c r="C45" s="19"/>
      <c r="D45" s="19"/>
      <c r="E45" s="19"/>
      <c r="F45" s="19"/>
      <c r="G45" s="19"/>
      <c r="H45" s="19"/>
      <c r="I45" s="19"/>
      <c r="J45" s="19"/>
      <c r="K45" s="19"/>
      <c r="L45" s="19"/>
      <c r="M45" s="19"/>
      <c r="N45" s="19"/>
    </row>
    <row r="46" spans="1:14">
      <c r="A46" s="949"/>
      <c r="B46" s="19">
        <v>44</v>
      </c>
      <c r="C46" s="19"/>
      <c r="D46" s="19"/>
      <c r="E46" s="19"/>
      <c r="F46" s="19"/>
      <c r="G46" s="19"/>
      <c r="H46" s="19"/>
      <c r="I46" s="19"/>
      <c r="J46" s="19"/>
      <c r="K46" s="19"/>
      <c r="L46" s="19"/>
      <c r="M46" s="19"/>
      <c r="N46" s="19"/>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O83"/>
  <sheetViews>
    <sheetView tabSelected="1" topLeftCell="B1" zoomScale="75" zoomScaleNormal="90" zoomScaleSheetLayoutView="75" workbookViewId="0">
      <selection activeCell="B1" sqref="B1:Y1"/>
    </sheetView>
  </sheetViews>
  <sheetFormatPr baseColWidth="10" defaultColWidth="11.42578125" defaultRowHeight="15"/>
  <cols>
    <col min="1" max="1" width="38.42578125" style="119" customWidth="1"/>
    <col min="2" max="3" width="17.42578125" style="119" customWidth="1"/>
    <col min="4" max="6" width="7.42578125" style="119" customWidth="1"/>
    <col min="7" max="7" width="9.7109375" style="119" customWidth="1"/>
    <col min="8" max="15" width="7.42578125" style="119" customWidth="1"/>
    <col min="16" max="16" width="13.42578125" style="119" customWidth="1"/>
    <col min="17" max="20" width="17.42578125" style="119" customWidth="1"/>
    <col min="21" max="24" width="14.42578125" style="119" customWidth="1"/>
    <col min="25" max="28" width="20.42578125" style="119" customWidth="1"/>
    <col min="29" max="29" width="6.42578125" style="159" customWidth="1"/>
    <col min="30" max="30" width="15" style="119" customWidth="1"/>
    <col min="31" max="31" width="5.7109375" style="119" bestFit="1" customWidth="1"/>
    <col min="32" max="32" width="8.42578125" style="119" customWidth="1"/>
    <col min="33" max="33" width="41.28515625" style="119" customWidth="1"/>
    <col min="34" max="34" width="5.42578125" style="119" customWidth="1"/>
    <col min="35" max="35" width="18.42578125" style="119" bestFit="1" customWidth="1"/>
    <col min="36" max="36" width="4.4257812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9"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9"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9"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9"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29"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9"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9"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9"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9"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9"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9"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29"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9" s="78" customFormat="1" ht="37.5" customHeight="1" thickBot="1">
      <c r="A13" s="637" t="s">
        <v>22</v>
      </c>
      <c r="B13" s="638"/>
      <c r="C13" s="699" t="s">
        <v>23</v>
      </c>
      <c r="D13" s="700"/>
      <c r="E13" s="700"/>
      <c r="F13" s="700"/>
      <c r="G13" s="700"/>
      <c r="H13" s="700"/>
      <c r="I13" s="700"/>
      <c r="J13" s="700"/>
      <c r="K13" s="700"/>
      <c r="L13" s="700"/>
      <c r="M13" s="700"/>
      <c r="N13" s="700"/>
      <c r="O13" s="700"/>
      <c r="P13" s="700"/>
      <c r="Q13" s="701"/>
      <c r="R13" s="6"/>
      <c r="S13" s="515" t="s">
        <v>24</v>
      </c>
      <c r="T13" s="515"/>
      <c r="U13" s="79" t="str">
        <f>+Ponderación!E95</f>
        <v>0.70</v>
      </c>
      <c r="V13" s="702" t="s">
        <v>25</v>
      </c>
      <c r="W13" s="515"/>
      <c r="X13" s="515"/>
      <c r="Y13" s="515"/>
      <c r="Z13" s="6"/>
      <c r="AA13" s="703">
        <f>B30</f>
        <v>0.1</v>
      </c>
      <c r="AB13" s="704"/>
      <c r="AC13" s="160"/>
    </row>
    <row r="14" spans="1:29"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9"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9" ht="35.25" customHeight="1" thickBot="1">
      <c r="A16" s="609"/>
      <c r="B16" s="610"/>
      <c r="C16" s="74"/>
      <c r="D16" s="617"/>
      <c r="E16" s="519"/>
      <c r="F16" s="517"/>
      <c r="G16" s="519"/>
      <c r="H16" s="618" t="s">
        <v>32</v>
      </c>
      <c r="I16" s="619"/>
      <c r="J16" s="413"/>
      <c r="K16" s="413"/>
      <c r="L16" s="413"/>
      <c r="M16" s="3"/>
      <c r="N16" s="3"/>
      <c r="O16" s="3"/>
      <c r="P16" s="3"/>
      <c r="Q16" s="620" t="s">
        <v>33</v>
      </c>
      <c r="R16" s="621"/>
      <c r="S16" s="621"/>
      <c r="T16" s="621"/>
      <c r="U16" s="621"/>
      <c r="V16" s="622"/>
      <c r="W16" s="623" t="s">
        <v>34</v>
      </c>
      <c r="X16" s="621"/>
      <c r="Y16" s="621"/>
      <c r="Z16" s="621"/>
      <c r="AA16" s="621"/>
      <c r="AB16" s="624"/>
    </row>
    <row r="17" spans="1:40" ht="27" customHeight="1">
      <c r="A17" s="2"/>
      <c r="B17" s="3"/>
      <c r="C17" s="3"/>
      <c r="D17" s="8"/>
      <c r="E17" s="8"/>
      <c r="F17" s="8"/>
      <c r="G17" s="8"/>
      <c r="H17" s="8"/>
      <c r="I17" s="8"/>
      <c r="J17" s="8"/>
      <c r="K17" s="8"/>
      <c r="L17" s="8"/>
      <c r="M17" s="3"/>
      <c r="N17" s="3"/>
      <c r="O17" s="3"/>
      <c r="P17" s="3"/>
      <c r="Q17" s="627" t="s">
        <v>35</v>
      </c>
      <c r="R17" s="628"/>
      <c r="S17" s="629"/>
      <c r="T17" s="630" t="s">
        <v>36</v>
      </c>
      <c r="U17" s="628"/>
      <c r="V17" s="629"/>
      <c r="W17" s="630" t="s">
        <v>35</v>
      </c>
      <c r="X17" s="628"/>
      <c r="Y17" s="629"/>
      <c r="Z17" s="630" t="s">
        <v>36</v>
      </c>
      <c r="AA17" s="628"/>
      <c r="AB17" s="631"/>
      <c r="AD17" s="322"/>
    </row>
    <row r="18" spans="1:40" ht="20.100000000000001" customHeight="1" thickBot="1">
      <c r="A18" s="5"/>
      <c r="B18" s="6"/>
      <c r="C18" s="8"/>
      <c r="D18" s="8"/>
      <c r="E18" s="8"/>
      <c r="F18" s="8"/>
      <c r="G18" s="128"/>
      <c r="H18" s="128"/>
      <c r="I18" s="128"/>
      <c r="J18" s="128"/>
      <c r="K18" s="128"/>
      <c r="L18" s="128"/>
      <c r="M18" s="8"/>
      <c r="N18" s="8"/>
      <c r="O18" s="8"/>
      <c r="P18" s="8"/>
      <c r="Q18" s="632">
        <v>9000000</v>
      </c>
      <c r="R18" s="633"/>
      <c r="S18" s="634"/>
      <c r="T18" s="632">
        <v>9000000</v>
      </c>
      <c r="U18" s="633"/>
      <c r="V18" s="634"/>
      <c r="W18" s="635">
        <f>+Ponderación!E4</f>
        <v>1480301973.72</v>
      </c>
      <c r="X18" s="633"/>
      <c r="Y18" s="634"/>
      <c r="Z18" s="635">
        <v>1198983215</v>
      </c>
      <c r="AA18" s="633"/>
      <c r="AB18" s="636"/>
      <c r="AC18" s="165"/>
      <c r="AD18" s="129"/>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573" t="str">
        <f>+C13</f>
        <v>Diseñar documento de lineamientos técnicos para la formulación de las bases del Sistema Distrital de Cuidado. (Objetivo 1) (Indicador 2. Meta PDD)</v>
      </c>
      <c r="B23" s="575" t="s">
        <v>43</v>
      </c>
      <c r="C23" s="576"/>
      <c r="D23" s="579"/>
      <c r="E23" s="580"/>
      <c r="F23" s="581"/>
      <c r="G23" s="585"/>
      <c r="H23" s="586"/>
      <c r="I23" s="587"/>
      <c r="J23" s="591"/>
      <c r="K23" s="592"/>
      <c r="L23" s="593"/>
      <c r="M23" s="591" t="s">
        <v>32</v>
      </c>
      <c r="N23" s="592"/>
      <c r="O23" s="593"/>
      <c r="P23" s="563"/>
      <c r="Q23" s="565" t="s">
        <v>44</v>
      </c>
      <c r="R23" s="565"/>
      <c r="S23" s="565"/>
      <c r="T23" s="565"/>
      <c r="U23" s="565"/>
      <c r="V23" s="565"/>
      <c r="W23" s="565"/>
      <c r="X23" s="565"/>
      <c r="Y23" s="565"/>
      <c r="Z23" s="565"/>
      <c r="AA23" s="565"/>
      <c r="AB23" s="566"/>
    </row>
    <row r="24" spans="1:40" ht="15" customHeight="1">
      <c r="A24" s="573"/>
      <c r="B24" s="577"/>
      <c r="C24" s="578"/>
      <c r="D24" s="582"/>
      <c r="E24" s="583"/>
      <c r="F24" s="584"/>
      <c r="G24" s="588"/>
      <c r="H24" s="589"/>
      <c r="I24" s="590"/>
      <c r="J24" s="594"/>
      <c r="K24" s="595"/>
      <c r="L24" s="596"/>
      <c r="M24" s="594"/>
      <c r="N24" s="595"/>
      <c r="O24" s="596"/>
      <c r="P24" s="564"/>
      <c r="Q24" s="565"/>
      <c r="R24" s="565"/>
      <c r="S24" s="565"/>
      <c r="T24" s="565"/>
      <c r="U24" s="565"/>
      <c r="V24" s="565"/>
      <c r="W24" s="565"/>
      <c r="X24" s="565"/>
      <c r="Y24" s="565"/>
      <c r="Z24" s="565"/>
      <c r="AA24" s="565"/>
      <c r="AB24" s="566"/>
    </row>
    <row r="25" spans="1:40" ht="15" customHeight="1">
      <c r="A25" s="573"/>
      <c r="B25" s="577"/>
      <c r="C25" s="578"/>
      <c r="D25" s="582"/>
      <c r="E25" s="583"/>
      <c r="F25" s="584"/>
      <c r="G25" s="588"/>
      <c r="H25" s="589"/>
      <c r="I25" s="590"/>
      <c r="J25" s="594"/>
      <c r="K25" s="595"/>
      <c r="L25" s="596"/>
      <c r="M25" s="594"/>
      <c r="N25" s="595"/>
      <c r="O25" s="596"/>
      <c r="P25" s="564"/>
      <c r="Q25" s="565"/>
      <c r="R25" s="565"/>
      <c r="S25" s="565"/>
      <c r="T25" s="565"/>
      <c r="U25" s="565"/>
      <c r="V25" s="565"/>
      <c r="W25" s="565"/>
      <c r="X25" s="565"/>
      <c r="Y25" s="565"/>
      <c r="Z25" s="565"/>
      <c r="AA25" s="565"/>
      <c r="AB25" s="566"/>
    </row>
    <row r="26" spans="1:40" ht="15" customHeight="1" thickBot="1">
      <c r="A26" s="574"/>
      <c r="B26" s="577"/>
      <c r="C26" s="578"/>
      <c r="D26" s="582"/>
      <c r="E26" s="583"/>
      <c r="F26" s="584"/>
      <c r="G26" s="588"/>
      <c r="H26" s="589"/>
      <c r="I26" s="590"/>
      <c r="J26" s="594"/>
      <c r="K26" s="595"/>
      <c r="L26" s="596"/>
      <c r="M26" s="594"/>
      <c r="N26" s="595"/>
      <c r="O26" s="596"/>
      <c r="P26" s="564"/>
      <c r="Q26" s="567"/>
      <c r="R26" s="567"/>
      <c r="S26" s="567"/>
      <c r="T26" s="567"/>
      <c r="U26" s="567"/>
      <c r="V26" s="567"/>
      <c r="W26" s="567"/>
      <c r="X26" s="567"/>
      <c r="Y26" s="567"/>
      <c r="Z26" s="567"/>
      <c r="AA26" s="567"/>
      <c r="AB26" s="568"/>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E28" s="130"/>
      <c r="AF28" s="130"/>
      <c r="AG28" s="130"/>
      <c r="AH28" s="130"/>
      <c r="AI28" s="321"/>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E29" s="130"/>
      <c r="AF29" s="130"/>
      <c r="AG29" s="130"/>
      <c r="AH29" s="130"/>
      <c r="AI29" s="321"/>
      <c r="AJ29" s="130"/>
      <c r="AK29" s="130"/>
      <c r="AL29" s="130"/>
      <c r="AM29" s="130"/>
      <c r="AN29" s="131"/>
    </row>
    <row r="30" spans="1:40" ht="323.10000000000002" customHeight="1" thickBot="1">
      <c r="A30" s="257" t="str">
        <f>+C13</f>
        <v>Diseñar documento de lineamientos técnicos para la formulación de las bases del Sistema Distrital de Cuidado. (Objetivo 1) (Indicador 2. Meta PDD)</v>
      </c>
      <c r="B30" s="184">
        <f>B35+B38+B41+B44+B47+B50</f>
        <v>0.1</v>
      </c>
      <c r="C30" s="94">
        <v>0.7</v>
      </c>
      <c r="D30" s="295">
        <f>+D74</f>
        <v>0.30199999999999999</v>
      </c>
      <c r="E30" s="295">
        <f t="shared" ref="E30:O30" si="0">+E74</f>
        <v>0.35199999999999998</v>
      </c>
      <c r="F30" s="295">
        <f t="shared" si="0"/>
        <v>0.4032</v>
      </c>
      <c r="G30" s="295">
        <f t="shared" si="0"/>
        <v>0.45639999999999992</v>
      </c>
      <c r="H30" s="295">
        <f t="shared" si="0"/>
        <v>0.51079999999999992</v>
      </c>
      <c r="I30" s="295">
        <f t="shared" si="0"/>
        <v>0.55719999999999992</v>
      </c>
      <c r="J30" s="295">
        <f t="shared" si="0"/>
        <v>0.5835999999999999</v>
      </c>
      <c r="K30" s="295">
        <f t="shared" si="0"/>
        <v>0.60759999999999992</v>
      </c>
      <c r="L30" s="295">
        <f t="shared" si="0"/>
        <v>0.63</v>
      </c>
      <c r="M30" s="295">
        <f t="shared" si="0"/>
        <v>0.6532</v>
      </c>
      <c r="N30" s="295">
        <f t="shared" si="0"/>
        <v>0.67720000000000002</v>
      </c>
      <c r="O30" s="295">
        <f t="shared" si="0"/>
        <v>0.69279999999999997</v>
      </c>
      <c r="P30" s="295">
        <f>O30</f>
        <v>0.69279999999999997</v>
      </c>
      <c r="Q30" s="547" t="s">
        <v>407</v>
      </c>
      <c r="R30" s="547"/>
      <c r="S30" s="547"/>
      <c r="T30" s="548"/>
      <c r="U30" s="551" t="s">
        <v>63</v>
      </c>
      <c r="V30" s="552"/>
      <c r="W30" s="552"/>
      <c r="X30" s="553"/>
      <c r="Y30" s="557" t="s">
        <v>64</v>
      </c>
      <c r="Z30" s="558"/>
      <c r="AA30" s="558"/>
      <c r="AB30" s="559"/>
      <c r="AC30" s="161"/>
      <c r="AD30" s="345">
        <f>LEN(Q30)</f>
        <v>812</v>
      </c>
      <c r="AE30" s="297"/>
      <c r="AF30" s="296"/>
      <c r="AG30" s="296" t="s">
        <v>414</v>
      </c>
      <c r="AH30" s="130"/>
      <c r="AI30" s="321">
        <f>+LEN(AG30)</f>
        <v>266</v>
      </c>
      <c r="AJ30" s="400"/>
      <c r="AK30" s="400"/>
      <c r="AL30" s="130"/>
      <c r="AM30" s="130"/>
      <c r="AN30" s="131"/>
    </row>
    <row r="31" spans="1:40" ht="42" customHeight="1" thickBot="1">
      <c r="A31" s="544" t="s">
        <v>65</v>
      </c>
      <c r="B31" s="545"/>
      <c r="C31" s="546"/>
      <c r="D31" s="389">
        <f>+D73</f>
        <v>3.5000000000000005E-3</v>
      </c>
      <c r="E31" s="389">
        <f t="shared" ref="E31:I31" si="1">+E73</f>
        <v>8.7499999999999981E-2</v>
      </c>
      <c r="F31" s="389">
        <f t="shared" si="1"/>
        <v>8.9599999999999985E-2</v>
      </c>
      <c r="G31" s="389">
        <f t="shared" si="1"/>
        <v>9.3099999999999988E-2</v>
      </c>
      <c r="H31" s="389">
        <f t="shared" si="1"/>
        <v>9.5200000000000007E-2</v>
      </c>
      <c r="I31" s="389">
        <f t="shared" si="1"/>
        <v>8.1199999999999981E-2</v>
      </c>
      <c r="J31" s="389"/>
      <c r="K31" s="389"/>
      <c r="L31" s="389"/>
      <c r="M31" s="389"/>
      <c r="N31" s="389"/>
      <c r="O31" s="389"/>
      <c r="P31" s="390">
        <f>SUM(D31:O31)</f>
        <v>0.45009999999999994</v>
      </c>
      <c r="Q31" s="549"/>
      <c r="R31" s="549"/>
      <c r="S31" s="549"/>
      <c r="T31" s="550"/>
      <c r="U31" s="554"/>
      <c r="V31" s="555"/>
      <c r="W31" s="555"/>
      <c r="X31" s="556"/>
      <c r="Y31" s="560"/>
      <c r="Z31" s="561"/>
      <c r="AA31" s="561"/>
      <c r="AB31" s="562"/>
      <c r="AC31" s="161"/>
      <c r="AD31" s="345"/>
      <c r="AE31" s="297"/>
      <c r="AF31" s="296"/>
      <c r="AG31" s="296"/>
      <c r="AH31" s="130"/>
      <c r="AI31" s="321"/>
      <c r="AJ31" s="400"/>
      <c r="AK31" s="400"/>
      <c r="AL31" s="130"/>
      <c r="AM31" s="130"/>
      <c r="AN31" s="131"/>
    </row>
    <row r="32" spans="1:40" ht="18" customHeight="1">
      <c r="A32" s="537"/>
      <c r="B32" s="538"/>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40"/>
      <c r="AD32" s="134"/>
      <c r="AE32" s="130"/>
      <c r="AF32" s="130"/>
      <c r="AG32" s="477" t="s">
        <v>416</v>
      </c>
      <c r="AH32" s="130"/>
      <c r="AI32" s="321"/>
      <c r="AJ32" s="400"/>
      <c r="AK32" s="400"/>
      <c r="AL32" s="130"/>
      <c r="AM32" s="130"/>
      <c r="AN32" s="131"/>
    </row>
    <row r="33" spans="1:40" ht="15" customHeight="1">
      <c r="A33" s="541" t="s">
        <v>66</v>
      </c>
      <c r="B33" s="542" t="s">
        <v>67</v>
      </c>
      <c r="C33" s="542" t="s">
        <v>68</v>
      </c>
      <c r="D33" s="542"/>
      <c r="E33" s="542"/>
      <c r="F33" s="542"/>
      <c r="G33" s="542"/>
      <c r="H33" s="542"/>
      <c r="I33" s="542"/>
      <c r="J33" s="542"/>
      <c r="K33" s="542"/>
      <c r="L33" s="542"/>
      <c r="M33" s="542"/>
      <c r="N33" s="542"/>
      <c r="O33" s="542"/>
      <c r="P33" s="542"/>
      <c r="Q33" s="542" t="s">
        <v>69</v>
      </c>
      <c r="R33" s="542"/>
      <c r="S33" s="542"/>
      <c r="T33" s="542"/>
      <c r="U33" s="542"/>
      <c r="V33" s="542"/>
      <c r="W33" s="542"/>
      <c r="X33" s="542"/>
      <c r="Y33" s="542"/>
      <c r="Z33" s="542"/>
      <c r="AA33" s="542"/>
      <c r="AB33" s="543"/>
      <c r="AE33" s="130"/>
      <c r="AF33" s="130"/>
      <c r="AG33" s="477"/>
      <c r="AH33" s="130"/>
      <c r="AI33" s="321"/>
      <c r="AJ33" s="400"/>
      <c r="AK33" s="400"/>
      <c r="AL33" s="130"/>
      <c r="AM33" s="130"/>
      <c r="AN33" s="131"/>
    </row>
    <row r="34" spans="1:40" ht="25.5" customHeight="1">
      <c r="A34" s="541"/>
      <c r="B34" s="542"/>
      <c r="C34" s="448" t="s">
        <v>70</v>
      </c>
      <c r="D34" s="448" t="s">
        <v>48</v>
      </c>
      <c r="E34" s="448" t="s">
        <v>49</v>
      </c>
      <c r="F34" s="448" t="s">
        <v>50</v>
      </c>
      <c r="G34" s="448" t="s">
        <v>51</v>
      </c>
      <c r="H34" s="448" t="s">
        <v>52</v>
      </c>
      <c r="I34" s="448" t="s">
        <v>53</v>
      </c>
      <c r="J34" s="448" t="s">
        <v>54</v>
      </c>
      <c r="K34" s="448" t="s">
        <v>55</v>
      </c>
      <c r="L34" s="448" t="s">
        <v>56</v>
      </c>
      <c r="M34" s="448" t="s">
        <v>57</v>
      </c>
      <c r="N34" s="448" t="s">
        <v>58</v>
      </c>
      <c r="O34" s="448" t="s">
        <v>59</v>
      </c>
      <c r="P34" s="107" t="s">
        <v>71</v>
      </c>
      <c r="Q34" s="542" t="s">
        <v>72</v>
      </c>
      <c r="R34" s="542"/>
      <c r="S34" s="542"/>
      <c r="T34" s="542"/>
      <c r="U34" s="542"/>
      <c r="V34" s="542"/>
      <c r="W34" s="542"/>
      <c r="X34" s="542"/>
      <c r="Y34" s="542"/>
      <c r="Z34" s="542"/>
      <c r="AA34" s="542"/>
      <c r="AB34" s="543"/>
      <c r="AE34" s="135"/>
      <c r="AF34" s="135"/>
      <c r="AG34" s="477"/>
      <c r="AH34" s="135"/>
      <c r="AI34" s="362"/>
      <c r="AJ34" s="401"/>
      <c r="AK34" s="401"/>
      <c r="AL34" s="135"/>
      <c r="AM34" s="135"/>
      <c r="AN34" s="131"/>
    </row>
    <row r="35" spans="1:40" ht="41.1" customHeight="1">
      <c r="A35" s="493" t="s">
        <v>73</v>
      </c>
      <c r="B35" s="494">
        <v>0.01</v>
      </c>
      <c r="C35" s="57" t="s">
        <v>74</v>
      </c>
      <c r="D35" s="59">
        <v>0.05</v>
      </c>
      <c r="E35" s="59">
        <v>0.09</v>
      </c>
      <c r="F35" s="59">
        <v>0.09</v>
      </c>
      <c r="G35" s="59">
        <v>0.09</v>
      </c>
      <c r="H35" s="59">
        <v>0.09</v>
      </c>
      <c r="I35" s="59">
        <v>0.09</v>
      </c>
      <c r="J35" s="59">
        <v>0.09</v>
      </c>
      <c r="K35" s="59">
        <v>0.09</v>
      </c>
      <c r="L35" s="59">
        <v>0.09</v>
      </c>
      <c r="M35" s="59">
        <v>0.09</v>
      </c>
      <c r="N35" s="59">
        <v>0.09</v>
      </c>
      <c r="O35" s="59">
        <v>0.05</v>
      </c>
      <c r="P35" s="157">
        <f>SUM(D35:O35)</f>
        <v>0.99999999999999989</v>
      </c>
      <c r="Q35" s="525" t="s">
        <v>388</v>
      </c>
      <c r="R35" s="526"/>
      <c r="S35" s="526"/>
      <c r="T35" s="526"/>
      <c r="U35" s="526"/>
      <c r="V35" s="526"/>
      <c r="W35" s="526"/>
      <c r="X35" s="526"/>
      <c r="Y35" s="526"/>
      <c r="Z35" s="526"/>
      <c r="AA35" s="526"/>
      <c r="AB35" s="527"/>
      <c r="AC35" s="372"/>
      <c r="AE35" s="136"/>
      <c r="AF35" s="136"/>
      <c r="AG35" s="477"/>
      <c r="AH35" s="130"/>
      <c r="AI35" s="321">
        <f>+LEN(AG32)</f>
        <v>217</v>
      </c>
      <c r="AJ35" s="402"/>
      <c r="AK35" s="402"/>
      <c r="AL35" s="136"/>
      <c r="AM35" s="136"/>
      <c r="AN35" s="131"/>
    </row>
    <row r="36" spans="1:40" ht="41.1" customHeight="1">
      <c r="A36" s="493"/>
      <c r="B36" s="494"/>
      <c r="C36" s="58" t="s">
        <v>75</v>
      </c>
      <c r="D36" s="10">
        <v>0.05</v>
      </c>
      <c r="E36" s="10">
        <v>0.09</v>
      </c>
      <c r="F36" s="10">
        <v>0.09</v>
      </c>
      <c r="G36" s="10">
        <v>0.09</v>
      </c>
      <c r="H36" s="10">
        <v>0.09</v>
      </c>
      <c r="I36" s="10">
        <v>0.09</v>
      </c>
      <c r="J36" s="10">
        <v>0.09</v>
      </c>
      <c r="K36" s="10">
        <v>0.09</v>
      </c>
      <c r="L36" s="10">
        <v>0.09</v>
      </c>
      <c r="M36" s="10">
        <v>0.09</v>
      </c>
      <c r="N36" s="10">
        <v>0.09</v>
      </c>
      <c r="O36" s="10">
        <v>0.05</v>
      </c>
      <c r="P36" s="157">
        <f>SUM(D36:O36)</f>
        <v>0.99999999999999989</v>
      </c>
      <c r="Q36" s="528"/>
      <c r="R36" s="529"/>
      <c r="S36" s="529"/>
      <c r="T36" s="529"/>
      <c r="U36" s="529"/>
      <c r="V36" s="529"/>
      <c r="W36" s="529"/>
      <c r="X36" s="529"/>
      <c r="Y36" s="529"/>
      <c r="Z36" s="529"/>
      <c r="AA36" s="529"/>
      <c r="AB36" s="530"/>
      <c r="AC36" s="372"/>
      <c r="AE36" s="131"/>
      <c r="AF36" s="131"/>
      <c r="AG36" s="432" t="s">
        <v>76</v>
      </c>
      <c r="AH36" s="131"/>
      <c r="AI36" s="131"/>
      <c r="AJ36" s="403"/>
      <c r="AK36" s="403"/>
      <c r="AL36" s="131"/>
      <c r="AM36" s="131"/>
      <c r="AN36" s="131"/>
    </row>
    <row r="37" spans="1:40" ht="25.5" customHeight="1">
      <c r="A37" s="497"/>
      <c r="B37" s="498"/>
      <c r="C37" s="60"/>
      <c r="D37" s="60"/>
      <c r="E37" s="65"/>
      <c r="F37" s="60"/>
      <c r="G37" s="60"/>
      <c r="H37" s="60"/>
      <c r="I37" s="60"/>
      <c r="J37" s="60"/>
      <c r="K37" s="60"/>
      <c r="L37" s="60"/>
      <c r="M37" s="60"/>
      <c r="N37" s="60"/>
      <c r="O37" s="60"/>
      <c r="P37" s="137">
        <f>SUM(D37:O37)</f>
        <v>0</v>
      </c>
      <c r="Q37" s="531"/>
      <c r="R37" s="532"/>
      <c r="S37" s="532"/>
      <c r="T37" s="532"/>
      <c r="U37" s="532"/>
      <c r="V37" s="532"/>
      <c r="W37" s="532"/>
      <c r="X37" s="532"/>
      <c r="Y37" s="532"/>
      <c r="Z37" s="532"/>
      <c r="AA37" s="532"/>
      <c r="AB37" s="533"/>
      <c r="AC37" s="373"/>
      <c r="AD37" s="348">
        <f>LEN(Q35)</f>
        <v>1062</v>
      </c>
      <c r="AE37" s="131"/>
      <c r="AF37" s="131"/>
      <c r="AG37" s="131"/>
      <c r="AH37" s="131"/>
      <c r="AI37" s="131"/>
      <c r="AJ37" s="403"/>
      <c r="AK37" s="403"/>
      <c r="AL37" s="131"/>
      <c r="AM37" s="131"/>
      <c r="AN37" s="131"/>
    </row>
    <row r="38" spans="1:40" ht="41.1" customHeight="1">
      <c r="A38" s="493" t="s">
        <v>77</v>
      </c>
      <c r="B38" s="494">
        <v>0.01</v>
      </c>
      <c r="C38" s="57" t="s">
        <v>74</v>
      </c>
      <c r="D38" s="59">
        <v>0</v>
      </c>
      <c r="E38" s="59">
        <v>0</v>
      </c>
      <c r="F38" s="59">
        <v>0</v>
      </c>
      <c r="G38" s="59">
        <v>0.11</v>
      </c>
      <c r="H38" s="59">
        <v>0.11</v>
      </c>
      <c r="I38" s="59">
        <v>0.11</v>
      </c>
      <c r="J38" s="59">
        <v>0.11</v>
      </c>
      <c r="K38" s="59">
        <v>0.11</v>
      </c>
      <c r="L38" s="59">
        <v>0.11</v>
      </c>
      <c r="M38" s="59">
        <v>0.11</v>
      </c>
      <c r="N38" s="59">
        <v>0.11</v>
      </c>
      <c r="O38" s="59">
        <v>0.12</v>
      </c>
      <c r="P38" s="157">
        <f t="shared" ref="P38:P52" si="2">SUM(D38:O38)</f>
        <v>1</v>
      </c>
      <c r="Q38" s="525" t="s">
        <v>78</v>
      </c>
      <c r="R38" s="526"/>
      <c r="S38" s="526"/>
      <c r="T38" s="526"/>
      <c r="U38" s="526"/>
      <c r="V38" s="526"/>
      <c r="W38" s="526"/>
      <c r="X38" s="526"/>
      <c r="Y38" s="526"/>
      <c r="Z38" s="526"/>
      <c r="AA38" s="526"/>
      <c r="AB38" s="527"/>
      <c r="AC38" s="372"/>
      <c r="AD38" s="133"/>
      <c r="AE38" s="136"/>
      <c r="AF38" s="136"/>
      <c r="AG38" s="476"/>
      <c r="AH38" s="433"/>
      <c r="AI38" s="433"/>
      <c r="AJ38" s="402"/>
      <c r="AK38" s="402"/>
      <c r="AL38" s="136"/>
      <c r="AM38" s="136"/>
      <c r="AN38" s="131"/>
    </row>
    <row r="39" spans="1:40" ht="41.1" customHeight="1">
      <c r="A39" s="493"/>
      <c r="B39" s="494"/>
      <c r="C39" s="58" t="s">
        <v>75</v>
      </c>
      <c r="D39" s="10">
        <v>0</v>
      </c>
      <c r="E39" s="10">
        <v>0</v>
      </c>
      <c r="F39" s="10">
        <v>0.03</v>
      </c>
      <c r="G39" s="10">
        <v>0.08</v>
      </c>
      <c r="H39" s="10">
        <v>0.11</v>
      </c>
      <c r="I39" s="10">
        <v>0.11</v>
      </c>
      <c r="J39" s="10">
        <v>0.11</v>
      </c>
      <c r="K39" s="10">
        <v>0.11</v>
      </c>
      <c r="L39" s="10">
        <v>0.11</v>
      </c>
      <c r="M39" s="10">
        <v>0.11</v>
      </c>
      <c r="N39" s="10">
        <v>0.11</v>
      </c>
      <c r="O39" s="10">
        <v>0.12</v>
      </c>
      <c r="P39" s="157">
        <f>SUM(D39:O39)</f>
        <v>1</v>
      </c>
      <c r="Q39" s="528"/>
      <c r="R39" s="529"/>
      <c r="S39" s="529"/>
      <c r="T39" s="529"/>
      <c r="U39" s="529"/>
      <c r="V39" s="529"/>
      <c r="W39" s="529"/>
      <c r="X39" s="529"/>
      <c r="Y39" s="529"/>
      <c r="Z39" s="529"/>
      <c r="AA39" s="529"/>
      <c r="AB39" s="530"/>
      <c r="AC39" s="372"/>
      <c r="AE39" s="131"/>
      <c r="AF39" s="131"/>
      <c r="AG39" s="476"/>
      <c r="AH39" s="433"/>
      <c r="AI39" s="433"/>
      <c r="AJ39" s="403"/>
      <c r="AK39" s="403"/>
      <c r="AL39" s="131"/>
      <c r="AM39" s="131"/>
      <c r="AN39" s="131"/>
    </row>
    <row r="40" spans="1:40" ht="25.35" customHeight="1">
      <c r="A40" s="497"/>
      <c r="B40" s="498"/>
      <c r="C40" s="60"/>
      <c r="D40" s="60"/>
      <c r="E40" s="65"/>
      <c r="F40" s="60"/>
      <c r="G40" s="60"/>
      <c r="H40" s="60"/>
      <c r="I40" s="60"/>
      <c r="J40" s="60"/>
      <c r="K40" s="60"/>
      <c r="L40" s="60"/>
      <c r="M40" s="60"/>
      <c r="N40" s="60"/>
      <c r="O40" s="60"/>
      <c r="P40" s="137">
        <f t="shared" si="2"/>
        <v>0</v>
      </c>
      <c r="Q40" s="531"/>
      <c r="R40" s="532"/>
      <c r="S40" s="532"/>
      <c r="T40" s="532"/>
      <c r="U40" s="532"/>
      <c r="V40" s="532"/>
      <c r="W40" s="532"/>
      <c r="X40" s="532"/>
      <c r="Y40" s="532"/>
      <c r="Z40" s="532"/>
      <c r="AA40" s="532"/>
      <c r="AB40" s="533"/>
      <c r="AC40" s="373"/>
      <c r="AD40" s="348">
        <f>LEN(Q38)</f>
        <v>867</v>
      </c>
      <c r="AE40" s="131"/>
      <c r="AF40" s="131"/>
      <c r="AG40" s="433"/>
      <c r="AH40" s="433"/>
      <c r="AI40" s="433"/>
      <c r="AJ40" s="403"/>
      <c r="AK40" s="403"/>
      <c r="AL40" s="131"/>
      <c r="AM40" s="131"/>
      <c r="AN40" s="131"/>
    </row>
    <row r="41" spans="1:40" ht="42" customHeight="1">
      <c r="A41" s="493" t="s">
        <v>79</v>
      </c>
      <c r="B41" s="494">
        <v>0.02</v>
      </c>
      <c r="C41" s="57" t="s">
        <v>74</v>
      </c>
      <c r="D41" s="59">
        <v>0</v>
      </c>
      <c r="E41" s="59">
        <v>0.2</v>
      </c>
      <c r="F41" s="59">
        <v>0.2</v>
      </c>
      <c r="G41" s="59">
        <v>0.2</v>
      </c>
      <c r="H41" s="59">
        <v>0.2</v>
      </c>
      <c r="I41" s="59">
        <v>0.2</v>
      </c>
      <c r="J41" s="59">
        <v>0</v>
      </c>
      <c r="K41" s="59">
        <v>0</v>
      </c>
      <c r="L41" s="59">
        <v>0</v>
      </c>
      <c r="M41" s="59">
        <v>0</v>
      </c>
      <c r="N41" s="59">
        <v>0</v>
      </c>
      <c r="O41" s="59">
        <v>0</v>
      </c>
      <c r="P41" s="157">
        <f>SUM(D41:O41)</f>
        <v>1</v>
      </c>
      <c r="Q41" s="521" t="s">
        <v>80</v>
      </c>
      <c r="R41" s="521"/>
      <c r="S41" s="521"/>
      <c r="T41" s="521"/>
      <c r="U41" s="521"/>
      <c r="V41" s="521"/>
      <c r="W41" s="521"/>
      <c r="X41" s="521"/>
      <c r="Y41" s="521"/>
      <c r="Z41" s="521"/>
      <c r="AA41" s="521"/>
      <c r="AB41" s="522"/>
      <c r="AC41" s="372"/>
      <c r="AE41" s="136"/>
      <c r="AF41" s="136"/>
      <c r="AG41" s="433"/>
      <c r="AH41" s="433"/>
      <c r="AI41" s="433"/>
      <c r="AJ41" s="402"/>
      <c r="AK41" s="402"/>
      <c r="AL41" s="136"/>
      <c r="AM41" s="136"/>
      <c r="AN41" s="131"/>
    </row>
    <row r="42" spans="1:40" ht="42" customHeight="1">
      <c r="A42" s="493"/>
      <c r="B42" s="494"/>
      <c r="C42" s="58" t="s">
        <v>75</v>
      </c>
      <c r="D42" s="10">
        <v>0</v>
      </c>
      <c r="E42" s="10">
        <v>0.2</v>
      </c>
      <c r="F42" s="10">
        <v>0.2</v>
      </c>
      <c r="G42" s="10">
        <v>0.2</v>
      </c>
      <c r="H42" s="10">
        <v>0.2</v>
      </c>
      <c r="I42" s="10">
        <v>0.1</v>
      </c>
      <c r="J42" s="10">
        <v>0.05</v>
      </c>
      <c r="K42" s="10">
        <v>0.02</v>
      </c>
      <c r="L42" s="10">
        <v>0</v>
      </c>
      <c r="M42" s="10">
        <v>0.01</v>
      </c>
      <c r="N42" s="10">
        <v>0.02</v>
      </c>
      <c r="O42" s="10"/>
      <c r="P42" s="157">
        <f>SUM(D42:O42)</f>
        <v>1</v>
      </c>
      <c r="Q42" s="521"/>
      <c r="R42" s="521"/>
      <c r="S42" s="521"/>
      <c r="T42" s="521"/>
      <c r="U42" s="521"/>
      <c r="V42" s="521"/>
      <c r="W42" s="521"/>
      <c r="X42" s="521"/>
      <c r="Y42" s="521"/>
      <c r="Z42" s="521"/>
      <c r="AA42" s="521"/>
      <c r="AB42" s="522"/>
      <c r="AC42" s="372"/>
      <c r="AE42" s="131"/>
      <c r="AF42" s="131"/>
      <c r="AG42" s="433"/>
      <c r="AH42" s="433"/>
      <c r="AI42" s="433"/>
      <c r="AJ42" s="403"/>
      <c r="AK42" s="403"/>
      <c r="AL42" s="131"/>
      <c r="AM42" s="131"/>
      <c r="AN42" s="131"/>
    </row>
    <row r="43" spans="1:40" ht="25.35" customHeight="1">
      <c r="A43" s="497"/>
      <c r="B43" s="498"/>
      <c r="C43" s="60"/>
      <c r="D43" s="60"/>
      <c r="E43" s="65"/>
      <c r="F43" s="60"/>
      <c r="G43" s="60"/>
      <c r="H43" s="60"/>
      <c r="I43" s="60"/>
      <c r="J43" s="60"/>
      <c r="K43" s="60"/>
      <c r="L43" s="60"/>
      <c r="M43" s="60"/>
      <c r="N43" s="60"/>
      <c r="O43" s="60"/>
      <c r="P43" s="137">
        <f>SUM(D43:O43)</f>
        <v>0</v>
      </c>
      <c r="Q43" s="521"/>
      <c r="R43" s="521"/>
      <c r="S43" s="521"/>
      <c r="T43" s="521"/>
      <c r="U43" s="521"/>
      <c r="V43" s="521"/>
      <c r="W43" s="521"/>
      <c r="X43" s="521"/>
      <c r="Y43" s="521"/>
      <c r="Z43" s="521"/>
      <c r="AA43" s="521"/>
      <c r="AB43" s="522"/>
      <c r="AC43" s="373"/>
      <c r="AD43" s="348">
        <f>LEN(Q41)</f>
        <v>1330</v>
      </c>
      <c r="AE43" s="131"/>
      <c r="AF43" s="131"/>
      <c r="AG43" s="433"/>
      <c r="AH43" s="433"/>
      <c r="AI43" s="433"/>
      <c r="AJ43" s="403"/>
      <c r="AK43" s="403"/>
      <c r="AL43" s="131"/>
      <c r="AM43" s="131"/>
      <c r="AN43" s="131"/>
    </row>
    <row r="44" spans="1:40" ht="34.35" customHeight="1">
      <c r="A44" s="493" t="s">
        <v>81</v>
      </c>
      <c r="B44" s="494">
        <v>0.02</v>
      </c>
      <c r="C44" s="57" t="s">
        <v>74</v>
      </c>
      <c r="D44" s="59">
        <v>0</v>
      </c>
      <c r="E44" s="59">
        <v>0.2</v>
      </c>
      <c r="F44" s="59">
        <v>0.2</v>
      </c>
      <c r="G44" s="59">
        <v>0.2</v>
      </c>
      <c r="H44" s="59">
        <v>0.2</v>
      </c>
      <c r="I44" s="59">
        <v>0.2</v>
      </c>
      <c r="J44" s="59">
        <v>0</v>
      </c>
      <c r="K44" s="59">
        <v>0</v>
      </c>
      <c r="L44" s="59">
        <v>0</v>
      </c>
      <c r="M44" s="59">
        <v>0</v>
      </c>
      <c r="N44" s="59">
        <v>0</v>
      </c>
      <c r="O44" s="59">
        <v>0</v>
      </c>
      <c r="P44" s="157">
        <f t="shared" si="2"/>
        <v>1</v>
      </c>
      <c r="Q44" s="495" t="s">
        <v>82</v>
      </c>
      <c r="R44" s="495"/>
      <c r="S44" s="495"/>
      <c r="T44" s="495"/>
      <c r="U44" s="495"/>
      <c r="V44" s="495"/>
      <c r="W44" s="495"/>
      <c r="X44" s="495"/>
      <c r="Y44" s="495"/>
      <c r="Z44" s="495"/>
      <c r="AA44" s="495"/>
      <c r="AB44" s="496"/>
      <c r="AC44" s="372"/>
      <c r="AE44" s="136"/>
      <c r="AF44" s="136"/>
      <c r="AG44" s="475" t="s">
        <v>83</v>
      </c>
      <c r="AH44" s="433"/>
      <c r="AI44" s="434">
        <f>Seguimiento.PDD!Q11*8</f>
        <v>3.8857874285714287</v>
      </c>
      <c r="AJ44" s="402"/>
      <c r="AK44" s="402"/>
      <c r="AL44" s="136"/>
      <c r="AM44" s="136"/>
      <c r="AN44" s="131"/>
    </row>
    <row r="45" spans="1:40" ht="34.35" customHeight="1">
      <c r="A45" s="493"/>
      <c r="B45" s="494"/>
      <c r="C45" s="58" t="s">
        <v>75</v>
      </c>
      <c r="D45" s="10">
        <v>0</v>
      </c>
      <c r="E45" s="10">
        <v>0.2</v>
      </c>
      <c r="F45" s="10">
        <v>0.2</v>
      </c>
      <c r="G45" s="10">
        <v>0.2</v>
      </c>
      <c r="H45" s="10">
        <v>0.2</v>
      </c>
      <c r="I45" s="10">
        <v>0.2</v>
      </c>
      <c r="J45" s="10"/>
      <c r="K45" s="10"/>
      <c r="L45" s="10"/>
      <c r="M45" s="10"/>
      <c r="N45" s="10"/>
      <c r="O45" s="10"/>
      <c r="P45" s="157">
        <f t="shared" si="2"/>
        <v>1</v>
      </c>
      <c r="Q45" s="495"/>
      <c r="R45" s="495"/>
      <c r="S45" s="495"/>
      <c r="T45" s="495"/>
      <c r="U45" s="495"/>
      <c r="V45" s="495"/>
      <c r="W45" s="495"/>
      <c r="X45" s="495"/>
      <c r="Y45" s="495"/>
      <c r="Z45" s="495"/>
      <c r="AA45" s="495"/>
      <c r="AB45" s="496"/>
      <c r="AC45" s="372"/>
      <c r="AE45" s="131"/>
      <c r="AF45" s="131"/>
      <c r="AG45" s="475"/>
      <c r="AH45" s="433"/>
      <c r="AI45" s="452">
        <f>+AI44/0.5</f>
        <v>7.7715748571428573</v>
      </c>
      <c r="AJ45" s="403"/>
      <c r="AK45" s="403"/>
      <c r="AL45" s="131"/>
      <c r="AM45" s="131"/>
      <c r="AN45" s="131"/>
    </row>
    <row r="46" spans="1:40" ht="25.35" customHeight="1">
      <c r="A46" s="497"/>
      <c r="B46" s="498"/>
      <c r="C46" s="60"/>
      <c r="D46" s="60"/>
      <c r="E46" s="65"/>
      <c r="F46" s="60"/>
      <c r="G46" s="60"/>
      <c r="H46" s="60"/>
      <c r="I46" s="60"/>
      <c r="J46" s="60"/>
      <c r="K46" s="60"/>
      <c r="L46" s="60"/>
      <c r="M46" s="60"/>
      <c r="N46" s="60"/>
      <c r="O46" s="60"/>
      <c r="P46" s="137">
        <f t="shared" si="2"/>
        <v>0</v>
      </c>
      <c r="Q46" s="495"/>
      <c r="R46" s="495"/>
      <c r="S46" s="495"/>
      <c r="T46" s="495"/>
      <c r="U46" s="495"/>
      <c r="V46" s="495"/>
      <c r="W46" s="495"/>
      <c r="X46" s="495"/>
      <c r="Y46" s="495"/>
      <c r="Z46" s="495"/>
      <c r="AA46" s="495"/>
      <c r="AB46" s="496"/>
      <c r="AC46" s="166"/>
      <c r="AD46" s="348">
        <f>LEN(Q44)</f>
        <v>502</v>
      </c>
      <c r="AE46" s="131"/>
      <c r="AF46" s="131"/>
      <c r="AG46" s="433"/>
      <c r="AH46" s="433"/>
      <c r="AI46" s="433"/>
      <c r="AJ46" s="403"/>
      <c r="AK46" s="403"/>
      <c r="AL46" s="131"/>
      <c r="AM46" s="131"/>
      <c r="AN46" s="131"/>
    </row>
    <row r="47" spans="1:40" ht="107.1" customHeight="1">
      <c r="A47" s="493" t="s">
        <v>84</v>
      </c>
      <c r="B47" s="494">
        <v>0.02</v>
      </c>
      <c r="C47" s="57" t="s">
        <v>74</v>
      </c>
      <c r="D47" s="59">
        <v>0</v>
      </c>
      <c r="E47" s="59">
        <v>0.09</v>
      </c>
      <c r="F47" s="59">
        <v>0.09</v>
      </c>
      <c r="G47" s="59">
        <v>0.09</v>
      </c>
      <c r="H47" s="59">
        <v>0.09</v>
      </c>
      <c r="I47" s="59">
        <v>0.09</v>
      </c>
      <c r="J47" s="59">
        <v>0.09</v>
      </c>
      <c r="K47" s="59">
        <v>0.09</v>
      </c>
      <c r="L47" s="59">
        <v>0.09</v>
      </c>
      <c r="M47" s="59">
        <v>0.09</v>
      </c>
      <c r="N47" s="59">
        <v>0.09</v>
      </c>
      <c r="O47" s="59">
        <v>0.1</v>
      </c>
      <c r="P47" s="157">
        <f t="shared" si="2"/>
        <v>0.99999999999999978</v>
      </c>
      <c r="Q47" s="521" t="s">
        <v>404</v>
      </c>
      <c r="R47" s="521"/>
      <c r="S47" s="521"/>
      <c r="T47" s="521"/>
      <c r="U47" s="521"/>
      <c r="V47" s="521"/>
      <c r="W47" s="521"/>
      <c r="X47" s="521"/>
      <c r="Y47" s="521"/>
      <c r="Z47" s="521"/>
      <c r="AA47" s="521"/>
      <c r="AB47" s="522"/>
      <c r="AG47" s="433"/>
      <c r="AH47" s="433"/>
      <c r="AI47" s="433"/>
      <c r="AJ47" s="404"/>
      <c r="AK47" s="404"/>
    </row>
    <row r="48" spans="1:40" ht="107.1" customHeight="1">
      <c r="A48" s="493"/>
      <c r="B48" s="494"/>
      <c r="C48" s="58" t="s">
        <v>75</v>
      </c>
      <c r="D48" s="10">
        <v>0</v>
      </c>
      <c r="E48" s="10">
        <v>0.09</v>
      </c>
      <c r="F48" s="10">
        <v>0.09</v>
      </c>
      <c r="G48" s="10">
        <v>0.09</v>
      </c>
      <c r="H48" s="10">
        <v>0.09</v>
      </c>
      <c r="I48" s="10">
        <v>0.09</v>
      </c>
      <c r="J48" s="10">
        <v>0.09</v>
      </c>
      <c r="K48" s="10">
        <v>0.09</v>
      </c>
      <c r="L48" s="10">
        <v>0.09</v>
      </c>
      <c r="M48" s="10">
        <v>0.09</v>
      </c>
      <c r="N48" s="10">
        <v>0.09</v>
      </c>
      <c r="O48" s="10">
        <v>0.1</v>
      </c>
      <c r="P48" s="157">
        <f t="shared" si="2"/>
        <v>0.99999999999999978</v>
      </c>
      <c r="Q48" s="521"/>
      <c r="R48" s="521"/>
      <c r="S48" s="521"/>
      <c r="T48" s="521"/>
      <c r="U48" s="521"/>
      <c r="V48" s="521"/>
      <c r="W48" s="521"/>
      <c r="X48" s="521"/>
      <c r="Y48" s="521"/>
      <c r="Z48" s="521"/>
      <c r="AA48" s="521"/>
      <c r="AB48" s="522"/>
      <c r="AG48" s="451" t="s">
        <v>85</v>
      </c>
      <c r="AH48" s="433"/>
      <c r="AI48" s="433">
        <f>Seguimiento.PDD!Q9*8</f>
        <v>5.6</v>
      </c>
      <c r="AJ48" s="404"/>
      <c r="AK48" s="404"/>
    </row>
    <row r="49" spans="1:41" ht="25.35" customHeight="1">
      <c r="A49" s="497"/>
      <c r="B49" s="498"/>
      <c r="C49" s="60"/>
      <c r="D49" s="60"/>
      <c r="E49" s="65"/>
      <c r="F49" s="60"/>
      <c r="G49" s="60"/>
      <c r="H49" s="60"/>
      <c r="I49" s="60"/>
      <c r="J49" s="60"/>
      <c r="K49" s="60"/>
      <c r="L49" s="60"/>
      <c r="M49" s="60"/>
      <c r="N49" s="60"/>
      <c r="O49" s="60"/>
      <c r="P49" s="137">
        <f t="shared" si="2"/>
        <v>0</v>
      </c>
      <c r="Q49" s="521"/>
      <c r="R49" s="521"/>
      <c r="S49" s="521"/>
      <c r="T49" s="521"/>
      <c r="U49" s="521"/>
      <c r="V49" s="521"/>
      <c r="W49" s="521"/>
      <c r="X49" s="521"/>
      <c r="Y49" s="521"/>
      <c r="Z49" s="521"/>
      <c r="AA49" s="521"/>
      <c r="AB49" s="522"/>
      <c r="AD49" s="348">
        <f>LEN(Q47)</f>
        <v>1651</v>
      </c>
      <c r="AG49" s="433"/>
      <c r="AH49" s="433"/>
      <c r="AI49" s="451">
        <f>+AI48/0.7</f>
        <v>8</v>
      </c>
      <c r="AJ49" s="404"/>
      <c r="AK49" s="404"/>
    </row>
    <row r="50" spans="1:41" ht="90" customHeight="1">
      <c r="A50" s="493" t="s">
        <v>86</v>
      </c>
      <c r="B50" s="494">
        <v>0.02</v>
      </c>
      <c r="C50" s="57" t="s">
        <v>74</v>
      </c>
      <c r="D50" s="59">
        <v>0</v>
      </c>
      <c r="E50" s="59">
        <v>0.09</v>
      </c>
      <c r="F50" s="59">
        <v>0.09</v>
      </c>
      <c r="G50" s="59">
        <v>0.09</v>
      </c>
      <c r="H50" s="59">
        <v>0.09</v>
      </c>
      <c r="I50" s="59">
        <v>0.09</v>
      </c>
      <c r="J50" s="59">
        <v>0.09</v>
      </c>
      <c r="K50" s="59">
        <v>0.09</v>
      </c>
      <c r="L50" s="59">
        <v>0.09</v>
      </c>
      <c r="M50" s="59">
        <v>0.09</v>
      </c>
      <c r="N50" s="59">
        <v>0.09</v>
      </c>
      <c r="O50" s="59">
        <v>0.1</v>
      </c>
      <c r="P50" s="157">
        <f t="shared" si="2"/>
        <v>0.99999999999999978</v>
      </c>
      <c r="Q50" s="523" t="s">
        <v>87</v>
      </c>
      <c r="R50" s="523"/>
      <c r="S50" s="523"/>
      <c r="T50" s="523"/>
      <c r="U50" s="523"/>
      <c r="V50" s="523"/>
      <c r="W50" s="523"/>
      <c r="X50" s="523"/>
      <c r="Y50" s="523"/>
      <c r="Z50" s="523"/>
      <c r="AA50" s="523"/>
      <c r="AB50" s="524"/>
      <c r="AD50" s="344"/>
      <c r="AJ50" s="404"/>
      <c r="AK50" s="404"/>
    </row>
    <row r="51" spans="1:41" ht="90" customHeight="1">
      <c r="A51" s="493"/>
      <c r="B51" s="494"/>
      <c r="C51" s="58" t="s">
        <v>75</v>
      </c>
      <c r="D51" s="10">
        <v>0</v>
      </c>
      <c r="E51" s="10">
        <v>0.09</v>
      </c>
      <c r="F51" s="10">
        <v>0.09</v>
      </c>
      <c r="G51" s="10">
        <v>0.09</v>
      </c>
      <c r="H51" s="10">
        <v>0.09</v>
      </c>
      <c r="I51" s="10">
        <v>0.09</v>
      </c>
      <c r="J51" s="10">
        <v>0.09</v>
      </c>
      <c r="K51" s="10">
        <v>0.09</v>
      </c>
      <c r="L51" s="10">
        <v>0.09</v>
      </c>
      <c r="M51" s="10">
        <v>0.09</v>
      </c>
      <c r="N51" s="10">
        <v>0.09</v>
      </c>
      <c r="O51" s="10">
        <v>0.01</v>
      </c>
      <c r="P51" s="157">
        <f t="shared" si="2"/>
        <v>0.90999999999999981</v>
      </c>
      <c r="Q51" s="523"/>
      <c r="R51" s="523"/>
      <c r="S51" s="523"/>
      <c r="T51" s="523"/>
      <c r="U51" s="523"/>
      <c r="V51" s="523"/>
      <c r="W51" s="523"/>
      <c r="X51" s="523"/>
      <c r="Y51" s="523"/>
      <c r="Z51" s="523"/>
      <c r="AA51" s="523"/>
      <c r="AB51" s="524"/>
      <c r="AJ51" s="404"/>
      <c r="AK51" s="404"/>
    </row>
    <row r="52" spans="1:41" ht="24.95" customHeight="1">
      <c r="A52" s="497"/>
      <c r="B52" s="498"/>
      <c r="C52" s="60"/>
      <c r="D52" s="60"/>
      <c r="E52" s="65"/>
      <c r="F52" s="60"/>
      <c r="G52" s="60"/>
      <c r="H52" s="60"/>
      <c r="I52" s="60"/>
      <c r="J52" s="60"/>
      <c r="K52" s="60"/>
      <c r="L52" s="60"/>
      <c r="M52" s="60"/>
      <c r="N52" s="60"/>
      <c r="O52" s="60"/>
      <c r="P52" s="137">
        <f t="shared" si="2"/>
        <v>0</v>
      </c>
      <c r="Q52" s="523"/>
      <c r="R52" s="523"/>
      <c r="S52" s="523"/>
      <c r="T52" s="523"/>
      <c r="U52" s="523"/>
      <c r="V52" s="523"/>
      <c r="W52" s="523"/>
      <c r="X52" s="523"/>
      <c r="Y52" s="523"/>
      <c r="Z52" s="523"/>
      <c r="AA52" s="523"/>
      <c r="AB52" s="524"/>
      <c r="AC52" s="162"/>
      <c r="AD52" s="348">
        <f>LEN(Q50)</f>
        <v>1718</v>
      </c>
      <c r="AE52"/>
      <c r="AF52"/>
      <c r="AG52" s="433"/>
      <c r="AH52" s="433"/>
      <c r="AI52" s="433"/>
      <c r="AJ52"/>
      <c r="AK52"/>
      <c r="AL52"/>
      <c r="AM52"/>
      <c r="AN52"/>
    </row>
    <row r="53" spans="1:41" ht="15.75" hidden="1" thickBot="1">
      <c r="A53" s="2"/>
      <c r="B53" s="3"/>
      <c r="C53" s="3"/>
      <c r="D53" s="3"/>
      <c r="E53" s="3"/>
      <c r="F53" s="3"/>
      <c r="G53" s="3"/>
      <c r="H53" s="3"/>
      <c r="I53" s="3"/>
      <c r="J53" s="3"/>
      <c r="K53" s="3"/>
      <c r="L53" s="3"/>
      <c r="M53" s="3"/>
      <c r="N53" s="3"/>
      <c r="O53" s="3"/>
      <c r="P53" s="3"/>
      <c r="Q53" s="3"/>
      <c r="R53" s="3"/>
      <c r="S53" s="3"/>
      <c r="T53" s="3"/>
      <c r="U53" s="3"/>
      <c r="V53" s="3"/>
      <c r="W53" s="3"/>
      <c r="X53" s="171"/>
      <c r="Y53" s="3"/>
      <c r="Z53" s="3"/>
      <c r="AA53" s="3"/>
      <c r="AB53" s="426"/>
      <c r="AC53" s="293"/>
      <c r="AD53"/>
      <c r="AE53"/>
      <c r="AF53"/>
      <c r="AG53" s="433"/>
      <c r="AH53" s="433"/>
      <c r="AI53" s="433"/>
      <c r="AJ53"/>
      <c r="AK53"/>
      <c r="AL53"/>
      <c r="AM53"/>
      <c r="AN53"/>
      <c r="AO53"/>
    </row>
    <row r="54" spans="1:41" s="138" customFormat="1" ht="22.35" hidden="1" customHeight="1">
      <c r="A54" s="499" t="s">
        <v>88</v>
      </c>
      <c r="B54" s="502" t="s">
        <v>89</v>
      </c>
      <c r="C54" s="503"/>
      <c r="D54" s="503"/>
      <c r="E54" s="503"/>
      <c r="F54" s="503"/>
      <c r="G54" s="504"/>
      <c r="H54" s="505" t="s">
        <v>90</v>
      </c>
      <c r="I54" s="506"/>
      <c r="J54" s="506"/>
      <c r="K54" s="506"/>
      <c r="L54" s="506"/>
      <c r="M54" s="506"/>
      <c r="N54" s="502" t="s">
        <v>89</v>
      </c>
      <c r="O54" s="503"/>
      <c r="P54" s="503"/>
      <c r="Q54" s="503"/>
      <c r="R54" s="503"/>
      <c r="S54" s="504"/>
      <c r="T54" s="511" t="s">
        <v>91</v>
      </c>
      <c r="U54" s="512"/>
      <c r="V54" s="512"/>
      <c r="W54" s="513"/>
      <c r="X54" s="502" t="s">
        <v>92</v>
      </c>
      <c r="Y54" s="503"/>
      <c r="Z54" s="503"/>
      <c r="AA54" s="503"/>
      <c r="AB54" s="520"/>
      <c r="AC54" s="163"/>
      <c r="AD54" s="131"/>
      <c r="AE54" s="131"/>
      <c r="AF54" s="131"/>
      <c r="AG54" s="131"/>
      <c r="AH54" s="131"/>
      <c r="AI54" s="131"/>
      <c r="AJ54" s="131"/>
      <c r="AK54" s="131"/>
      <c r="AL54" s="131"/>
      <c r="AM54" s="131"/>
      <c r="AN54" s="131"/>
      <c r="AO54" s="131"/>
    </row>
    <row r="55" spans="1:41" s="138" customFormat="1" ht="22.35" hidden="1" customHeight="1">
      <c r="A55" s="500"/>
      <c r="B55" s="485" t="s">
        <v>93</v>
      </c>
      <c r="C55" s="486"/>
      <c r="D55" s="486"/>
      <c r="E55" s="486"/>
      <c r="F55" s="486"/>
      <c r="G55" s="487"/>
      <c r="H55" s="507"/>
      <c r="I55" s="508"/>
      <c r="J55" s="508"/>
      <c r="K55" s="508"/>
      <c r="L55" s="508"/>
      <c r="M55" s="508"/>
      <c r="N55" s="485" t="s">
        <v>94</v>
      </c>
      <c r="O55" s="486"/>
      <c r="P55" s="486"/>
      <c r="Q55" s="486"/>
      <c r="R55" s="486"/>
      <c r="S55" s="487"/>
      <c r="T55" s="514"/>
      <c r="U55" s="515"/>
      <c r="V55" s="515"/>
      <c r="W55" s="516"/>
      <c r="X55" s="485" t="s">
        <v>95</v>
      </c>
      <c r="Y55" s="486"/>
      <c r="Z55" s="486"/>
      <c r="AA55" s="486"/>
      <c r="AB55" s="488"/>
      <c r="AC55" s="163"/>
    </row>
    <row r="56" spans="1:41" s="139" customFormat="1" ht="22.35" hidden="1" customHeight="1" thickBot="1">
      <c r="A56" s="501"/>
      <c r="B56" s="489" t="s">
        <v>96</v>
      </c>
      <c r="C56" s="490"/>
      <c r="D56" s="490"/>
      <c r="E56" s="490"/>
      <c r="F56" s="490"/>
      <c r="G56" s="491"/>
      <c r="H56" s="509"/>
      <c r="I56" s="510"/>
      <c r="J56" s="510"/>
      <c r="K56" s="510"/>
      <c r="L56" s="510"/>
      <c r="M56" s="510"/>
      <c r="N56" s="489" t="s">
        <v>97</v>
      </c>
      <c r="O56" s="490"/>
      <c r="P56" s="490"/>
      <c r="Q56" s="490"/>
      <c r="R56" s="490"/>
      <c r="S56" s="491"/>
      <c r="T56" s="517"/>
      <c r="U56" s="518"/>
      <c r="V56" s="518"/>
      <c r="W56" s="519"/>
      <c r="X56" s="489" t="s">
        <v>98</v>
      </c>
      <c r="Y56" s="490"/>
      <c r="Z56" s="490"/>
      <c r="AA56" s="490"/>
      <c r="AB56" s="492"/>
      <c r="AC56" s="164"/>
    </row>
    <row r="57" spans="1:41" s="139" customFormat="1" ht="22.35" hidden="1" customHeight="1">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64"/>
    </row>
    <row r="58" spans="1:41" s="278" customFormat="1" ht="22.35" hidden="1" customHeight="1">
      <c r="A58" s="480" t="s">
        <v>66</v>
      </c>
      <c r="B58" s="480" t="s">
        <v>67</v>
      </c>
      <c r="C58" s="482" t="s">
        <v>68</v>
      </c>
      <c r="D58" s="483"/>
      <c r="E58" s="483"/>
      <c r="F58" s="483"/>
      <c r="G58" s="483"/>
      <c r="H58" s="483"/>
      <c r="I58" s="483"/>
      <c r="J58" s="483"/>
      <c r="K58" s="483"/>
      <c r="L58" s="483"/>
      <c r="M58" s="483"/>
      <c r="N58" s="483"/>
      <c r="O58" s="483"/>
      <c r="P58" s="484"/>
      <c r="Q58" s="138"/>
      <c r="R58" s="138"/>
      <c r="S58" s="138"/>
      <c r="T58" s="138"/>
      <c r="U58" s="138"/>
      <c r="V58" s="138"/>
      <c r="W58" s="138"/>
      <c r="X58" s="138"/>
      <c r="Y58" s="138"/>
      <c r="Z58" s="138"/>
      <c r="AA58" s="138"/>
      <c r="AB58" s="138"/>
      <c r="AG58" s="138"/>
      <c r="AH58" s="138"/>
      <c r="AI58" s="138"/>
    </row>
    <row r="59" spans="1:41" s="278" customFormat="1" ht="22.35" hidden="1" customHeight="1">
      <c r="A59" s="481"/>
      <c r="B59" s="481"/>
      <c r="C59" s="279" t="s">
        <v>70</v>
      </c>
      <c r="D59" s="279" t="s">
        <v>99</v>
      </c>
      <c r="E59" s="279" t="s">
        <v>100</v>
      </c>
      <c r="F59" s="279" t="s">
        <v>101</v>
      </c>
      <c r="G59" s="279" t="s">
        <v>102</v>
      </c>
      <c r="H59" s="279" t="s">
        <v>103</v>
      </c>
      <c r="I59" s="279" t="s">
        <v>104</v>
      </c>
      <c r="J59" s="279" t="s">
        <v>105</v>
      </c>
      <c r="K59" s="279" t="s">
        <v>106</v>
      </c>
      <c r="L59" s="279" t="s">
        <v>107</v>
      </c>
      <c r="M59" s="279" t="s">
        <v>108</v>
      </c>
      <c r="N59" s="279" t="s">
        <v>109</v>
      </c>
      <c r="O59" s="279" t="s">
        <v>110</v>
      </c>
      <c r="P59" s="279" t="s">
        <v>71</v>
      </c>
      <c r="Q59" s="138"/>
      <c r="R59" s="138"/>
      <c r="S59" s="138"/>
      <c r="T59" s="138"/>
      <c r="U59" s="138"/>
      <c r="V59" s="138"/>
      <c r="W59" s="138"/>
      <c r="X59" s="138"/>
      <c r="Y59" s="138"/>
      <c r="Z59" s="138"/>
      <c r="AA59" s="138"/>
      <c r="AB59" s="138"/>
      <c r="AG59" s="138"/>
      <c r="AH59" s="138"/>
      <c r="AI59" s="138"/>
    </row>
    <row r="60" spans="1:41" s="283" customFormat="1" ht="13.35" hidden="1" customHeight="1">
      <c r="A60" s="478" t="str">
        <f>+A35</f>
        <v xml:space="preserve">Definir la estrategia de corresponsabilidad del Sistema Distrital de Cuidado,  con el sector privado </v>
      </c>
      <c r="B60" s="478">
        <f>+B35</f>
        <v>0.01</v>
      </c>
      <c r="C60" s="280" t="s">
        <v>74</v>
      </c>
      <c r="D60" s="281">
        <f>+D35*$B$35/$P$35</f>
        <v>5.0000000000000012E-4</v>
      </c>
      <c r="E60" s="317">
        <f t="shared" ref="E60:O60" si="3">+E35*$B$35/$P$35</f>
        <v>9.0000000000000008E-4</v>
      </c>
      <c r="F60" s="281">
        <f t="shared" si="3"/>
        <v>9.0000000000000008E-4</v>
      </c>
      <c r="G60" s="281">
        <f t="shared" si="3"/>
        <v>9.0000000000000008E-4</v>
      </c>
      <c r="H60" s="281">
        <f t="shared" si="3"/>
        <v>9.0000000000000008E-4</v>
      </c>
      <c r="I60" s="281">
        <f t="shared" si="3"/>
        <v>9.0000000000000008E-4</v>
      </c>
      <c r="J60" s="281">
        <f t="shared" si="3"/>
        <v>9.0000000000000008E-4</v>
      </c>
      <c r="K60" s="281">
        <f t="shared" si="3"/>
        <v>9.0000000000000008E-4</v>
      </c>
      <c r="L60" s="281">
        <f t="shared" si="3"/>
        <v>9.0000000000000008E-4</v>
      </c>
      <c r="M60" s="281">
        <f t="shared" si="3"/>
        <v>9.0000000000000008E-4</v>
      </c>
      <c r="N60" s="281">
        <f t="shared" si="3"/>
        <v>9.0000000000000008E-4</v>
      </c>
      <c r="O60" s="281">
        <f t="shared" si="3"/>
        <v>5.0000000000000012E-4</v>
      </c>
      <c r="P60" s="427">
        <f t="shared" ref="P60:P69" si="4">SUM(D60:O60)</f>
        <v>0.01</v>
      </c>
      <c r="Q60" s="139"/>
      <c r="R60" s="139"/>
      <c r="S60" s="139"/>
      <c r="T60" s="139"/>
      <c r="U60" s="139"/>
      <c r="V60" s="139"/>
      <c r="W60" s="139"/>
      <c r="X60" s="139"/>
      <c r="Y60" s="139"/>
      <c r="Z60" s="139"/>
      <c r="AA60" s="139"/>
      <c r="AB60" s="139"/>
      <c r="AG60" s="139"/>
      <c r="AH60" s="139"/>
      <c r="AI60" s="139"/>
    </row>
    <row r="61" spans="1:41" s="283" customFormat="1" ht="13.35" hidden="1" customHeight="1">
      <c r="A61" s="479"/>
      <c r="B61" s="479"/>
      <c r="C61" s="284" t="s">
        <v>75</v>
      </c>
      <c r="D61" s="281">
        <f t="shared" ref="D61:O61" si="5">+D36*$B$35/$P$35</f>
        <v>5.0000000000000012E-4</v>
      </c>
      <c r="E61" s="281">
        <f t="shared" si="5"/>
        <v>9.0000000000000008E-4</v>
      </c>
      <c r="F61" s="281">
        <f t="shared" si="5"/>
        <v>9.0000000000000008E-4</v>
      </c>
      <c r="G61" s="281">
        <f t="shared" si="5"/>
        <v>9.0000000000000008E-4</v>
      </c>
      <c r="H61" s="281">
        <f t="shared" si="5"/>
        <v>9.0000000000000008E-4</v>
      </c>
      <c r="I61" s="281">
        <f t="shared" si="5"/>
        <v>9.0000000000000008E-4</v>
      </c>
      <c r="J61" s="281">
        <f t="shared" si="5"/>
        <v>9.0000000000000008E-4</v>
      </c>
      <c r="K61" s="281">
        <f t="shared" si="5"/>
        <v>9.0000000000000008E-4</v>
      </c>
      <c r="L61" s="281">
        <f t="shared" si="5"/>
        <v>9.0000000000000008E-4</v>
      </c>
      <c r="M61" s="281">
        <f t="shared" si="5"/>
        <v>9.0000000000000008E-4</v>
      </c>
      <c r="N61" s="281">
        <f t="shared" si="5"/>
        <v>9.0000000000000008E-4</v>
      </c>
      <c r="O61" s="281">
        <f t="shared" si="5"/>
        <v>5.0000000000000012E-4</v>
      </c>
      <c r="P61" s="428">
        <f t="shared" si="4"/>
        <v>0.01</v>
      </c>
      <c r="Q61" s="139"/>
      <c r="R61" s="139"/>
      <c r="S61" s="139"/>
      <c r="T61" s="139"/>
      <c r="U61" s="139"/>
      <c r="V61" s="139"/>
      <c r="W61" s="139"/>
      <c r="X61" s="139"/>
      <c r="Y61" s="139"/>
      <c r="Z61" s="139"/>
      <c r="AA61" s="139"/>
      <c r="AB61" s="139"/>
      <c r="AG61" s="139"/>
      <c r="AH61" s="139"/>
      <c r="AI61" s="139"/>
    </row>
    <row r="62" spans="1:41" s="283" customFormat="1" ht="13.35" hidden="1" customHeight="1">
      <c r="A62" s="478" t="str">
        <f>+A38</f>
        <v xml:space="preserve">Definir la estrategia de corresponsabilidad del Sistema Distrital de Cuidado, con el sector comunitario  </v>
      </c>
      <c r="B62" s="478">
        <f>+B38</f>
        <v>0.01</v>
      </c>
      <c r="C62" s="280" t="s">
        <v>74</v>
      </c>
      <c r="D62" s="281">
        <f>+D38*$B$38/$P$38</f>
        <v>0</v>
      </c>
      <c r="E62" s="281">
        <f t="shared" ref="E62:O62" si="6">+E38*$B$38/$P$38</f>
        <v>0</v>
      </c>
      <c r="F62" s="281">
        <f t="shared" si="6"/>
        <v>0</v>
      </c>
      <c r="G62" s="281">
        <f t="shared" si="6"/>
        <v>1.1000000000000001E-3</v>
      </c>
      <c r="H62" s="281">
        <f t="shared" si="6"/>
        <v>1.1000000000000001E-3</v>
      </c>
      <c r="I62" s="281">
        <f t="shared" si="6"/>
        <v>1.1000000000000001E-3</v>
      </c>
      <c r="J62" s="281">
        <f t="shared" si="6"/>
        <v>1.1000000000000001E-3</v>
      </c>
      <c r="K62" s="281">
        <f t="shared" si="6"/>
        <v>1.1000000000000001E-3</v>
      </c>
      <c r="L62" s="281">
        <f t="shared" si="6"/>
        <v>1.1000000000000001E-3</v>
      </c>
      <c r="M62" s="281">
        <f t="shared" si="6"/>
        <v>1.1000000000000001E-3</v>
      </c>
      <c r="N62" s="281">
        <f t="shared" si="6"/>
        <v>1.1000000000000001E-3</v>
      </c>
      <c r="O62" s="281">
        <f t="shared" si="6"/>
        <v>1.1999999999999999E-3</v>
      </c>
      <c r="P62" s="427">
        <f t="shared" si="4"/>
        <v>0.01</v>
      </c>
      <c r="Q62" s="139"/>
      <c r="R62" s="139"/>
      <c r="S62" s="139"/>
      <c r="T62" s="139"/>
      <c r="U62" s="139"/>
      <c r="V62" s="139"/>
      <c r="W62" s="139"/>
      <c r="X62" s="139"/>
      <c r="Y62" s="139"/>
      <c r="Z62" s="139"/>
      <c r="AA62" s="139"/>
      <c r="AB62" s="139"/>
      <c r="AG62" s="139"/>
      <c r="AH62" s="139"/>
      <c r="AI62" s="139"/>
    </row>
    <row r="63" spans="1:41" s="283" customFormat="1" ht="13.35" hidden="1" customHeight="1">
      <c r="A63" s="479"/>
      <c r="B63" s="479"/>
      <c r="C63" s="284" t="s">
        <v>75</v>
      </c>
      <c r="D63" s="281">
        <f t="shared" ref="D63:O63" si="7">+D39*$B$38/$P$38</f>
        <v>0</v>
      </c>
      <c r="E63" s="281">
        <f t="shared" si="7"/>
        <v>0</v>
      </c>
      <c r="F63" s="281">
        <f t="shared" si="7"/>
        <v>2.9999999999999997E-4</v>
      </c>
      <c r="G63" s="281">
        <f t="shared" si="7"/>
        <v>8.0000000000000004E-4</v>
      </c>
      <c r="H63" s="281">
        <f t="shared" si="7"/>
        <v>1.1000000000000001E-3</v>
      </c>
      <c r="I63" s="281">
        <f t="shared" si="7"/>
        <v>1.1000000000000001E-3</v>
      </c>
      <c r="J63" s="281">
        <f t="shared" si="7"/>
        <v>1.1000000000000001E-3</v>
      </c>
      <c r="K63" s="281">
        <f t="shared" si="7"/>
        <v>1.1000000000000001E-3</v>
      </c>
      <c r="L63" s="281">
        <f t="shared" si="7"/>
        <v>1.1000000000000001E-3</v>
      </c>
      <c r="M63" s="281">
        <f t="shared" si="7"/>
        <v>1.1000000000000001E-3</v>
      </c>
      <c r="N63" s="281">
        <f t="shared" si="7"/>
        <v>1.1000000000000001E-3</v>
      </c>
      <c r="O63" s="281">
        <f t="shared" si="7"/>
        <v>1.1999999999999999E-3</v>
      </c>
      <c r="P63" s="428">
        <f t="shared" si="4"/>
        <v>0.01</v>
      </c>
      <c r="Q63" s="139"/>
      <c r="R63" s="139"/>
      <c r="S63" s="139"/>
      <c r="T63" s="139"/>
      <c r="U63" s="139"/>
      <c r="V63" s="139"/>
      <c r="W63" s="139"/>
      <c r="X63" s="139"/>
      <c r="Y63" s="139"/>
      <c r="Z63" s="139"/>
      <c r="AA63" s="139"/>
      <c r="AB63" s="139"/>
      <c r="AG63" s="139"/>
      <c r="AH63" s="139"/>
      <c r="AI63" s="139"/>
    </row>
    <row r="64" spans="1:41" s="283" customFormat="1" ht="13.35" hidden="1" customHeight="1">
      <c r="A64" s="478" t="str">
        <f>+A41</f>
        <v>Diseño del modelo de viabilidad jurídica del Sistema Distrital de Cuidado</v>
      </c>
      <c r="B64" s="478">
        <f>+B41</f>
        <v>0.02</v>
      </c>
      <c r="C64" s="280" t="s">
        <v>74</v>
      </c>
      <c r="D64" s="281">
        <f>+D41*$B$41/$P$41</f>
        <v>0</v>
      </c>
      <c r="E64" s="317">
        <f t="shared" ref="E64:O64" si="8">+E41*$B$41/$P$41</f>
        <v>4.0000000000000001E-3</v>
      </c>
      <c r="F64" s="281">
        <f t="shared" si="8"/>
        <v>4.0000000000000001E-3</v>
      </c>
      <c r="G64" s="281">
        <f t="shared" si="8"/>
        <v>4.0000000000000001E-3</v>
      </c>
      <c r="H64" s="281">
        <f t="shared" si="8"/>
        <v>4.0000000000000001E-3</v>
      </c>
      <c r="I64" s="281">
        <f t="shared" si="8"/>
        <v>4.0000000000000001E-3</v>
      </c>
      <c r="J64" s="281">
        <f t="shared" si="8"/>
        <v>0</v>
      </c>
      <c r="K64" s="281">
        <f t="shared" si="8"/>
        <v>0</v>
      </c>
      <c r="L64" s="281">
        <f t="shared" si="8"/>
        <v>0</v>
      </c>
      <c r="M64" s="281">
        <f t="shared" si="8"/>
        <v>0</v>
      </c>
      <c r="N64" s="281">
        <f t="shared" si="8"/>
        <v>0</v>
      </c>
      <c r="O64" s="281">
        <f t="shared" si="8"/>
        <v>0</v>
      </c>
      <c r="P64" s="427">
        <f t="shared" si="4"/>
        <v>0.02</v>
      </c>
      <c r="Q64" s="139"/>
      <c r="R64" s="139"/>
      <c r="S64" s="139"/>
      <c r="T64" s="139"/>
      <c r="U64" s="139"/>
      <c r="V64" s="139"/>
      <c r="W64" s="139"/>
      <c r="X64" s="139"/>
      <c r="Y64" s="139"/>
      <c r="Z64" s="139"/>
      <c r="AA64" s="139"/>
      <c r="AB64" s="139"/>
      <c r="AG64" s="139"/>
      <c r="AH64" s="139"/>
      <c r="AI64" s="139"/>
    </row>
    <row r="65" spans="1:40" s="283" customFormat="1" ht="13.35" hidden="1" customHeight="1">
      <c r="A65" s="479"/>
      <c r="B65" s="479"/>
      <c r="C65" s="284" t="s">
        <v>75</v>
      </c>
      <c r="D65" s="281">
        <f t="shared" ref="D65:O65" si="9">+D42*$B$41/$P$41</f>
        <v>0</v>
      </c>
      <c r="E65" s="281">
        <f t="shared" si="9"/>
        <v>4.0000000000000001E-3</v>
      </c>
      <c r="F65" s="281">
        <f t="shared" si="9"/>
        <v>4.0000000000000001E-3</v>
      </c>
      <c r="G65" s="281">
        <f t="shared" si="9"/>
        <v>4.0000000000000001E-3</v>
      </c>
      <c r="H65" s="281">
        <f t="shared" si="9"/>
        <v>4.0000000000000001E-3</v>
      </c>
      <c r="I65" s="281">
        <f t="shared" si="9"/>
        <v>2E-3</v>
      </c>
      <c r="J65" s="281">
        <f t="shared" si="9"/>
        <v>1E-3</v>
      </c>
      <c r="K65" s="281">
        <f t="shared" si="9"/>
        <v>4.0000000000000002E-4</v>
      </c>
      <c r="L65" s="281">
        <f t="shared" si="9"/>
        <v>0</v>
      </c>
      <c r="M65" s="281">
        <f t="shared" si="9"/>
        <v>2.0000000000000001E-4</v>
      </c>
      <c r="N65" s="281">
        <f t="shared" si="9"/>
        <v>4.0000000000000002E-4</v>
      </c>
      <c r="O65" s="281">
        <f t="shared" si="9"/>
        <v>0</v>
      </c>
      <c r="P65" s="428">
        <f t="shared" si="4"/>
        <v>2.0000000000000004E-2</v>
      </c>
      <c r="Q65" s="139"/>
      <c r="R65" s="139"/>
      <c r="S65" s="139"/>
      <c r="T65" s="139"/>
      <c r="U65" s="139"/>
      <c r="V65" s="139"/>
      <c r="W65" s="139"/>
      <c r="X65" s="139"/>
      <c r="Y65" s="139"/>
      <c r="Z65" s="139"/>
      <c r="AA65" s="139"/>
      <c r="AB65" s="139"/>
      <c r="AG65" s="139"/>
      <c r="AH65" s="139"/>
      <c r="AI65" s="139"/>
    </row>
    <row r="66" spans="1:40" s="283" customFormat="1" ht="13.35" hidden="1" customHeight="1">
      <c r="A66" s="478" t="str">
        <f>+A44</f>
        <v>Diseño del modelo operativo del Sistema Distrital de Cuidado</v>
      </c>
      <c r="B66" s="478">
        <f>+B44</f>
        <v>0.02</v>
      </c>
      <c r="C66" s="280" t="s">
        <v>74</v>
      </c>
      <c r="D66" s="281">
        <f>+D44*$B$44/$P$44</f>
        <v>0</v>
      </c>
      <c r="E66" s="317">
        <f t="shared" ref="E66:O66" si="10">+E44*$B$44/$P$44</f>
        <v>4.0000000000000001E-3</v>
      </c>
      <c r="F66" s="281">
        <f t="shared" si="10"/>
        <v>4.0000000000000001E-3</v>
      </c>
      <c r="G66" s="281">
        <f t="shared" si="10"/>
        <v>4.0000000000000001E-3</v>
      </c>
      <c r="H66" s="281">
        <f t="shared" si="10"/>
        <v>4.0000000000000001E-3</v>
      </c>
      <c r="I66" s="281">
        <f t="shared" si="10"/>
        <v>4.0000000000000001E-3</v>
      </c>
      <c r="J66" s="281">
        <f t="shared" si="10"/>
        <v>0</v>
      </c>
      <c r="K66" s="281">
        <f t="shared" si="10"/>
        <v>0</v>
      </c>
      <c r="L66" s="281">
        <f t="shared" si="10"/>
        <v>0</v>
      </c>
      <c r="M66" s="281">
        <f t="shared" si="10"/>
        <v>0</v>
      </c>
      <c r="N66" s="281">
        <f t="shared" si="10"/>
        <v>0</v>
      </c>
      <c r="O66" s="281">
        <f t="shared" si="10"/>
        <v>0</v>
      </c>
      <c r="P66" s="427">
        <f t="shared" si="4"/>
        <v>0.02</v>
      </c>
      <c r="Q66" s="139"/>
      <c r="R66" s="139"/>
      <c r="S66" s="139"/>
      <c r="T66" s="139"/>
      <c r="U66" s="139"/>
      <c r="V66" s="139"/>
      <c r="W66" s="139"/>
      <c r="X66" s="139"/>
      <c r="Y66" s="139"/>
      <c r="Z66" s="139"/>
      <c r="AA66" s="139"/>
      <c r="AB66" s="139"/>
      <c r="AG66" s="139"/>
      <c r="AH66" s="139"/>
      <c r="AI66" s="139"/>
    </row>
    <row r="67" spans="1:40" s="283" customFormat="1" ht="13.35" hidden="1" customHeight="1">
      <c r="A67" s="479"/>
      <c r="B67" s="479"/>
      <c r="C67" s="284" t="s">
        <v>75</v>
      </c>
      <c r="D67" s="281">
        <f t="shared" ref="D67:O67" si="11">+D45*$B$44/$P$44</f>
        <v>0</v>
      </c>
      <c r="E67" s="281">
        <f t="shared" si="11"/>
        <v>4.0000000000000001E-3</v>
      </c>
      <c r="F67" s="281">
        <f t="shared" si="11"/>
        <v>4.0000000000000001E-3</v>
      </c>
      <c r="G67" s="281">
        <f t="shared" si="11"/>
        <v>4.0000000000000001E-3</v>
      </c>
      <c r="H67" s="281">
        <f t="shared" si="11"/>
        <v>4.0000000000000001E-3</v>
      </c>
      <c r="I67" s="281">
        <f t="shared" si="11"/>
        <v>4.0000000000000001E-3</v>
      </c>
      <c r="J67" s="281">
        <f t="shared" si="11"/>
        <v>0</v>
      </c>
      <c r="K67" s="281">
        <f t="shared" si="11"/>
        <v>0</v>
      </c>
      <c r="L67" s="281">
        <f t="shared" si="11"/>
        <v>0</v>
      </c>
      <c r="M67" s="281">
        <f t="shared" si="11"/>
        <v>0</v>
      </c>
      <c r="N67" s="281">
        <f t="shared" si="11"/>
        <v>0</v>
      </c>
      <c r="O67" s="281">
        <f t="shared" si="11"/>
        <v>0</v>
      </c>
      <c r="P67" s="428">
        <f t="shared" si="4"/>
        <v>0.02</v>
      </c>
      <c r="Q67" s="139"/>
      <c r="R67" s="139"/>
      <c r="S67" s="139"/>
      <c r="T67" s="139"/>
      <c r="U67" s="139"/>
      <c r="V67" s="139"/>
      <c r="W67" s="139"/>
      <c r="X67" s="139"/>
      <c r="Y67" s="139"/>
      <c r="Z67" s="139"/>
      <c r="AA67" s="139"/>
      <c r="AB67" s="139"/>
      <c r="AG67" s="139"/>
      <c r="AH67" s="139"/>
      <c r="AI67" s="139"/>
    </row>
    <row r="68" spans="1:40" s="283" customFormat="1" ht="13.35" hidden="1" customHeight="1">
      <c r="A68" s="478" t="str">
        <f>+A47</f>
        <v>Diseño y seguimiento del modelo financiero  del Sistema Distrital de Cuidado</v>
      </c>
      <c r="B68" s="478">
        <f>+B47</f>
        <v>0.02</v>
      </c>
      <c r="C68" s="280" t="s">
        <v>74</v>
      </c>
      <c r="D68" s="281">
        <f>+D47*$B$47/$P$47</f>
        <v>0</v>
      </c>
      <c r="E68" s="317">
        <f t="shared" ref="E68:O68" si="12">+E47*$B$47/$P$47</f>
        <v>1.8000000000000004E-3</v>
      </c>
      <c r="F68" s="281">
        <f t="shared" si="12"/>
        <v>1.8000000000000004E-3</v>
      </c>
      <c r="G68" s="281">
        <f t="shared" si="12"/>
        <v>1.8000000000000004E-3</v>
      </c>
      <c r="H68" s="281">
        <f t="shared" si="12"/>
        <v>1.8000000000000004E-3</v>
      </c>
      <c r="I68" s="281">
        <f t="shared" si="12"/>
        <v>1.8000000000000004E-3</v>
      </c>
      <c r="J68" s="281">
        <f t="shared" si="12"/>
        <v>1.8000000000000004E-3</v>
      </c>
      <c r="K68" s="281">
        <f t="shared" si="12"/>
        <v>1.8000000000000004E-3</v>
      </c>
      <c r="L68" s="281">
        <f t="shared" si="12"/>
        <v>1.8000000000000004E-3</v>
      </c>
      <c r="M68" s="281">
        <f t="shared" si="12"/>
        <v>1.8000000000000004E-3</v>
      </c>
      <c r="N68" s="281">
        <f t="shared" si="12"/>
        <v>1.8000000000000004E-3</v>
      </c>
      <c r="O68" s="281">
        <f t="shared" si="12"/>
        <v>2.0000000000000005E-3</v>
      </c>
      <c r="P68" s="427">
        <f t="shared" si="4"/>
        <v>0.02</v>
      </c>
      <c r="Q68" s="139"/>
      <c r="R68" s="139"/>
      <c r="S68" s="139"/>
      <c r="T68" s="139"/>
      <c r="U68" s="139"/>
      <c r="V68" s="139"/>
      <c r="W68" s="139"/>
      <c r="X68" s="139"/>
      <c r="Y68" s="139"/>
      <c r="Z68" s="139"/>
      <c r="AA68" s="139"/>
      <c r="AB68" s="139"/>
      <c r="AG68" s="139"/>
      <c r="AH68" s="139"/>
      <c r="AI68" s="139"/>
    </row>
    <row r="69" spans="1:40" s="283" customFormat="1" ht="13.35" hidden="1" customHeight="1">
      <c r="A69" s="479"/>
      <c r="B69" s="479"/>
      <c r="C69" s="284" t="s">
        <v>75</v>
      </c>
      <c r="D69" s="281">
        <f t="shared" ref="D69:O69" si="13">+D48*$B$47/$P$47</f>
        <v>0</v>
      </c>
      <c r="E69" s="281">
        <f t="shared" si="13"/>
        <v>1.8000000000000004E-3</v>
      </c>
      <c r="F69" s="281">
        <f t="shared" si="13"/>
        <v>1.8000000000000004E-3</v>
      </c>
      <c r="G69" s="281">
        <f t="shared" si="13"/>
        <v>1.8000000000000004E-3</v>
      </c>
      <c r="H69" s="281">
        <f t="shared" si="13"/>
        <v>1.8000000000000004E-3</v>
      </c>
      <c r="I69" s="281">
        <f t="shared" si="13"/>
        <v>1.8000000000000004E-3</v>
      </c>
      <c r="J69" s="281">
        <f t="shared" si="13"/>
        <v>1.8000000000000004E-3</v>
      </c>
      <c r="K69" s="281">
        <f t="shared" si="13"/>
        <v>1.8000000000000004E-3</v>
      </c>
      <c r="L69" s="281">
        <f t="shared" si="13"/>
        <v>1.8000000000000004E-3</v>
      </c>
      <c r="M69" s="281">
        <f t="shared" si="13"/>
        <v>1.8000000000000004E-3</v>
      </c>
      <c r="N69" s="281">
        <f t="shared" si="13"/>
        <v>1.8000000000000004E-3</v>
      </c>
      <c r="O69" s="281">
        <f t="shared" si="13"/>
        <v>2.0000000000000005E-3</v>
      </c>
      <c r="P69" s="428">
        <f t="shared" si="4"/>
        <v>0.02</v>
      </c>
      <c r="Q69" s="139"/>
      <c r="R69" s="139"/>
      <c r="S69" s="139"/>
      <c r="T69" s="139"/>
      <c r="U69" s="139"/>
      <c r="V69" s="139"/>
      <c r="W69" s="139"/>
      <c r="X69" s="139"/>
      <c r="Y69" s="139"/>
      <c r="Z69" s="139"/>
      <c r="AA69" s="139"/>
      <c r="AB69" s="139"/>
      <c r="AG69" s="139"/>
      <c r="AH69" s="139"/>
      <c r="AI69" s="139"/>
    </row>
    <row r="70" spans="1:40" s="283" customFormat="1" ht="13.35" hidden="1" customHeight="1">
      <c r="A70" s="478" t="str">
        <f>+A50</f>
        <v>Diseño del modelo de seguimiento y monitoreo del Sistema Distrital de Cuidado</v>
      </c>
      <c r="B70" s="478">
        <f>+B50</f>
        <v>0.02</v>
      </c>
      <c r="C70" s="280" t="s">
        <v>74</v>
      </c>
      <c r="D70" s="281">
        <f>+D50*$B$50/$P$50</f>
        <v>0</v>
      </c>
      <c r="E70" s="317">
        <f t="shared" ref="E70:O70" si="14">+E50*$B$50/$P$50</f>
        <v>1.8000000000000004E-3</v>
      </c>
      <c r="F70" s="281">
        <f t="shared" si="14"/>
        <v>1.8000000000000004E-3</v>
      </c>
      <c r="G70" s="281">
        <f t="shared" si="14"/>
        <v>1.8000000000000004E-3</v>
      </c>
      <c r="H70" s="281">
        <f t="shared" si="14"/>
        <v>1.8000000000000004E-3</v>
      </c>
      <c r="I70" s="281">
        <f t="shared" si="14"/>
        <v>1.8000000000000004E-3</v>
      </c>
      <c r="J70" s="281">
        <f t="shared" si="14"/>
        <v>1.8000000000000004E-3</v>
      </c>
      <c r="K70" s="281">
        <f t="shared" si="14"/>
        <v>1.8000000000000004E-3</v>
      </c>
      <c r="L70" s="281">
        <f t="shared" si="14"/>
        <v>1.8000000000000004E-3</v>
      </c>
      <c r="M70" s="281">
        <f t="shared" si="14"/>
        <v>1.8000000000000004E-3</v>
      </c>
      <c r="N70" s="281">
        <f t="shared" si="14"/>
        <v>1.8000000000000004E-3</v>
      </c>
      <c r="O70" s="281">
        <f t="shared" si="14"/>
        <v>2.0000000000000005E-3</v>
      </c>
      <c r="P70" s="427">
        <f>SUM(D70:O70)</f>
        <v>0.02</v>
      </c>
      <c r="Q70" s="139"/>
      <c r="R70" s="139"/>
      <c r="S70" s="139"/>
      <c r="T70" s="139"/>
      <c r="U70" s="139"/>
      <c r="V70" s="139"/>
      <c r="W70" s="139"/>
      <c r="X70" s="139"/>
      <c r="Y70" s="139"/>
      <c r="Z70" s="139"/>
      <c r="AA70" s="139"/>
      <c r="AB70" s="139"/>
      <c r="AG70" s="139"/>
      <c r="AH70" s="139"/>
      <c r="AI70" s="139"/>
    </row>
    <row r="71" spans="1:40" s="283" customFormat="1" ht="13.35" hidden="1" customHeight="1">
      <c r="A71" s="479"/>
      <c r="B71" s="479"/>
      <c r="C71" s="284" t="s">
        <v>75</v>
      </c>
      <c r="D71" s="281">
        <f t="shared" ref="D71:O71" si="15">+D51*$B$50/$P$50</f>
        <v>0</v>
      </c>
      <c r="E71" s="281">
        <f t="shared" si="15"/>
        <v>1.8000000000000004E-3</v>
      </c>
      <c r="F71" s="281">
        <f t="shared" si="15"/>
        <v>1.8000000000000004E-3</v>
      </c>
      <c r="G71" s="281">
        <f t="shared" si="15"/>
        <v>1.8000000000000004E-3</v>
      </c>
      <c r="H71" s="281">
        <f t="shared" si="15"/>
        <v>1.8000000000000004E-3</v>
      </c>
      <c r="I71" s="281">
        <f t="shared" si="15"/>
        <v>1.8000000000000004E-3</v>
      </c>
      <c r="J71" s="281">
        <f t="shared" si="15"/>
        <v>1.8000000000000004E-3</v>
      </c>
      <c r="K71" s="281">
        <f t="shared" si="15"/>
        <v>1.8000000000000004E-3</v>
      </c>
      <c r="L71" s="281">
        <f t="shared" si="15"/>
        <v>1.8000000000000004E-3</v>
      </c>
      <c r="M71" s="281">
        <f t="shared" si="15"/>
        <v>1.8000000000000004E-3</v>
      </c>
      <c r="N71" s="281">
        <f t="shared" si="15"/>
        <v>1.8000000000000004E-3</v>
      </c>
      <c r="O71" s="281">
        <f t="shared" si="15"/>
        <v>2.0000000000000006E-4</v>
      </c>
      <c r="P71" s="428">
        <f>SUM(D71:O71)</f>
        <v>1.8199999999999997E-2</v>
      </c>
      <c r="Q71" s="139"/>
      <c r="R71" s="139"/>
      <c r="S71" s="139"/>
      <c r="T71" s="139"/>
      <c r="U71" s="139"/>
      <c r="V71" s="139"/>
      <c r="W71" s="139"/>
      <c r="X71" s="139"/>
      <c r="Y71" s="139"/>
      <c r="Z71" s="139"/>
      <c r="AA71" s="139"/>
      <c r="AB71" s="139"/>
      <c r="AG71" s="139"/>
      <c r="AH71" s="139"/>
      <c r="AI71" s="139"/>
    </row>
    <row r="72" spans="1:40" s="283" customFormat="1" ht="11.25" hidden="1">
      <c r="A72" s="139"/>
      <c r="B72" s="139"/>
      <c r="C72" s="429"/>
      <c r="D72" s="430">
        <f>+D61+D63+D65+D67+D69+D71</f>
        <v>5.0000000000000012E-4</v>
      </c>
      <c r="E72" s="430">
        <f t="shared" ref="E72:O72" si="16">+E61+E63+E65+E67+E69+E71</f>
        <v>1.2500000000000001E-2</v>
      </c>
      <c r="F72" s="430">
        <f t="shared" si="16"/>
        <v>1.2799999999999999E-2</v>
      </c>
      <c r="G72" s="430">
        <f t="shared" si="16"/>
        <v>1.3299999999999999E-2</v>
      </c>
      <c r="H72" s="430">
        <f t="shared" si="16"/>
        <v>1.3600000000000001E-2</v>
      </c>
      <c r="I72" s="430">
        <f t="shared" si="16"/>
        <v>1.1599999999999999E-2</v>
      </c>
      <c r="J72" s="430">
        <f t="shared" si="16"/>
        <v>6.6000000000000008E-3</v>
      </c>
      <c r="K72" s="430">
        <f t="shared" si="16"/>
        <v>6.000000000000001E-3</v>
      </c>
      <c r="L72" s="430">
        <f t="shared" si="16"/>
        <v>5.6000000000000008E-3</v>
      </c>
      <c r="M72" s="430">
        <f t="shared" si="16"/>
        <v>5.8000000000000005E-3</v>
      </c>
      <c r="N72" s="430">
        <f t="shared" si="16"/>
        <v>6.000000000000001E-3</v>
      </c>
      <c r="O72" s="430">
        <f t="shared" si="16"/>
        <v>3.9000000000000007E-3</v>
      </c>
      <c r="P72" s="430">
        <f>+P61+P63+P65+P67+P69+P71</f>
        <v>9.820000000000001E-2</v>
      </c>
      <c r="Q72" s="281"/>
      <c r="R72" s="139"/>
      <c r="S72" s="139"/>
      <c r="T72" s="139"/>
      <c r="U72" s="139"/>
      <c r="V72" s="139"/>
      <c r="W72" s="139"/>
      <c r="X72" s="139"/>
      <c r="Y72" s="139"/>
      <c r="Z72" s="139"/>
      <c r="AA72" s="139"/>
      <c r="AB72" s="139"/>
      <c r="AG72" s="139"/>
      <c r="AH72" s="139"/>
      <c r="AI72" s="139"/>
    </row>
    <row r="73" spans="1:40" s="289" customFormat="1" ht="12.75" hidden="1">
      <c r="A73" s="431"/>
      <c r="B73" s="431"/>
      <c r="C73" s="290" t="s">
        <v>111</v>
      </c>
      <c r="D73" s="291">
        <f>D72*$C$30/$B$30</f>
        <v>3.5000000000000005E-3</v>
      </c>
      <c r="E73" s="291">
        <f>E72*$C$30/$B$30</f>
        <v>8.7499999999999981E-2</v>
      </c>
      <c r="F73" s="291">
        <f>F72*$C$30/$B$30</f>
        <v>8.9599999999999985E-2</v>
      </c>
      <c r="G73" s="291">
        <f t="shared" ref="G73:O73" si="17">G72*$C$30/$B$30</f>
        <v>9.3099999999999988E-2</v>
      </c>
      <c r="H73" s="291">
        <f t="shared" si="17"/>
        <v>9.5200000000000007E-2</v>
      </c>
      <c r="I73" s="291">
        <f t="shared" si="17"/>
        <v>8.1199999999999981E-2</v>
      </c>
      <c r="J73" s="291">
        <f t="shared" si="17"/>
        <v>4.6199999999999998E-2</v>
      </c>
      <c r="K73" s="291">
        <f t="shared" si="17"/>
        <v>4.2000000000000003E-2</v>
      </c>
      <c r="L73" s="291">
        <f t="shared" si="17"/>
        <v>3.9200000000000006E-2</v>
      </c>
      <c r="M73" s="291">
        <f t="shared" si="17"/>
        <v>4.0599999999999997E-2</v>
      </c>
      <c r="N73" s="291">
        <f t="shared" si="17"/>
        <v>4.2000000000000003E-2</v>
      </c>
      <c r="O73" s="291">
        <f t="shared" si="17"/>
        <v>2.7300000000000001E-2</v>
      </c>
      <c r="P73" s="292">
        <f>SUM(D73:O73)</f>
        <v>0.68740000000000001</v>
      </c>
      <c r="Q73" s="426"/>
      <c r="R73" s="431"/>
      <c r="S73" s="431"/>
      <c r="T73" s="431"/>
      <c r="U73" s="431"/>
      <c r="V73" s="431"/>
      <c r="W73" s="431"/>
      <c r="X73" s="431"/>
      <c r="Y73" s="431"/>
      <c r="Z73" s="431"/>
      <c r="AA73" s="431"/>
      <c r="AB73" s="431"/>
      <c r="AG73" s="431"/>
      <c r="AH73" s="431"/>
      <c r="AI73" s="431"/>
    </row>
    <row r="74" spans="1:40" s="294" customFormat="1" ht="13.5" hidden="1" customHeight="1">
      <c r="A74" s="426"/>
      <c r="B74" s="426"/>
      <c r="C74" s="142" t="s">
        <v>112</v>
      </c>
      <c r="D74" s="139">
        <f>+(D73/1.75)+0.3</f>
        <v>0.30199999999999999</v>
      </c>
      <c r="E74" s="139">
        <f>+((+D73+E73)/1.75)+0.3</f>
        <v>0.35199999999999998</v>
      </c>
      <c r="F74" s="139">
        <f>+((+D73+E73+F73)/1.75)+0.3</f>
        <v>0.4032</v>
      </c>
      <c r="G74" s="139">
        <f>+((D73+E73+F73+G73)/1.75)+0.3</f>
        <v>0.45639999999999992</v>
      </c>
      <c r="H74" s="139">
        <f>+((D73+E73+F73+G73+H73)/1.75)+0.3</f>
        <v>0.51079999999999992</v>
      </c>
      <c r="I74" s="139">
        <f>+((D73+E73+F73+G73+H73+I73)/1.75)+0.3</f>
        <v>0.55719999999999992</v>
      </c>
      <c r="J74" s="139">
        <f>+((D73+E73+F73+G73+H73+I73+J73)/1.75)+0.3</f>
        <v>0.5835999999999999</v>
      </c>
      <c r="K74" s="139">
        <f>+((D73+E73+F73+G73+H73+I73+J73+K73)/1.75)+0.3</f>
        <v>0.60759999999999992</v>
      </c>
      <c r="L74" s="139">
        <f>+((D73+E73+F73+G73+H73+I73+J73+K73+L73)/1.75)+0.3</f>
        <v>0.63</v>
      </c>
      <c r="M74" s="139">
        <f>+((D73+E73+F73+G73+H73+I73+J73+K73+L73+M73)/1.75)+0.3</f>
        <v>0.6532</v>
      </c>
      <c r="N74" s="139">
        <f>+((D73+E73+F73+G73+H73+I73+J73+K73+L73+M73+N73)/1.75)+0.3</f>
        <v>0.67720000000000002</v>
      </c>
      <c r="O74" s="139">
        <f>+((D73+E73+F73+G73+H73+I73+J73+K73+L73+M73+N73+O73)/1.75)+0.3</f>
        <v>0.69279999999999997</v>
      </c>
      <c r="P74" s="426">
        <f>+O74</f>
        <v>0.69279999999999997</v>
      </c>
      <c r="Q74" s="426"/>
      <c r="R74" s="426"/>
      <c r="S74" s="426"/>
      <c r="T74" s="426"/>
      <c r="U74" s="426"/>
      <c r="V74" s="426"/>
      <c r="W74" s="426"/>
      <c r="X74" s="426"/>
      <c r="Y74" s="426"/>
      <c r="Z74" s="426"/>
      <c r="AA74" s="426"/>
      <c r="AB74" s="426"/>
      <c r="AC74" s="293"/>
      <c r="AD74" s="293"/>
      <c r="AE74" s="293"/>
      <c r="AF74" s="293"/>
      <c r="AG74" s="426"/>
      <c r="AH74" s="426"/>
      <c r="AI74" s="426"/>
      <c r="AJ74" s="293"/>
      <c r="AK74" s="293"/>
      <c r="AL74" s="293"/>
      <c r="AM74" s="293"/>
      <c r="AN74" s="293"/>
    </row>
    <row r="75" spans="1:40" hidden="1"/>
    <row r="76" spans="1:40" hidden="1"/>
    <row r="83" spans="7:7">
      <c r="G83" s="318"/>
    </row>
  </sheetData>
  <mergeCells count="140">
    <mergeCell ref="A41:A42"/>
    <mergeCell ref="B41:B42"/>
    <mergeCell ref="Q41:AB43"/>
    <mergeCell ref="A43:B43"/>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35:A36"/>
    <mergeCell ref="B35:B36"/>
    <mergeCell ref="Q35:AB37"/>
    <mergeCell ref="A37:B37"/>
    <mergeCell ref="A38:A39"/>
    <mergeCell ref="B38:B39"/>
    <mergeCell ref="Q38:AB40"/>
    <mergeCell ref="A40:B40"/>
    <mergeCell ref="Y29:AB29"/>
    <mergeCell ref="A32:AB32"/>
    <mergeCell ref="A33:A34"/>
    <mergeCell ref="B33:B34"/>
    <mergeCell ref="C33:P33"/>
    <mergeCell ref="Q33:AB33"/>
    <mergeCell ref="Q34:AB34"/>
    <mergeCell ref="A31:C31"/>
    <mergeCell ref="Q30:T31"/>
    <mergeCell ref="U30:X31"/>
    <mergeCell ref="Y30:AB31"/>
    <mergeCell ref="A44:A45"/>
    <mergeCell ref="B44:B45"/>
    <mergeCell ref="Q44:AB46"/>
    <mergeCell ref="A46:B46"/>
    <mergeCell ref="A54:A56"/>
    <mergeCell ref="B54:G54"/>
    <mergeCell ref="H54:M56"/>
    <mergeCell ref="N54:S54"/>
    <mergeCell ref="T54:W56"/>
    <mergeCell ref="X54:AB54"/>
    <mergeCell ref="A47:A48"/>
    <mergeCell ref="B47:B48"/>
    <mergeCell ref="Q47:AB49"/>
    <mergeCell ref="A49:B49"/>
    <mergeCell ref="A50:A51"/>
    <mergeCell ref="B50:B51"/>
    <mergeCell ref="Q50:AB52"/>
    <mergeCell ref="A52:B52"/>
    <mergeCell ref="AG44:AG45"/>
    <mergeCell ref="AG38:AG39"/>
    <mergeCell ref="AG32:AG35"/>
    <mergeCell ref="A66:A67"/>
    <mergeCell ref="B66:B67"/>
    <mergeCell ref="A68:A69"/>
    <mergeCell ref="B68:B69"/>
    <mergeCell ref="A70:A71"/>
    <mergeCell ref="B70:B71"/>
    <mergeCell ref="A58:A59"/>
    <mergeCell ref="B58:B59"/>
    <mergeCell ref="C58:P58"/>
    <mergeCell ref="A60:A61"/>
    <mergeCell ref="B60:B61"/>
    <mergeCell ref="A62:A63"/>
    <mergeCell ref="B62:B63"/>
    <mergeCell ref="A64:A65"/>
    <mergeCell ref="B64:B65"/>
    <mergeCell ref="B55:G55"/>
    <mergeCell ref="N55:S55"/>
    <mergeCell ref="X55:AB55"/>
    <mergeCell ref="B56:G56"/>
    <mergeCell ref="N56:S56"/>
    <mergeCell ref="X56:AB56"/>
  </mergeCells>
  <dataValidations count="3">
    <dataValidation type="textLength" operator="lessThanOrEqual" allowBlank="1" showInputMessage="1" showErrorMessage="1" errorTitle="Máximo 1.000 caracteres" error="Máximo 1.000 caracteres" sqref="U30">
      <formula1>1000</formula1>
    </dataValidation>
    <dataValidation type="textLength" operator="lessThanOrEqual" allowBlank="1" showInputMessage="1" showErrorMessage="1" errorTitle="Máximo 2.000 caracteres" error="Máximo 2.000 caracteres" sqref="Q30 AG32 AD30:AG31 Q35:AB52">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39370078740157483" bottom="0.39370078740157483" header="0" footer="0"/>
  <pageSetup scale="2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52"/>
  <sheetViews>
    <sheetView topLeftCell="G32" zoomScale="75" zoomScaleNormal="90" zoomScaleSheetLayoutView="75" workbookViewId="0">
      <selection activeCell="Z18" sqref="Z18:AB18"/>
    </sheetView>
  </sheetViews>
  <sheetFormatPr baseColWidth="10" defaultColWidth="11.42578125" defaultRowHeight="15"/>
  <cols>
    <col min="1" max="1" width="38.42578125" style="119" customWidth="1"/>
    <col min="2" max="3" width="17.42578125" style="119" customWidth="1"/>
    <col min="4" max="15" width="7.42578125" style="119" customWidth="1"/>
    <col min="16" max="16" width="13.42578125" style="119" customWidth="1"/>
    <col min="17" max="20" width="16" style="119" customWidth="1"/>
    <col min="21" max="21" width="13" style="119" customWidth="1"/>
    <col min="22" max="22" width="7.7109375" style="119" customWidth="1"/>
    <col min="23" max="23" width="9.140625" style="119" customWidth="1"/>
    <col min="24" max="24" width="11.42578125" style="119" customWidth="1"/>
    <col min="25" max="26" width="14.85546875" style="119" customWidth="1"/>
    <col min="27" max="28" width="11" style="119" customWidth="1"/>
    <col min="29" max="29" width="7.42578125" style="119" customWidth="1"/>
    <col min="30" max="30" width="5.140625" style="119" bestFit="1" customWidth="1"/>
    <col min="31" max="31" width="28.7109375" style="119" customWidth="1"/>
    <col min="32" max="32" width="8.42578125" style="119" customWidth="1"/>
    <col min="33" max="33" width="18.42578125" style="119" bestFit="1" customWidth="1"/>
    <col min="34" max="34" width="5.42578125" style="119" customWidth="1"/>
    <col min="35" max="35" width="18.42578125" style="119" bestFit="1" customWidth="1"/>
    <col min="36" max="36" width="4.4257812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8"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8"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8"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8"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755" t="s">
        <v>6</v>
      </c>
      <c r="AA4" s="756"/>
      <c r="AB4" s="757"/>
    </row>
    <row r="5" spans="1:28"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8"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8"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8"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8"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8"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8"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743" t="s">
        <v>19</v>
      </c>
      <c r="S11" s="744"/>
      <c r="T11" s="744"/>
      <c r="U11" s="744"/>
      <c r="V11" s="745"/>
      <c r="W11" s="642" t="s">
        <v>20</v>
      </c>
      <c r="X11" s="613"/>
      <c r="Y11" s="694" t="s">
        <v>21</v>
      </c>
      <c r="Z11" s="695"/>
      <c r="AA11" s="695"/>
      <c r="AB11" s="696"/>
    </row>
    <row r="12" spans="1:28"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8" s="78" customFormat="1" ht="37.5" customHeight="1" thickBot="1">
      <c r="A13" s="637" t="s">
        <v>22</v>
      </c>
      <c r="B13" s="638"/>
      <c r="C13" s="699" t="s">
        <v>113</v>
      </c>
      <c r="D13" s="700"/>
      <c r="E13" s="700"/>
      <c r="F13" s="700"/>
      <c r="G13" s="700"/>
      <c r="H13" s="700"/>
      <c r="I13" s="700"/>
      <c r="J13" s="700"/>
      <c r="K13" s="700"/>
      <c r="L13" s="700"/>
      <c r="M13" s="700"/>
      <c r="N13" s="700"/>
      <c r="O13" s="700"/>
      <c r="P13" s="700"/>
      <c r="Q13" s="701"/>
      <c r="R13" s="6"/>
      <c r="S13" s="515" t="s">
        <v>24</v>
      </c>
      <c r="T13" s="515"/>
      <c r="U13" s="77">
        <f>+Ponderación!E97</f>
        <v>13</v>
      </c>
      <c r="V13" s="702" t="s">
        <v>25</v>
      </c>
      <c r="W13" s="515"/>
      <c r="X13" s="515"/>
      <c r="Y13" s="515"/>
      <c r="Z13" s="6"/>
      <c r="AA13" s="703">
        <f>B30</f>
        <v>0.12000000000000001</v>
      </c>
      <c r="AB13" s="704"/>
    </row>
    <row r="14" spans="1:28"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8" ht="35.25" customHeight="1" thickBot="1">
      <c r="A16" s="609"/>
      <c r="B16" s="610"/>
      <c r="C16" s="74"/>
      <c r="D16" s="617"/>
      <c r="E16" s="519"/>
      <c r="F16" s="517"/>
      <c r="G16" s="519"/>
      <c r="H16" s="618" t="s">
        <v>32</v>
      </c>
      <c r="I16" s="619"/>
      <c r="J16" s="413"/>
      <c r="K16" s="413"/>
      <c r="L16" s="413"/>
      <c r="M16" s="3"/>
      <c r="N16" s="258"/>
      <c r="O16" s="3"/>
      <c r="P16" s="3"/>
      <c r="Q16" s="733" t="s">
        <v>33</v>
      </c>
      <c r="R16" s="734"/>
      <c r="S16" s="734"/>
      <c r="T16" s="734"/>
      <c r="U16" s="734"/>
      <c r="V16" s="735"/>
      <c r="W16" s="736" t="s">
        <v>34</v>
      </c>
      <c r="X16" s="734"/>
      <c r="Y16" s="734"/>
      <c r="Z16" s="734"/>
      <c r="AA16" s="734"/>
      <c r="AB16" s="737"/>
    </row>
    <row r="17" spans="1:40" ht="27"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127"/>
      <c r="AD17" s="127"/>
    </row>
    <row r="18" spans="1:40" ht="20.100000000000001" customHeight="1" thickBot="1">
      <c r="A18" s="5"/>
      <c r="B18" s="6"/>
      <c r="C18" s="8"/>
      <c r="D18" s="8"/>
      <c r="E18" s="8"/>
      <c r="F18" s="8"/>
      <c r="G18" s="128"/>
      <c r="H18" s="128"/>
      <c r="I18" s="128"/>
      <c r="J18" s="128"/>
      <c r="K18" s="128"/>
      <c r="L18" s="128"/>
      <c r="M18" s="8"/>
      <c r="N18" s="8"/>
      <c r="O18" s="8"/>
      <c r="P18" s="8"/>
      <c r="Q18" s="632">
        <v>12000000</v>
      </c>
      <c r="R18" s="633"/>
      <c r="S18" s="634"/>
      <c r="T18" s="635">
        <v>12000000</v>
      </c>
      <c r="U18" s="633"/>
      <c r="V18" s="634"/>
      <c r="W18" s="635">
        <f>+Ponderación!E6</f>
        <v>166569790.70000002</v>
      </c>
      <c r="X18" s="633"/>
      <c r="Y18" s="634"/>
      <c r="Z18" s="635">
        <v>158489791</v>
      </c>
      <c r="AA18" s="633"/>
      <c r="AB18" s="636"/>
      <c r="AC18" s="165"/>
      <c r="AD18" s="129"/>
      <c r="AE18" s="349"/>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731"/>
      <c r="B23" s="575" t="s">
        <v>43</v>
      </c>
      <c r="C23" s="576"/>
      <c r="D23" s="579"/>
      <c r="E23" s="580"/>
      <c r="F23" s="581"/>
      <c r="G23" s="585"/>
      <c r="H23" s="586"/>
      <c r="I23" s="587"/>
      <c r="J23" s="591"/>
      <c r="K23" s="592"/>
      <c r="L23" s="593"/>
      <c r="M23" s="591" t="s">
        <v>32</v>
      </c>
      <c r="N23" s="592"/>
      <c r="O23" s="593"/>
      <c r="P23" s="563"/>
      <c r="Q23" s="565" t="s">
        <v>114</v>
      </c>
      <c r="R23" s="565"/>
      <c r="S23" s="565"/>
      <c r="T23" s="565"/>
      <c r="U23" s="565"/>
      <c r="V23" s="565"/>
      <c r="W23" s="565"/>
      <c r="X23" s="565"/>
      <c r="Y23" s="565"/>
      <c r="Z23" s="565"/>
      <c r="AA23" s="565"/>
      <c r="AB23" s="566"/>
    </row>
    <row r="24" spans="1:40" ht="15" customHeight="1">
      <c r="A24" s="731"/>
      <c r="B24" s="577"/>
      <c r="C24" s="578"/>
      <c r="D24" s="582"/>
      <c r="E24" s="583"/>
      <c r="F24" s="584"/>
      <c r="G24" s="588"/>
      <c r="H24" s="589"/>
      <c r="I24" s="590"/>
      <c r="J24" s="594"/>
      <c r="K24" s="595"/>
      <c r="L24" s="596"/>
      <c r="M24" s="594"/>
      <c r="N24" s="595"/>
      <c r="O24" s="596"/>
      <c r="P24" s="564"/>
      <c r="Q24" s="565"/>
      <c r="R24" s="565"/>
      <c r="S24" s="565"/>
      <c r="T24" s="565"/>
      <c r="U24" s="565"/>
      <c r="V24" s="565"/>
      <c r="W24" s="565"/>
      <c r="X24" s="565"/>
      <c r="Y24" s="565"/>
      <c r="Z24" s="565"/>
      <c r="AA24" s="565"/>
      <c r="AB24" s="566"/>
    </row>
    <row r="25" spans="1:40" ht="15" customHeight="1">
      <c r="A25" s="731"/>
      <c r="B25" s="577"/>
      <c r="C25" s="578"/>
      <c r="D25" s="582"/>
      <c r="E25" s="583"/>
      <c r="F25" s="584"/>
      <c r="G25" s="588"/>
      <c r="H25" s="589"/>
      <c r="I25" s="590"/>
      <c r="J25" s="594"/>
      <c r="K25" s="595"/>
      <c r="L25" s="596"/>
      <c r="M25" s="594"/>
      <c r="N25" s="595"/>
      <c r="O25" s="596"/>
      <c r="P25" s="564"/>
      <c r="Q25" s="565"/>
      <c r="R25" s="565"/>
      <c r="S25" s="565"/>
      <c r="T25" s="565"/>
      <c r="U25" s="565"/>
      <c r="V25" s="565"/>
      <c r="W25" s="565"/>
      <c r="X25" s="565"/>
      <c r="Y25" s="565"/>
      <c r="Z25" s="565"/>
      <c r="AA25" s="565"/>
      <c r="AB25" s="566"/>
    </row>
    <row r="26" spans="1:40" ht="15" customHeight="1" thickBot="1">
      <c r="A26" s="732"/>
      <c r="B26" s="577"/>
      <c r="C26" s="578"/>
      <c r="D26" s="582"/>
      <c r="E26" s="583"/>
      <c r="F26" s="584"/>
      <c r="G26" s="588"/>
      <c r="H26" s="589"/>
      <c r="I26" s="590"/>
      <c r="J26" s="594"/>
      <c r="K26" s="595"/>
      <c r="L26" s="596"/>
      <c r="M26" s="594"/>
      <c r="N26" s="595"/>
      <c r="O26" s="596"/>
      <c r="P26" s="564"/>
      <c r="Q26" s="567"/>
      <c r="R26" s="567"/>
      <c r="S26" s="567"/>
      <c r="T26" s="567"/>
      <c r="U26" s="567"/>
      <c r="V26" s="567"/>
      <c r="W26" s="567"/>
      <c r="X26" s="567"/>
      <c r="Y26" s="567"/>
      <c r="Z26" s="567"/>
      <c r="AA26" s="567"/>
      <c r="AB26" s="568"/>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E28" s="130"/>
      <c r="AF28" s="130"/>
      <c r="AG28" s="130"/>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E29" s="130"/>
      <c r="AF29" s="130"/>
      <c r="AG29" s="130"/>
      <c r="AH29" s="130"/>
      <c r="AI29" s="130"/>
      <c r="AJ29" s="130"/>
      <c r="AK29" s="130"/>
      <c r="AL29" s="130"/>
      <c r="AM29" s="130"/>
      <c r="AN29" s="131"/>
    </row>
    <row r="30" spans="1:40" ht="225" customHeight="1" thickBot="1">
      <c r="A30" s="437" t="s">
        <v>115</v>
      </c>
      <c r="B30" s="157">
        <f>B34+B37+B40</f>
        <v>0.12000000000000001</v>
      </c>
      <c r="C30" s="438">
        <v>13</v>
      </c>
      <c r="D30" s="438">
        <v>13</v>
      </c>
      <c r="E30" s="438">
        <v>13</v>
      </c>
      <c r="F30" s="438">
        <v>13</v>
      </c>
      <c r="G30" s="438">
        <v>13</v>
      </c>
      <c r="H30" s="438">
        <v>13</v>
      </c>
      <c r="I30" s="438">
        <v>13</v>
      </c>
      <c r="J30" s="438">
        <v>13</v>
      </c>
      <c r="K30" s="438">
        <v>13</v>
      </c>
      <c r="L30" s="438">
        <v>13</v>
      </c>
      <c r="M30" s="438">
        <v>13</v>
      </c>
      <c r="N30" s="438">
        <v>13</v>
      </c>
      <c r="O30" s="438">
        <v>13</v>
      </c>
      <c r="P30" s="438">
        <f>+L30</f>
        <v>13</v>
      </c>
      <c r="Q30" s="724" t="s">
        <v>394</v>
      </c>
      <c r="R30" s="725"/>
      <c r="S30" s="725"/>
      <c r="T30" s="726"/>
      <c r="U30" s="724"/>
      <c r="V30" s="725"/>
      <c r="W30" s="725"/>
      <c r="X30" s="726"/>
      <c r="Y30" s="724" t="s">
        <v>392</v>
      </c>
      <c r="Z30" s="725"/>
      <c r="AA30" s="725"/>
      <c r="AB30" s="726"/>
      <c r="AC30" s="132"/>
      <c r="AD30" s="345">
        <f>LEN(Q30)</f>
        <v>844</v>
      </c>
      <c r="AE30" s="435" t="s">
        <v>415</v>
      </c>
      <c r="AG30" s="133">
        <f>LEN(AE30)</f>
        <v>239</v>
      </c>
      <c r="AH30" s="130"/>
      <c r="AI30" s="130"/>
      <c r="AJ30" s="130"/>
      <c r="AK30" s="130"/>
      <c r="AL30" s="130"/>
      <c r="AM30" s="130"/>
      <c r="AN30" s="131"/>
    </row>
    <row r="31" spans="1:40" ht="18.75">
      <c r="A31" s="727"/>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6"/>
      <c r="AD31" s="134"/>
      <c r="AE31" s="130"/>
      <c r="AF31" s="130"/>
      <c r="AG31" s="130"/>
      <c r="AH31" s="130"/>
      <c r="AI31" s="130"/>
      <c r="AJ31" s="130"/>
      <c r="AK31" s="130"/>
      <c r="AL31" s="130"/>
      <c r="AM31" s="130"/>
      <c r="AN31" s="131"/>
    </row>
    <row r="32" spans="1:40" ht="15" customHeight="1">
      <c r="A32" s="728" t="s">
        <v>66</v>
      </c>
      <c r="B32" s="729" t="s">
        <v>67</v>
      </c>
      <c r="C32" s="604" t="s">
        <v>68</v>
      </c>
      <c r="D32" s="605"/>
      <c r="E32" s="605"/>
      <c r="F32" s="605"/>
      <c r="G32" s="605"/>
      <c r="H32" s="605"/>
      <c r="I32" s="605"/>
      <c r="J32" s="605"/>
      <c r="K32" s="605"/>
      <c r="L32" s="605"/>
      <c r="M32" s="605"/>
      <c r="N32" s="605"/>
      <c r="O32" s="605"/>
      <c r="P32" s="606"/>
      <c r="Q32" s="604" t="s">
        <v>69</v>
      </c>
      <c r="R32" s="605"/>
      <c r="S32" s="605"/>
      <c r="T32" s="605"/>
      <c r="U32" s="605"/>
      <c r="V32" s="605"/>
      <c r="W32" s="605"/>
      <c r="X32" s="605"/>
      <c r="Y32" s="605"/>
      <c r="Z32" s="605"/>
      <c r="AA32" s="605"/>
      <c r="AB32" s="730"/>
      <c r="AE32" s="130"/>
      <c r="AF32" s="130"/>
      <c r="AG32" s="130"/>
      <c r="AH32" s="130"/>
      <c r="AI32" s="130"/>
      <c r="AJ32" s="130"/>
      <c r="AK32" s="130"/>
      <c r="AL32" s="130"/>
      <c r="AM32" s="130"/>
      <c r="AN32" s="131"/>
    </row>
    <row r="33" spans="1:40" ht="25.5" customHeight="1">
      <c r="A33" s="537"/>
      <c r="B33" s="539"/>
      <c r="C33" s="417" t="s">
        <v>70</v>
      </c>
      <c r="D33" s="417" t="s">
        <v>48</v>
      </c>
      <c r="E33" s="417" t="s">
        <v>49</v>
      </c>
      <c r="F33" s="417" t="s">
        <v>50</v>
      </c>
      <c r="G33" s="417" t="s">
        <v>51</v>
      </c>
      <c r="H33" s="417" t="s">
        <v>52</v>
      </c>
      <c r="I33" s="417" t="s">
        <v>53</v>
      </c>
      <c r="J33" s="417" t="s">
        <v>54</v>
      </c>
      <c r="K33" s="417" t="s">
        <v>55</v>
      </c>
      <c r="L33" s="417" t="s">
        <v>56</v>
      </c>
      <c r="M33" s="417" t="s">
        <v>57</v>
      </c>
      <c r="N33" s="417" t="s">
        <v>58</v>
      </c>
      <c r="O33" s="417" t="s">
        <v>59</v>
      </c>
      <c r="P33" s="107" t="s">
        <v>71</v>
      </c>
      <c r="Q33" s="604" t="s">
        <v>72</v>
      </c>
      <c r="R33" s="605"/>
      <c r="S33" s="605"/>
      <c r="T33" s="605"/>
      <c r="U33" s="605"/>
      <c r="V33" s="605"/>
      <c r="W33" s="605"/>
      <c r="X33" s="605"/>
      <c r="Y33" s="605"/>
      <c r="Z33" s="605"/>
      <c r="AA33" s="605"/>
      <c r="AB33" s="730"/>
      <c r="AE33" s="135"/>
      <c r="AF33" s="135"/>
      <c r="AG33" s="135"/>
      <c r="AH33" s="135"/>
      <c r="AI33" s="135"/>
      <c r="AJ33" s="135"/>
      <c r="AK33" s="135"/>
      <c r="AL33" s="135"/>
      <c r="AM33" s="135"/>
      <c r="AN33" s="131"/>
    </row>
    <row r="34" spans="1:40" ht="39.950000000000003" customHeight="1">
      <c r="A34" s="718" t="s">
        <v>116</v>
      </c>
      <c r="B34" s="720">
        <v>0.05</v>
      </c>
      <c r="C34" s="57" t="s">
        <v>74</v>
      </c>
      <c r="D34" s="59">
        <v>7.0000000000000007E-2</v>
      </c>
      <c r="E34" s="59">
        <v>0.15</v>
      </c>
      <c r="F34" s="59">
        <v>7.0000000000000007E-2</v>
      </c>
      <c r="G34" s="59">
        <v>7.0000000000000007E-2</v>
      </c>
      <c r="H34" s="59">
        <v>7.0000000000000007E-2</v>
      </c>
      <c r="I34" s="59">
        <v>7.0000000000000007E-2</v>
      </c>
      <c r="J34" s="59">
        <v>7.0000000000000007E-2</v>
      </c>
      <c r="K34" s="59">
        <v>0.15</v>
      </c>
      <c r="L34" s="59">
        <v>7.0000000000000007E-2</v>
      </c>
      <c r="M34" s="59">
        <v>7.0000000000000007E-2</v>
      </c>
      <c r="N34" s="59">
        <v>7.0000000000000007E-2</v>
      </c>
      <c r="O34" s="59">
        <v>7.0000000000000007E-2</v>
      </c>
      <c r="P34" s="157">
        <f t="shared" ref="P34:P39" si="0">SUM(D34:O34)</f>
        <v>1.0000000000000002</v>
      </c>
      <c r="Q34" s="525" t="s">
        <v>391</v>
      </c>
      <c r="R34" s="526"/>
      <c r="S34" s="526"/>
      <c r="T34" s="526"/>
      <c r="U34" s="526"/>
      <c r="V34" s="526"/>
      <c r="W34" s="526"/>
      <c r="X34" s="526"/>
      <c r="Y34" s="526"/>
      <c r="Z34" s="526"/>
      <c r="AA34" s="526"/>
      <c r="AB34" s="527"/>
      <c r="AC34" s="56"/>
      <c r="AM34" s="131"/>
      <c r="AN34" s="131"/>
    </row>
    <row r="35" spans="1:40" ht="39.950000000000003" customHeight="1">
      <c r="A35" s="719"/>
      <c r="B35" s="721"/>
      <c r="C35" s="58" t="s">
        <v>75</v>
      </c>
      <c r="D35" s="10">
        <v>7.0000000000000007E-2</v>
      </c>
      <c r="E35" s="10">
        <v>0.15</v>
      </c>
      <c r="F35" s="10">
        <v>7.0000000000000007E-2</v>
      </c>
      <c r="G35" s="10">
        <v>7.0000000000000007E-2</v>
      </c>
      <c r="H35" s="10">
        <v>7.0000000000000007E-2</v>
      </c>
      <c r="I35" s="10">
        <v>7.0000000000000007E-2</v>
      </c>
      <c r="J35" s="10">
        <v>7.0000000000000007E-2</v>
      </c>
      <c r="K35" s="10">
        <v>0.15</v>
      </c>
      <c r="L35" s="10">
        <v>7.0000000000000007E-2</v>
      </c>
      <c r="M35" s="10">
        <v>7.0000000000000007E-2</v>
      </c>
      <c r="N35" s="10">
        <v>7.0000000000000007E-2</v>
      </c>
      <c r="O35" s="10">
        <v>7.0000000000000007E-2</v>
      </c>
      <c r="P35" s="157">
        <f t="shared" si="0"/>
        <v>1.0000000000000002</v>
      </c>
      <c r="Q35" s="528"/>
      <c r="R35" s="529"/>
      <c r="S35" s="529"/>
      <c r="T35" s="529"/>
      <c r="U35" s="529"/>
      <c r="V35" s="529"/>
      <c r="W35" s="529"/>
      <c r="X35" s="529"/>
      <c r="Y35" s="529"/>
      <c r="Z35" s="529"/>
      <c r="AA35" s="529"/>
      <c r="AB35" s="530"/>
      <c r="AC35" s="56"/>
      <c r="AM35" s="131"/>
      <c r="AN35" s="131"/>
    </row>
    <row r="36" spans="1:40" ht="27" customHeight="1">
      <c r="A36" s="722"/>
      <c r="B36" s="723"/>
      <c r="C36" s="60"/>
      <c r="D36" s="60"/>
      <c r="E36" s="60"/>
      <c r="F36" s="60"/>
      <c r="G36" s="60"/>
      <c r="H36" s="60"/>
      <c r="I36" s="60"/>
      <c r="J36" s="60"/>
      <c r="K36" s="60"/>
      <c r="L36" s="60"/>
      <c r="M36" s="60"/>
      <c r="N36" s="60"/>
      <c r="O36" s="60"/>
      <c r="P36" s="141">
        <f t="shared" si="0"/>
        <v>0</v>
      </c>
      <c r="Q36" s="531"/>
      <c r="R36" s="532"/>
      <c r="S36" s="532"/>
      <c r="T36" s="532"/>
      <c r="U36" s="532"/>
      <c r="V36" s="532"/>
      <c r="W36" s="532"/>
      <c r="X36" s="532"/>
      <c r="Y36" s="532"/>
      <c r="Z36" s="532"/>
      <c r="AA36" s="532"/>
      <c r="AB36" s="533"/>
      <c r="AC36" s="56"/>
      <c r="AD36" s="348">
        <f>LEN(Q34)</f>
        <v>496</v>
      </c>
      <c r="AM36" s="136"/>
      <c r="AN36" s="131"/>
    </row>
    <row r="37" spans="1:40" ht="56.1" customHeight="1">
      <c r="A37" s="718" t="s">
        <v>117</v>
      </c>
      <c r="B37" s="720">
        <v>0.05</v>
      </c>
      <c r="C37" s="57" t="s">
        <v>74</v>
      </c>
      <c r="D37" s="59">
        <v>0</v>
      </c>
      <c r="E37" s="59">
        <v>0.09</v>
      </c>
      <c r="F37" s="59">
        <v>0.09</v>
      </c>
      <c r="G37" s="59">
        <v>0.09</v>
      </c>
      <c r="H37" s="59">
        <v>0.09</v>
      </c>
      <c r="I37" s="59">
        <v>0.09</v>
      </c>
      <c r="J37" s="59">
        <v>0.09</v>
      </c>
      <c r="K37" s="59">
        <v>0.09</v>
      </c>
      <c r="L37" s="59">
        <v>0.09</v>
      </c>
      <c r="M37" s="59">
        <v>0.09</v>
      </c>
      <c r="N37" s="59">
        <v>0.09</v>
      </c>
      <c r="O37" s="59">
        <v>0.1</v>
      </c>
      <c r="P37" s="157">
        <f t="shared" si="0"/>
        <v>0.99999999999999978</v>
      </c>
      <c r="Q37" s="521" t="s">
        <v>393</v>
      </c>
      <c r="R37" s="521"/>
      <c r="S37" s="521"/>
      <c r="T37" s="521"/>
      <c r="U37" s="521"/>
      <c r="V37" s="521"/>
      <c r="W37" s="521"/>
      <c r="X37" s="521"/>
      <c r="Y37" s="521"/>
      <c r="Z37" s="521"/>
      <c r="AA37" s="521"/>
      <c r="AB37" s="522"/>
      <c r="AC37" s="56"/>
      <c r="AE37" s="136"/>
      <c r="AF37" s="136"/>
      <c r="AG37" s="136"/>
      <c r="AH37" s="136"/>
      <c r="AI37" s="136"/>
      <c r="AJ37" s="136"/>
      <c r="AK37" s="136"/>
      <c r="AL37" s="136"/>
      <c r="AM37" s="136"/>
      <c r="AN37" s="131"/>
    </row>
    <row r="38" spans="1:40" ht="56.1" customHeight="1">
      <c r="A38" s="719"/>
      <c r="B38" s="721"/>
      <c r="C38" s="58" t="s">
        <v>75</v>
      </c>
      <c r="D38" s="10">
        <v>0</v>
      </c>
      <c r="E38" s="10">
        <v>0.09</v>
      </c>
      <c r="F38" s="10">
        <v>0.09</v>
      </c>
      <c r="G38" s="10">
        <v>0.09</v>
      </c>
      <c r="H38" s="10">
        <v>0.09</v>
      </c>
      <c r="I38" s="10">
        <v>0.09</v>
      </c>
      <c r="J38" s="10">
        <v>7.0000000000000007E-2</v>
      </c>
      <c r="K38" s="10">
        <v>0.09</v>
      </c>
      <c r="L38" s="10">
        <v>0.11</v>
      </c>
      <c r="M38" s="10">
        <v>0.09</v>
      </c>
      <c r="N38" s="10">
        <v>0.09</v>
      </c>
      <c r="O38" s="10">
        <v>0.1</v>
      </c>
      <c r="P38" s="157">
        <f t="shared" si="0"/>
        <v>0.99999999999999989</v>
      </c>
      <c r="Q38" s="521"/>
      <c r="R38" s="521"/>
      <c r="S38" s="521"/>
      <c r="T38" s="521"/>
      <c r="U38" s="521"/>
      <c r="V38" s="521"/>
      <c r="W38" s="521"/>
      <c r="X38" s="521"/>
      <c r="Y38" s="521"/>
      <c r="Z38" s="521"/>
      <c r="AA38" s="521"/>
      <c r="AB38" s="522"/>
      <c r="AC38" s="56"/>
      <c r="AE38" s="131"/>
      <c r="AF38" s="131"/>
      <c r="AG38" s="131"/>
      <c r="AH38" s="131"/>
      <c r="AI38" s="131"/>
      <c r="AJ38" s="131"/>
      <c r="AK38" s="131"/>
      <c r="AL38" s="131"/>
      <c r="AM38" s="131"/>
      <c r="AN38" s="131"/>
    </row>
    <row r="39" spans="1:40" ht="25.35" customHeight="1">
      <c r="A39" s="722"/>
      <c r="B39" s="723"/>
      <c r="C39" s="60"/>
      <c r="D39" s="60"/>
      <c r="E39" s="65"/>
      <c r="F39" s="60"/>
      <c r="G39" s="60"/>
      <c r="H39" s="60"/>
      <c r="I39" s="60"/>
      <c r="J39" s="60"/>
      <c r="K39" s="60"/>
      <c r="L39" s="60"/>
      <c r="M39" s="60"/>
      <c r="N39" s="60"/>
      <c r="O39" s="60"/>
      <c r="P39" s="137">
        <f t="shared" si="0"/>
        <v>0</v>
      </c>
      <c r="Q39" s="521"/>
      <c r="R39" s="521"/>
      <c r="S39" s="521"/>
      <c r="T39" s="521"/>
      <c r="U39" s="521"/>
      <c r="V39" s="521"/>
      <c r="W39" s="521"/>
      <c r="X39" s="521"/>
      <c r="Y39" s="521"/>
      <c r="Z39" s="521"/>
      <c r="AA39" s="521"/>
      <c r="AB39" s="522"/>
      <c r="AC39" s="56"/>
      <c r="AD39" s="348">
        <f>LEN(Q37)</f>
        <v>984</v>
      </c>
      <c r="AE39" s="131"/>
      <c r="AF39" s="131"/>
      <c r="AG39" s="131"/>
      <c r="AH39" s="131"/>
      <c r="AI39" s="131"/>
      <c r="AJ39" s="131"/>
      <c r="AK39" s="131"/>
      <c r="AL39" s="131"/>
      <c r="AM39" s="131"/>
      <c r="AN39" s="131"/>
    </row>
    <row r="40" spans="1:40" ht="27" customHeight="1">
      <c r="A40" s="493" t="s">
        <v>118</v>
      </c>
      <c r="B40" s="494">
        <v>0.02</v>
      </c>
      <c r="C40" s="57" t="s">
        <v>74</v>
      </c>
      <c r="D40" s="59">
        <v>0</v>
      </c>
      <c r="E40" s="59">
        <v>0</v>
      </c>
      <c r="F40" s="59">
        <v>0</v>
      </c>
      <c r="G40" s="59">
        <v>0.5</v>
      </c>
      <c r="H40" s="59">
        <v>0</v>
      </c>
      <c r="I40" s="59">
        <v>0</v>
      </c>
      <c r="J40" s="59">
        <v>0</v>
      </c>
      <c r="K40" s="59">
        <v>0</v>
      </c>
      <c r="L40" s="59">
        <v>0</v>
      </c>
      <c r="M40" s="59">
        <v>0.5</v>
      </c>
      <c r="N40" s="59">
        <v>0</v>
      </c>
      <c r="O40" s="59">
        <v>0</v>
      </c>
      <c r="P40" s="157">
        <f>SUM(D40:O40)</f>
        <v>1</v>
      </c>
      <c r="Q40" s="746" t="s">
        <v>119</v>
      </c>
      <c r="R40" s="747"/>
      <c r="S40" s="747"/>
      <c r="T40" s="747"/>
      <c r="U40" s="747"/>
      <c r="V40" s="747"/>
      <c r="W40" s="747"/>
      <c r="X40" s="747"/>
      <c r="Y40" s="747"/>
      <c r="Z40" s="747"/>
      <c r="AA40" s="747"/>
      <c r="AB40" s="748"/>
      <c r="AC40" s="56"/>
      <c r="AE40" s="136"/>
      <c r="AF40" s="136"/>
      <c r="AG40" s="136"/>
      <c r="AH40" s="136"/>
      <c r="AI40" s="136"/>
      <c r="AJ40" s="136"/>
      <c r="AK40" s="136"/>
      <c r="AL40" s="136"/>
      <c r="AM40" s="136"/>
      <c r="AN40" s="131"/>
    </row>
    <row r="41" spans="1:40" ht="27" customHeight="1">
      <c r="A41" s="493"/>
      <c r="B41" s="494"/>
      <c r="C41" s="58" t="s">
        <v>75</v>
      </c>
      <c r="D41" s="10">
        <v>0</v>
      </c>
      <c r="E41" s="10">
        <v>0</v>
      </c>
      <c r="F41" s="10">
        <v>0</v>
      </c>
      <c r="G41" s="10">
        <v>0.05</v>
      </c>
      <c r="H41" s="10">
        <v>0</v>
      </c>
      <c r="I41" s="10">
        <v>0</v>
      </c>
      <c r="J41" s="10">
        <v>0</v>
      </c>
      <c r="K41" s="10">
        <v>0.2</v>
      </c>
      <c r="L41" s="10">
        <v>0.5</v>
      </c>
      <c r="M41" s="10">
        <v>0</v>
      </c>
      <c r="N41" s="10">
        <v>0.25</v>
      </c>
      <c r="O41" s="10"/>
      <c r="P41" s="157">
        <f>SUM(D41:O41)</f>
        <v>1</v>
      </c>
      <c r="Q41" s="749"/>
      <c r="R41" s="750"/>
      <c r="S41" s="750"/>
      <c r="T41" s="750"/>
      <c r="U41" s="750"/>
      <c r="V41" s="750"/>
      <c r="W41" s="750"/>
      <c r="X41" s="750"/>
      <c r="Y41" s="750"/>
      <c r="Z41" s="750"/>
      <c r="AA41" s="750"/>
      <c r="AB41" s="751"/>
      <c r="AC41" s="56"/>
      <c r="AE41" s="131"/>
      <c r="AF41" s="131"/>
      <c r="AG41" s="131"/>
      <c r="AH41" s="131"/>
      <c r="AI41" s="131"/>
      <c r="AJ41" s="131"/>
      <c r="AK41" s="131"/>
      <c r="AL41" s="131"/>
      <c r="AM41" s="131"/>
      <c r="AN41" s="131"/>
    </row>
    <row r="42" spans="1:40" ht="25.35" customHeight="1">
      <c r="A42" s="497"/>
      <c r="B42" s="498"/>
      <c r="C42" s="60"/>
      <c r="D42" s="60"/>
      <c r="E42" s="65"/>
      <c r="F42" s="60"/>
      <c r="G42" s="60"/>
      <c r="H42" s="60"/>
      <c r="I42" s="60"/>
      <c r="J42" s="60"/>
      <c r="K42" s="60"/>
      <c r="L42" s="60"/>
      <c r="M42" s="60"/>
      <c r="N42" s="60"/>
      <c r="O42" s="60"/>
      <c r="P42" s="137">
        <f>SUM(D42:O42)</f>
        <v>0</v>
      </c>
      <c r="Q42" s="752"/>
      <c r="R42" s="753"/>
      <c r="S42" s="753"/>
      <c r="T42" s="753"/>
      <c r="U42" s="753"/>
      <c r="V42" s="753"/>
      <c r="W42" s="753"/>
      <c r="X42" s="753"/>
      <c r="Y42" s="753"/>
      <c r="Z42" s="753"/>
      <c r="AA42" s="753"/>
      <c r="AB42" s="754"/>
      <c r="AC42" s="56"/>
      <c r="AD42" s="348">
        <f>LEN(Q40)</f>
        <v>1001</v>
      </c>
      <c r="AE42" s="131"/>
      <c r="AF42" s="131"/>
      <c r="AG42" s="131"/>
      <c r="AH42" s="131"/>
      <c r="AI42" s="131"/>
      <c r="AJ42" s="131"/>
      <c r="AK42" s="131"/>
      <c r="AL42" s="131"/>
      <c r="AM42" s="131"/>
      <c r="AN42" s="131"/>
    </row>
    <row r="43" spans="1:40" ht="13.35" customHeight="1">
      <c r="A43" s="2"/>
      <c r="B43" s="3"/>
      <c r="C43" s="3"/>
      <c r="D43" s="3"/>
      <c r="E43" s="3"/>
      <c r="F43" s="3"/>
      <c r="G43" s="3"/>
      <c r="H43" s="3"/>
      <c r="I43" s="3"/>
      <c r="J43" s="3"/>
      <c r="K43" s="3"/>
      <c r="L43" s="3"/>
      <c r="M43" s="3"/>
      <c r="N43" s="3"/>
      <c r="O43" s="3"/>
      <c r="P43" s="3"/>
      <c r="Q43" s="3"/>
      <c r="R43" s="3"/>
      <c r="S43" s="3"/>
      <c r="T43" s="3"/>
      <c r="U43" s="3"/>
      <c r="V43" s="3"/>
      <c r="W43" s="3"/>
      <c r="X43" s="171"/>
      <c r="Y43" s="3"/>
      <c r="Z43" s="3"/>
    </row>
    <row r="44" spans="1:40" ht="27" hidden="1" customHeight="1">
      <c r="A44" s="499" t="s">
        <v>88</v>
      </c>
      <c r="B44" s="502" t="s">
        <v>89</v>
      </c>
      <c r="C44" s="503"/>
      <c r="D44" s="503"/>
      <c r="E44" s="503"/>
      <c r="F44" s="503"/>
      <c r="G44" s="504"/>
      <c r="H44" s="505" t="s">
        <v>90</v>
      </c>
      <c r="I44" s="506"/>
      <c r="J44" s="506"/>
      <c r="K44" s="506"/>
      <c r="L44" s="506"/>
      <c r="M44" s="715"/>
      <c r="N44" s="502" t="s">
        <v>89</v>
      </c>
      <c r="O44" s="503"/>
      <c r="P44" s="503"/>
      <c r="Q44" s="503"/>
      <c r="R44" s="503"/>
      <c r="S44" s="504"/>
      <c r="T44" s="511" t="s">
        <v>91</v>
      </c>
      <c r="U44" s="512"/>
      <c r="V44" s="512"/>
      <c r="W44" s="513"/>
      <c r="X44" s="502" t="s">
        <v>92</v>
      </c>
      <c r="Y44" s="503"/>
      <c r="Z44" s="503"/>
      <c r="AA44" s="503"/>
      <c r="AB44" s="520"/>
    </row>
    <row r="45" spans="1:40" ht="27" hidden="1" customHeight="1">
      <c r="A45" s="500"/>
      <c r="B45" s="485" t="s">
        <v>93</v>
      </c>
      <c r="C45" s="486"/>
      <c r="D45" s="486"/>
      <c r="E45" s="486"/>
      <c r="F45" s="486"/>
      <c r="G45" s="487"/>
      <c r="H45" s="507"/>
      <c r="I45" s="508"/>
      <c r="J45" s="508"/>
      <c r="K45" s="508"/>
      <c r="L45" s="508"/>
      <c r="M45" s="716"/>
      <c r="N45" s="485" t="s">
        <v>94</v>
      </c>
      <c r="O45" s="486"/>
      <c r="P45" s="486"/>
      <c r="Q45" s="486"/>
      <c r="R45" s="486"/>
      <c r="S45" s="487"/>
      <c r="T45" s="514"/>
      <c r="U45" s="515"/>
      <c r="V45" s="515"/>
      <c r="W45" s="516"/>
      <c r="X45" s="485" t="s">
        <v>95</v>
      </c>
      <c r="Y45" s="486"/>
      <c r="Z45" s="486"/>
      <c r="AA45" s="486"/>
      <c r="AB45" s="488"/>
    </row>
    <row r="46" spans="1:40" ht="27" hidden="1" customHeight="1" thickBot="1">
      <c r="A46" s="501"/>
      <c r="B46" s="489" t="s">
        <v>96</v>
      </c>
      <c r="C46" s="490"/>
      <c r="D46" s="490"/>
      <c r="E46" s="490"/>
      <c r="F46" s="490"/>
      <c r="G46" s="491"/>
      <c r="H46" s="509"/>
      <c r="I46" s="510"/>
      <c r="J46" s="510"/>
      <c r="K46" s="510"/>
      <c r="L46" s="510"/>
      <c r="M46" s="717"/>
      <c r="N46" s="489" t="s">
        <v>97</v>
      </c>
      <c r="O46" s="490"/>
      <c r="P46" s="490"/>
      <c r="Q46" s="490"/>
      <c r="R46" s="490"/>
      <c r="S46" s="491"/>
      <c r="T46" s="517"/>
      <c r="U46" s="518"/>
      <c r="V46" s="518"/>
      <c r="W46" s="519"/>
      <c r="X46" s="489" t="s">
        <v>98</v>
      </c>
      <c r="Y46" s="490"/>
      <c r="Z46" s="490"/>
      <c r="AA46" s="490"/>
      <c r="AB46" s="492"/>
    </row>
    <row r="47" spans="1:40">
      <c r="G47" s="140"/>
    </row>
    <row r="52" spans="20:20">
      <c r="T52" s="119">
        <f>+LEN(T51)</f>
        <v>0</v>
      </c>
    </row>
  </sheetData>
  <mergeCells count="109">
    <mergeCell ref="A40:A41"/>
    <mergeCell ref="B40:B41"/>
    <mergeCell ref="Q40:AB42"/>
    <mergeCell ref="A42:B42"/>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N46:S46"/>
    <mergeCell ref="X46:AB46"/>
    <mergeCell ref="A44:A46"/>
    <mergeCell ref="B44:G44"/>
    <mergeCell ref="H44:M46"/>
    <mergeCell ref="N44:S44"/>
    <mergeCell ref="T44:W46"/>
    <mergeCell ref="X44:AB44"/>
    <mergeCell ref="B45:G45"/>
    <mergeCell ref="N45:S45"/>
    <mergeCell ref="X45:AB45"/>
    <mergeCell ref="B46:G46"/>
  </mergeCells>
  <dataValidations count="2">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X30 AD30 Q34:AB39">
      <formula1>2000</formula1>
    </dataValidation>
  </dataValidations>
  <printOptions horizontalCentered="1"/>
  <pageMargins left="0.19685039370078741" right="0.19685039370078741" top="0.39370078740157483" bottom="0.39370078740157483" header="0" footer="0"/>
  <pageSetup scale="3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65"/>
  <sheetViews>
    <sheetView topLeftCell="K16" zoomScale="94" zoomScaleNormal="100" zoomScaleSheetLayoutView="75" workbookViewId="0">
      <selection activeCell="Z18" sqref="Z18:AB18"/>
    </sheetView>
  </sheetViews>
  <sheetFormatPr baseColWidth="10" defaultColWidth="11.42578125" defaultRowHeight="15"/>
  <cols>
    <col min="1" max="1" width="38.42578125" style="119" customWidth="1"/>
    <col min="2" max="2" width="18.28515625" style="119" customWidth="1"/>
    <col min="3" max="3" width="17.42578125" style="119" customWidth="1"/>
    <col min="4" max="6" width="7" style="119" customWidth="1"/>
    <col min="7" max="15" width="7.7109375" style="119" customWidth="1"/>
    <col min="16" max="16" width="13.7109375" style="119" customWidth="1"/>
    <col min="17" max="20" width="13.42578125" style="119" customWidth="1"/>
    <col min="21" max="21" width="13" style="119" customWidth="1"/>
    <col min="22" max="22" width="7.7109375" style="119" customWidth="1"/>
    <col min="23" max="23" width="9.140625" style="119" customWidth="1"/>
    <col min="24" max="24" width="11.42578125" style="119" customWidth="1"/>
    <col min="25" max="28" width="11.7109375" style="119" customWidth="1"/>
    <col min="29" max="29" width="6.7109375" style="350" customWidth="1"/>
    <col min="30" max="30" width="5.140625" style="350" bestFit="1" customWidth="1"/>
    <col min="31" max="31" width="40.140625" style="119" customWidth="1"/>
    <col min="32" max="32" width="8.42578125" style="119" customWidth="1"/>
    <col min="33" max="33" width="18.42578125" style="119" bestFit="1" customWidth="1"/>
    <col min="34" max="34" width="5.7109375" style="119" customWidth="1"/>
    <col min="35" max="35" width="18.42578125" style="119" bestFit="1" customWidth="1"/>
    <col min="36" max="36" width="4.710937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30"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30"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30"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30"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30"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30"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30"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30"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30"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30"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30"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30"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30" s="78" customFormat="1" ht="37.5" customHeight="1" thickBot="1">
      <c r="A13" s="637" t="s">
        <v>22</v>
      </c>
      <c r="B13" s="638"/>
      <c r="C13" s="784" t="s">
        <v>120</v>
      </c>
      <c r="D13" s="700"/>
      <c r="E13" s="700"/>
      <c r="F13" s="700"/>
      <c r="G13" s="700"/>
      <c r="H13" s="700"/>
      <c r="I13" s="700"/>
      <c r="J13" s="700"/>
      <c r="K13" s="700"/>
      <c r="L13" s="700"/>
      <c r="M13" s="700"/>
      <c r="N13" s="700"/>
      <c r="O13" s="700"/>
      <c r="P13" s="700"/>
      <c r="Q13" s="701"/>
      <c r="R13" s="6"/>
      <c r="S13" s="515" t="s">
        <v>24</v>
      </c>
      <c r="T13" s="515"/>
      <c r="U13" s="174">
        <f>+Ponderación!E99</f>
        <v>0.25</v>
      </c>
      <c r="V13" s="702" t="s">
        <v>25</v>
      </c>
      <c r="W13" s="515"/>
      <c r="X13" s="515"/>
      <c r="Y13" s="515"/>
      <c r="Z13" s="6"/>
      <c r="AA13" s="703">
        <f>B30</f>
        <v>0.21</v>
      </c>
      <c r="AB13" s="704"/>
      <c r="AC13" s="351"/>
      <c r="AD13" s="351"/>
    </row>
    <row r="14" spans="1:30"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30"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30" ht="35.25" customHeight="1" thickBot="1">
      <c r="A16" s="609"/>
      <c r="B16" s="610"/>
      <c r="C16" s="74"/>
      <c r="D16" s="617"/>
      <c r="E16" s="519"/>
      <c r="F16" s="517"/>
      <c r="G16" s="519"/>
      <c r="H16" s="517" t="s">
        <v>32</v>
      </c>
      <c r="I16" s="619"/>
      <c r="J16" s="413"/>
      <c r="K16" s="413"/>
      <c r="L16" s="413"/>
      <c r="M16" s="3"/>
      <c r="N16" s="3"/>
      <c r="O16" s="3"/>
      <c r="P16" s="3"/>
      <c r="Q16" s="733" t="s">
        <v>33</v>
      </c>
      <c r="R16" s="734"/>
      <c r="S16" s="734"/>
      <c r="T16" s="734"/>
      <c r="U16" s="734"/>
      <c r="V16" s="735"/>
      <c r="W16" s="736" t="s">
        <v>34</v>
      </c>
      <c r="X16" s="734"/>
      <c r="Y16" s="734"/>
      <c r="Z16" s="734"/>
      <c r="AA16" s="734"/>
      <c r="AB16" s="737"/>
    </row>
    <row r="17" spans="1:40" ht="27"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352"/>
      <c r="AD17" s="352"/>
    </row>
    <row r="18" spans="1:40" ht="20.100000000000001" customHeight="1" thickBot="1">
      <c r="A18" s="5"/>
      <c r="B18" s="6"/>
      <c r="C18" s="8"/>
      <c r="D18" s="8"/>
      <c r="E18" s="8"/>
      <c r="F18" s="8"/>
      <c r="G18" s="128"/>
      <c r="H18" s="128"/>
      <c r="I18" s="128"/>
      <c r="J18" s="128"/>
      <c r="K18" s="128"/>
      <c r="L18" s="128"/>
      <c r="M18" s="8"/>
      <c r="N18" s="8"/>
      <c r="O18" s="8"/>
      <c r="P18" s="8"/>
      <c r="Q18" s="632">
        <v>0</v>
      </c>
      <c r="R18" s="633"/>
      <c r="S18" s="634"/>
      <c r="T18" s="635">
        <v>0</v>
      </c>
      <c r="U18" s="633"/>
      <c r="V18" s="634"/>
      <c r="W18" s="635">
        <f>+Ponderación!E8</f>
        <v>1434045963.9933336</v>
      </c>
      <c r="X18" s="633"/>
      <c r="Y18" s="634"/>
      <c r="Z18" s="635">
        <f>1282135505-1</f>
        <v>1282135504</v>
      </c>
      <c r="AA18" s="633"/>
      <c r="AB18" s="636"/>
      <c r="AC18" s="353"/>
      <c r="AD18" s="354"/>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731"/>
      <c r="B23" s="575" t="s">
        <v>43</v>
      </c>
      <c r="C23" s="576"/>
      <c r="D23" s="591"/>
      <c r="E23" s="592"/>
      <c r="F23" s="593"/>
      <c r="G23" s="591"/>
      <c r="H23" s="592"/>
      <c r="I23" s="593"/>
      <c r="J23" s="591"/>
      <c r="K23" s="592"/>
      <c r="L23" s="593"/>
      <c r="M23" s="591" t="s">
        <v>32</v>
      </c>
      <c r="N23" s="592"/>
      <c r="O23" s="593"/>
      <c r="P23" s="563"/>
      <c r="Q23" s="780"/>
      <c r="R23" s="780"/>
      <c r="S23" s="780"/>
      <c r="T23" s="780"/>
      <c r="U23" s="780"/>
      <c r="V23" s="780"/>
      <c r="W23" s="780"/>
      <c r="X23" s="780"/>
      <c r="Y23" s="780"/>
      <c r="Z23" s="780"/>
      <c r="AA23" s="780"/>
      <c r="AB23" s="781"/>
    </row>
    <row r="24" spans="1:40" ht="15" customHeight="1">
      <c r="A24" s="731"/>
      <c r="B24" s="577"/>
      <c r="C24" s="578"/>
      <c r="D24" s="594"/>
      <c r="E24" s="595"/>
      <c r="F24" s="596"/>
      <c r="G24" s="594"/>
      <c r="H24" s="595"/>
      <c r="I24" s="596"/>
      <c r="J24" s="594"/>
      <c r="K24" s="595"/>
      <c r="L24" s="596"/>
      <c r="M24" s="594"/>
      <c r="N24" s="595"/>
      <c r="O24" s="596"/>
      <c r="P24" s="564"/>
      <c r="Q24" s="780"/>
      <c r="R24" s="780"/>
      <c r="S24" s="780"/>
      <c r="T24" s="780"/>
      <c r="U24" s="780"/>
      <c r="V24" s="780"/>
      <c r="W24" s="780"/>
      <c r="X24" s="780"/>
      <c r="Y24" s="780"/>
      <c r="Z24" s="780"/>
      <c r="AA24" s="780"/>
      <c r="AB24" s="781"/>
    </row>
    <row r="25" spans="1:40" ht="15" customHeight="1">
      <c r="A25" s="731"/>
      <c r="B25" s="577"/>
      <c r="C25" s="578"/>
      <c r="D25" s="594"/>
      <c r="E25" s="595"/>
      <c r="F25" s="596"/>
      <c r="G25" s="594"/>
      <c r="H25" s="595"/>
      <c r="I25" s="596"/>
      <c r="J25" s="594"/>
      <c r="K25" s="595"/>
      <c r="L25" s="596"/>
      <c r="M25" s="594"/>
      <c r="N25" s="595"/>
      <c r="O25" s="596"/>
      <c r="P25" s="564"/>
      <c r="Q25" s="780"/>
      <c r="R25" s="780"/>
      <c r="S25" s="780"/>
      <c r="T25" s="780"/>
      <c r="U25" s="780"/>
      <c r="V25" s="780"/>
      <c r="W25" s="780"/>
      <c r="X25" s="780"/>
      <c r="Y25" s="780"/>
      <c r="Z25" s="780"/>
      <c r="AA25" s="780"/>
      <c r="AB25" s="781"/>
    </row>
    <row r="26" spans="1:40" ht="15" customHeight="1" thickBot="1">
      <c r="A26" s="732"/>
      <c r="B26" s="577"/>
      <c r="C26" s="578"/>
      <c r="D26" s="594"/>
      <c r="E26" s="595"/>
      <c r="F26" s="596"/>
      <c r="G26" s="594"/>
      <c r="H26" s="595"/>
      <c r="I26" s="596"/>
      <c r="J26" s="594"/>
      <c r="K26" s="595"/>
      <c r="L26" s="596"/>
      <c r="M26" s="594"/>
      <c r="N26" s="595"/>
      <c r="O26" s="596"/>
      <c r="P26" s="564"/>
      <c r="Q26" s="782"/>
      <c r="R26" s="782"/>
      <c r="S26" s="782"/>
      <c r="T26" s="782"/>
      <c r="U26" s="782"/>
      <c r="V26" s="782"/>
      <c r="W26" s="782"/>
      <c r="X26" s="782"/>
      <c r="Y26" s="782"/>
      <c r="Z26" s="782"/>
      <c r="AA26" s="782"/>
      <c r="AB26" s="783"/>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D28" s="759"/>
      <c r="AE28" s="130"/>
      <c r="AF28" s="130"/>
      <c r="AG28" s="321"/>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D29" s="759"/>
      <c r="AE29" s="130"/>
      <c r="AF29" s="130"/>
      <c r="AG29" s="321"/>
      <c r="AH29" s="130"/>
      <c r="AI29" s="130"/>
      <c r="AJ29" s="130"/>
      <c r="AK29" s="130"/>
      <c r="AL29" s="130"/>
      <c r="AM29" s="130"/>
      <c r="AN29" s="131"/>
    </row>
    <row r="30" spans="1:40" ht="252.95" customHeight="1">
      <c r="A30" s="405" t="s">
        <v>121</v>
      </c>
      <c r="B30" s="406">
        <f>B34+B37+B40</f>
        <v>0.21</v>
      </c>
      <c r="C30" s="411">
        <v>0.25</v>
      </c>
      <c r="D30" s="411">
        <f>+D63</f>
        <v>0</v>
      </c>
      <c r="E30" s="411">
        <f t="shared" ref="E30:O30" si="0">+E63</f>
        <v>9.642857142857144E-3</v>
      </c>
      <c r="F30" s="411">
        <f t="shared" si="0"/>
        <v>2.9642857142857148E-2</v>
      </c>
      <c r="G30" s="411">
        <f t="shared" si="0"/>
        <v>2.3214285714285719E-2</v>
      </c>
      <c r="H30" s="411">
        <f t="shared" si="0"/>
        <v>2.3214285714285719E-2</v>
      </c>
      <c r="I30" s="411">
        <f t="shared" si="0"/>
        <v>2.3214285714285719E-2</v>
      </c>
      <c r="J30" s="411">
        <f t="shared" si="0"/>
        <v>2.3214285714285719E-2</v>
      </c>
      <c r="K30" s="411">
        <f t="shared" si="0"/>
        <v>2.3214285714285719E-2</v>
      </c>
      <c r="L30" s="411">
        <f t="shared" si="0"/>
        <v>2.3214285714285719E-2</v>
      </c>
      <c r="M30" s="411">
        <f t="shared" si="0"/>
        <v>2.3214285714285719E-2</v>
      </c>
      <c r="N30" s="411">
        <f t="shared" si="0"/>
        <v>3.035714285714286E-2</v>
      </c>
      <c r="O30" s="411">
        <f t="shared" si="0"/>
        <v>9.2857142857142895E-3</v>
      </c>
      <c r="P30" s="412">
        <f>SUM(D30:O30)</f>
        <v>0.24142857142857146</v>
      </c>
      <c r="Q30" s="760" t="s">
        <v>425</v>
      </c>
      <c r="R30" s="761"/>
      <c r="S30" s="761"/>
      <c r="T30" s="762"/>
      <c r="U30" s="724" t="s">
        <v>389</v>
      </c>
      <c r="V30" s="725"/>
      <c r="W30" s="725"/>
      <c r="X30" s="726"/>
      <c r="Y30" s="760" t="s">
        <v>122</v>
      </c>
      <c r="Z30" s="761"/>
      <c r="AA30" s="761"/>
      <c r="AB30" s="762"/>
      <c r="AC30" s="132"/>
      <c r="AD30" s="355">
        <f>LEN(Q30)</f>
        <v>1058</v>
      </c>
      <c r="AE30" s="436" t="s">
        <v>423</v>
      </c>
      <c r="AF30" s="130"/>
      <c r="AG30" s="321">
        <f>+LEN(AE30)</f>
        <v>290</v>
      </c>
      <c r="AH30" s="130"/>
      <c r="AI30" s="130"/>
      <c r="AJ30" s="130"/>
      <c r="AK30" s="130"/>
      <c r="AL30" s="130"/>
      <c r="AM30" s="130"/>
      <c r="AN30" s="131"/>
    </row>
    <row r="31" spans="1:40" ht="18.75">
      <c r="A31" s="763"/>
      <c r="B31" s="764"/>
      <c r="C31" s="765"/>
      <c r="D31" s="765"/>
      <c r="E31" s="765"/>
      <c r="F31" s="765"/>
      <c r="G31" s="765"/>
      <c r="H31" s="765"/>
      <c r="I31" s="765"/>
      <c r="J31" s="765"/>
      <c r="K31" s="765"/>
      <c r="L31" s="765"/>
      <c r="M31" s="765"/>
      <c r="N31" s="765"/>
      <c r="O31" s="765"/>
      <c r="P31" s="765"/>
      <c r="Q31" s="765"/>
      <c r="R31" s="765"/>
      <c r="S31" s="765"/>
      <c r="T31" s="765"/>
      <c r="U31" s="765"/>
      <c r="V31" s="765"/>
      <c r="W31" s="765"/>
      <c r="X31" s="765"/>
      <c r="Y31" s="765"/>
      <c r="Z31" s="765"/>
      <c r="AA31" s="765"/>
      <c r="AB31" s="766"/>
      <c r="AD31" s="356"/>
      <c r="AE31" s="130"/>
      <c r="AF31" s="130"/>
      <c r="AG31" s="321"/>
      <c r="AH31" s="130"/>
      <c r="AI31" s="130"/>
      <c r="AJ31" s="130"/>
      <c r="AK31" s="130"/>
      <c r="AL31" s="130"/>
      <c r="AM31" s="130"/>
      <c r="AN31" s="131"/>
    </row>
    <row r="32" spans="1:40" ht="15" customHeight="1">
      <c r="A32" s="541" t="s">
        <v>66</v>
      </c>
      <c r="B32" s="729" t="s">
        <v>67</v>
      </c>
      <c r="C32" s="542" t="s">
        <v>68</v>
      </c>
      <c r="D32" s="542"/>
      <c r="E32" s="542"/>
      <c r="F32" s="542"/>
      <c r="G32" s="542"/>
      <c r="H32" s="542"/>
      <c r="I32" s="542"/>
      <c r="J32" s="542"/>
      <c r="K32" s="542"/>
      <c r="L32" s="542"/>
      <c r="M32" s="542"/>
      <c r="N32" s="542"/>
      <c r="O32" s="542"/>
      <c r="P32" s="542"/>
      <c r="Q32" s="604" t="s">
        <v>69</v>
      </c>
      <c r="R32" s="605"/>
      <c r="S32" s="605"/>
      <c r="T32" s="605"/>
      <c r="U32" s="605"/>
      <c r="V32" s="605"/>
      <c r="W32" s="605"/>
      <c r="X32" s="605"/>
      <c r="Y32" s="605"/>
      <c r="Z32" s="605"/>
      <c r="AA32" s="605"/>
      <c r="AB32" s="730"/>
      <c r="AE32" s="758" t="s">
        <v>428</v>
      </c>
      <c r="AF32" s="130"/>
      <c r="AG32" s="321"/>
      <c r="AH32" s="130"/>
      <c r="AI32" s="130"/>
      <c r="AJ32" s="130"/>
      <c r="AK32" s="130"/>
      <c r="AL32" s="130"/>
      <c r="AM32" s="130"/>
      <c r="AN32" s="131"/>
    </row>
    <row r="33" spans="1:40" ht="25.5" customHeight="1">
      <c r="A33" s="541"/>
      <c r="B33" s="539"/>
      <c r="C33" s="417" t="s">
        <v>70</v>
      </c>
      <c r="D33" s="417" t="s">
        <v>48</v>
      </c>
      <c r="E33" s="417" t="s">
        <v>49</v>
      </c>
      <c r="F33" s="417" t="s">
        <v>50</v>
      </c>
      <c r="G33" s="417" t="s">
        <v>51</v>
      </c>
      <c r="H33" s="417" t="s">
        <v>52</v>
      </c>
      <c r="I33" s="417" t="s">
        <v>53</v>
      </c>
      <c r="J33" s="417" t="s">
        <v>54</v>
      </c>
      <c r="K33" s="417" t="s">
        <v>55</v>
      </c>
      <c r="L33" s="417" t="s">
        <v>56</v>
      </c>
      <c r="M33" s="417" t="s">
        <v>57</v>
      </c>
      <c r="N33" s="417" t="s">
        <v>58</v>
      </c>
      <c r="O33" s="417" t="s">
        <v>59</v>
      </c>
      <c r="P33" s="107" t="s">
        <v>71</v>
      </c>
      <c r="Q33" s="604" t="s">
        <v>72</v>
      </c>
      <c r="R33" s="605"/>
      <c r="S33" s="605"/>
      <c r="T33" s="605"/>
      <c r="U33" s="605"/>
      <c r="V33" s="605"/>
      <c r="W33" s="605"/>
      <c r="X33" s="605"/>
      <c r="Y33" s="605"/>
      <c r="Z33" s="605"/>
      <c r="AA33" s="605"/>
      <c r="AB33" s="730"/>
      <c r="AE33" s="758"/>
      <c r="AF33" s="135"/>
      <c r="AG33" s="362"/>
      <c r="AH33" s="135"/>
      <c r="AI33" s="135"/>
      <c r="AJ33" s="135"/>
      <c r="AK33" s="135"/>
      <c r="AL33" s="135"/>
      <c r="AM33" s="135"/>
      <c r="AN33" s="131"/>
    </row>
    <row r="34" spans="1:40" ht="123" customHeight="1">
      <c r="A34" s="719" t="s">
        <v>123</v>
      </c>
      <c r="B34" s="767">
        <v>0.06</v>
      </c>
      <c r="C34" s="62" t="s">
        <v>74</v>
      </c>
      <c r="D34" s="63">
        <v>0</v>
      </c>
      <c r="E34" s="439">
        <v>0</v>
      </c>
      <c r="F34" s="439">
        <v>0.1</v>
      </c>
      <c r="G34" s="439">
        <v>0.1</v>
      </c>
      <c r="H34" s="439">
        <v>0.1</v>
      </c>
      <c r="I34" s="439">
        <v>0.1</v>
      </c>
      <c r="J34" s="439">
        <v>0.1</v>
      </c>
      <c r="K34" s="439">
        <v>0.1</v>
      </c>
      <c r="L34" s="439">
        <v>0.1</v>
      </c>
      <c r="M34" s="439">
        <v>0.1</v>
      </c>
      <c r="N34" s="439">
        <v>0.1</v>
      </c>
      <c r="O34" s="439">
        <v>0.1</v>
      </c>
      <c r="P34" s="64">
        <f>SUM(D34:O34)</f>
        <v>0.99999999999999989</v>
      </c>
      <c r="Q34" s="768" t="s">
        <v>421</v>
      </c>
      <c r="R34" s="769"/>
      <c r="S34" s="769"/>
      <c r="T34" s="769"/>
      <c r="U34" s="769"/>
      <c r="V34" s="769"/>
      <c r="W34" s="769"/>
      <c r="X34" s="769"/>
      <c r="Y34" s="769"/>
      <c r="Z34" s="769"/>
      <c r="AA34" s="769"/>
      <c r="AB34" s="770"/>
      <c r="AC34" s="357"/>
      <c r="AE34" s="758"/>
      <c r="AF34" s="136"/>
      <c r="AG34" s="136"/>
      <c r="AH34" s="136"/>
      <c r="AI34" s="136"/>
      <c r="AJ34" s="136"/>
      <c r="AK34" s="136"/>
      <c r="AL34" s="136"/>
      <c r="AM34" s="136"/>
      <c r="AN34" s="131"/>
    </row>
    <row r="35" spans="1:40" ht="123" customHeight="1">
      <c r="A35" s="493"/>
      <c r="B35" s="721"/>
      <c r="C35" s="58" t="s">
        <v>75</v>
      </c>
      <c r="D35" s="10">
        <v>0</v>
      </c>
      <c r="E35" s="10">
        <v>0</v>
      </c>
      <c r="F35" s="10">
        <v>0.1</v>
      </c>
      <c r="G35" s="10">
        <v>0.1</v>
      </c>
      <c r="H35" s="10">
        <v>0.1</v>
      </c>
      <c r="I35" s="10">
        <v>0.1</v>
      </c>
      <c r="J35" s="10">
        <v>0.1</v>
      </c>
      <c r="K35" s="10">
        <v>0.1</v>
      </c>
      <c r="L35" s="10">
        <v>0.1</v>
      </c>
      <c r="M35" s="10">
        <v>0.1</v>
      </c>
      <c r="N35" s="10">
        <v>0.2</v>
      </c>
      <c r="O35" s="10"/>
      <c r="P35" s="11">
        <f t="shared" ref="P35:P41" si="1">SUM(D35:O35)</f>
        <v>1</v>
      </c>
      <c r="Q35" s="771"/>
      <c r="R35" s="772"/>
      <c r="S35" s="772"/>
      <c r="T35" s="772"/>
      <c r="U35" s="772"/>
      <c r="V35" s="772"/>
      <c r="W35" s="772"/>
      <c r="X35" s="772"/>
      <c r="Y35" s="772"/>
      <c r="Z35" s="772"/>
      <c r="AA35" s="772"/>
      <c r="AB35" s="773"/>
      <c r="AC35" s="357"/>
      <c r="AE35" s="758"/>
      <c r="AF35" s="131"/>
      <c r="AG35" s="321">
        <f>+LEN(AE32)</f>
        <v>215</v>
      </c>
      <c r="AH35" s="131"/>
      <c r="AI35" s="131"/>
      <c r="AJ35" s="131"/>
      <c r="AK35" s="131"/>
      <c r="AL35" s="131"/>
      <c r="AM35" s="131"/>
      <c r="AN35" s="131"/>
    </row>
    <row r="36" spans="1:40" ht="25.35" customHeight="1">
      <c r="A36" s="722"/>
      <c r="B36" s="723"/>
      <c r="C36" s="60"/>
      <c r="D36" s="60"/>
      <c r="E36" s="65"/>
      <c r="F36" s="60"/>
      <c r="G36" s="60"/>
      <c r="H36" s="60"/>
      <c r="I36" s="60"/>
      <c r="J36" s="60"/>
      <c r="K36" s="60"/>
      <c r="L36" s="60"/>
      <c r="M36" s="60"/>
      <c r="N36" s="60"/>
      <c r="O36" s="60"/>
      <c r="P36" s="137">
        <f>SUM(D36:O36)</f>
        <v>0</v>
      </c>
      <c r="Q36" s="777"/>
      <c r="R36" s="778"/>
      <c r="S36" s="778"/>
      <c r="T36" s="778"/>
      <c r="U36" s="778"/>
      <c r="V36" s="778"/>
      <c r="W36" s="778"/>
      <c r="X36" s="778"/>
      <c r="Y36" s="778"/>
      <c r="Z36" s="778"/>
      <c r="AA36" s="778"/>
      <c r="AB36" s="779"/>
      <c r="AC36" s="357"/>
      <c r="AD36" s="350">
        <f>LEN(Q34)</f>
        <v>1707</v>
      </c>
      <c r="AE36" s="374" t="s">
        <v>124</v>
      </c>
      <c r="AF36" s="131"/>
      <c r="AG36" s="131"/>
      <c r="AH36" s="131"/>
      <c r="AI36" s="131"/>
      <c r="AJ36" s="131"/>
      <c r="AK36" s="131"/>
      <c r="AL36" s="131"/>
      <c r="AM36" s="131"/>
      <c r="AN36" s="131"/>
    </row>
    <row r="37" spans="1:40" ht="84.95" customHeight="1">
      <c r="A37" s="719" t="s">
        <v>125</v>
      </c>
      <c r="B37" s="767">
        <v>0.09</v>
      </c>
      <c r="C37" s="57" t="s">
        <v>74</v>
      </c>
      <c r="D37" s="63">
        <v>0</v>
      </c>
      <c r="E37" s="439">
        <v>0.09</v>
      </c>
      <c r="F37" s="439">
        <v>0.09</v>
      </c>
      <c r="G37" s="439">
        <v>0.09</v>
      </c>
      <c r="H37" s="439">
        <v>0.09</v>
      </c>
      <c r="I37" s="439">
        <v>0.09</v>
      </c>
      <c r="J37" s="439">
        <v>0.09</v>
      </c>
      <c r="K37" s="439">
        <v>0.09</v>
      </c>
      <c r="L37" s="439">
        <v>0.09</v>
      </c>
      <c r="M37" s="439">
        <v>0.09</v>
      </c>
      <c r="N37" s="439">
        <v>0.09</v>
      </c>
      <c r="O37" s="439">
        <v>0.1</v>
      </c>
      <c r="P37" s="11">
        <f t="shared" si="1"/>
        <v>0.99999999999999978</v>
      </c>
      <c r="Q37" s="525" t="s">
        <v>126</v>
      </c>
      <c r="R37" s="526"/>
      <c r="S37" s="526"/>
      <c r="T37" s="526"/>
      <c r="U37" s="526"/>
      <c r="V37" s="526"/>
      <c r="W37" s="526"/>
      <c r="X37" s="526"/>
      <c r="Y37" s="526"/>
      <c r="Z37" s="526"/>
      <c r="AA37" s="526"/>
      <c r="AB37" s="527"/>
      <c r="AC37" s="357"/>
      <c r="AM37" s="131"/>
      <c r="AN37" s="131"/>
    </row>
    <row r="38" spans="1:40" ht="84.95" customHeight="1">
      <c r="A38" s="493"/>
      <c r="B38" s="721"/>
      <c r="C38" s="58" t="s">
        <v>75</v>
      </c>
      <c r="D38" s="10">
        <v>0</v>
      </c>
      <c r="E38" s="10">
        <v>0.09</v>
      </c>
      <c r="F38" s="10">
        <v>0.09</v>
      </c>
      <c r="G38" s="10">
        <v>0.09</v>
      </c>
      <c r="H38" s="10">
        <v>0.09</v>
      </c>
      <c r="I38" s="10">
        <v>0.09</v>
      </c>
      <c r="J38" s="10">
        <v>0.09</v>
      </c>
      <c r="K38" s="10">
        <v>0.09</v>
      </c>
      <c r="L38" s="440">
        <v>0.09</v>
      </c>
      <c r="M38" s="440">
        <v>0.09</v>
      </c>
      <c r="N38" s="440">
        <v>0.09</v>
      </c>
      <c r="O38" s="440">
        <v>0.02</v>
      </c>
      <c r="P38" s="11">
        <f t="shared" si="1"/>
        <v>0.91999999999999982</v>
      </c>
      <c r="Q38" s="528"/>
      <c r="R38" s="529"/>
      <c r="S38" s="529"/>
      <c r="T38" s="529"/>
      <c r="U38" s="529"/>
      <c r="V38" s="529"/>
      <c r="W38" s="529"/>
      <c r="X38" s="529"/>
      <c r="Y38" s="529"/>
      <c r="Z38" s="529"/>
      <c r="AA38" s="529"/>
      <c r="AB38" s="530"/>
      <c r="AC38" s="357"/>
      <c r="AM38" s="131"/>
      <c r="AN38" s="131"/>
    </row>
    <row r="39" spans="1:40" ht="25.35" customHeight="1">
      <c r="A39" s="722"/>
      <c r="B39" s="723"/>
      <c r="C39" s="60"/>
      <c r="D39" s="60"/>
      <c r="E39" s="60"/>
      <c r="F39" s="60"/>
      <c r="G39" s="60"/>
      <c r="H39" s="60"/>
      <c r="I39" s="60"/>
      <c r="J39" s="60"/>
      <c r="K39" s="60"/>
      <c r="L39" s="60"/>
      <c r="M39" s="60"/>
      <c r="N39" s="60"/>
      <c r="O39" s="60"/>
      <c r="P39" s="441">
        <f t="shared" si="1"/>
        <v>0</v>
      </c>
      <c r="Q39" s="531"/>
      <c r="R39" s="532"/>
      <c r="S39" s="532"/>
      <c r="T39" s="532"/>
      <c r="U39" s="532"/>
      <c r="V39" s="532"/>
      <c r="W39" s="532"/>
      <c r="X39" s="532"/>
      <c r="Y39" s="532"/>
      <c r="Z39" s="532"/>
      <c r="AA39" s="532"/>
      <c r="AB39" s="533"/>
      <c r="AC39" s="357"/>
      <c r="AD39" s="350">
        <f>LEN(Q37)</f>
        <v>1446</v>
      </c>
      <c r="AM39" s="136"/>
      <c r="AN39" s="131"/>
    </row>
    <row r="40" spans="1:40" ht="54" customHeight="1">
      <c r="A40" s="719" t="s">
        <v>127</v>
      </c>
      <c r="B40" s="767">
        <v>0.06</v>
      </c>
      <c r="C40" s="57" t="s">
        <v>74</v>
      </c>
      <c r="D40" s="59">
        <v>0</v>
      </c>
      <c r="E40" s="59">
        <v>0.09</v>
      </c>
      <c r="F40" s="59">
        <v>0.09</v>
      </c>
      <c r="G40" s="439">
        <v>0.09</v>
      </c>
      <c r="H40" s="439">
        <v>0.09</v>
      </c>
      <c r="I40" s="439">
        <v>0.09</v>
      </c>
      <c r="J40" s="439">
        <v>0.09</v>
      </c>
      <c r="K40" s="439">
        <v>0.09</v>
      </c>
      <c r="L40" s="439">
        <v>0.09</v>
      </c>
      <c r="M40" s="439">
        <v>0.09</v>
      </c>
      <c r="N40" s="439">
        <v>0.09</v>
      </c>
      <c r="O40" s="439">
        <v>0.1</v>
      </c>
      <c r="P40" s="11">
        <f t="shared" si="1"/>
        <v>0.99999999999999978</v>
      </c>
      <c r="Q40" s="768" t="s">
        <v>422</v>
      </c>
      <c r="R40" s="769"/>
      <c r="S40" s="769"/>
      <c r="T40" s="769"/>
      <c r="U40" s="769"/>
      <c r="V40" s="769"/>
      <c r="W40" s="769"/>
      <c r="X40" s="769"/>
      <c r="Y40" s="769"/>
      <c r="Z40" s="769"/>
      <c r="AA40" s="769"/>
      <c r="AB40" s="770"/>
      <c r="AC40" s="357"/>
    </row>
    <row r="41" spans="1:40" ht="54" customHeight="1">
      <c r="A41" s="493"/>
      <c r="B41" s="721"/>
      <c r="C41" s="58" t="s">
        <v>75</v>
      </c>
      <c r="D41" s="10">
        <v>0</v>
      </c>
      <c r="E41" s="10">
        <v>0</v>
      </c>
      <c r="F41" s="10">
        <v>0.18</v>
      </c>
      <c r="G41" s="10">
        <v>0.09</v>
      </c>
      <c r="H41" s="10">
        <v>0.09</v>
      </c>
      <c r="I41" s="10">
        <v>0.09</v>
      </c>
      <c r="J41" s="10">
        <v>0.09</v>
      </c>
      <c r="K41" s="10">
        <v>0.09</v>
      </c>
      <c r="L41" s="440">
        <v>0.09</v>
      </c>
      <c r="M41" s="440">
        <v>0.09</v>
      </c>
      <c r="N41" s="440">
        <v>0.09</v>
      </c>
      <c r="O41" s="440">
        <v>0.1</v>
      </c>
      <c r="P41" s="11">
        <f t="shared" si="1"/>
        <v>0.99999999999999978</v>
      </c>
      <c r="Q41" s="771"/>
      <c r="R41" s="772"/>
      <c r="S41" s="772"/>
      <c r="T41" s="772"/>
      <c r="U41" s="772"/>
      <c r="V41" s="772"/>
      <c r="W41" s="772"/>
      <c r="X41" s="772"/>
      <c r="Y41" s="772"/>
      <c r="Z41" s="772"/>
      <c r="AA41" s="772"/>
      <c r="AB41" s="773"/>
      <c r="AC41" s="357"/>
      <c r="AN41" s="131"/>
    </row>
    <row r="42" spans="1:40" ht="25.35" customHeight="1">
      <c r="A42" s="722"/>
      <c r="B42" s="723"/>
      <c r="C42" s="60"/>
      <c r="D42" s="60"/>
      <c r="E42" s="60"/>
      <c r="F42" s="60"/>
      <c r="G42" s="60"/>
      <c r="H42" s="60"/>
      <c r="I42" s="60"/>
      <c r="J42" s="60"/>
      <c r="K42" s="60"/>
      <c r="L42" s="60"/>
      <c r="M42" s="60"/>
      <c r="N42" s="60"/>
      <c r="O42" s="60"/>
      <c r="P42" s="141">
        <f>SUM(D42:O42)</f>
        <v>0</v>
      </c>
      <c r="Q42" s="774"/>
      <c r="R42" s="775"/>
      <c r="S42" s="775"/>
      <c r="T42" s="775"/>
      <c r="U42" s="775"/>
      <c r="V42" s="775"/>
      <c r="W42" s="775"/>
      <c r="X42" s="775"/>
      <c r="Y42" s="775"/>
      <c r="Z42" s="775"/>
      <c r="AA42" s="775"/>
      <c r="AB42" s="776"/>
      <c r="AC42" s="357"/>
      <c r="AD42" s="350">
        <f>LEN(Q40)</f>
        <v>1256</v>
      </c>
    </row>
    <row r="43" spans="1:40" ht="15.75" hidden="1" thickBot="1">
      <c r="A43" s="143"/>
      <c r="AC43" s="119"/>
    </row>
    <row r="44" spans="1:40" ht="27" hidden="1" customHeight="1">
      <c r="A44" s="499" t="s">
        <v>88</v>
      </c>
      <c r="B44" s="502" t="s">
        <v>89</v>
      </c>
      <c r="C44" s="503"/>
      <c r="D44" s="503"/>
      <c r="E44" s="503"/>
      <c r="F44" s="503"/>
      <c r="G44" s="504"/>
      <c r="H44" s="505" t="s">
        <v>90</v>
      </c>
      <c r="I44" s="506"/>
      <c r="J44" s="506"/>
      <c r="K44" s="506"/>
      <c r="L44" s="506"/>
      <c r="M44" s="506"/>
      <c r="N44" s="502" t="s">
        <v>89</v>
      </c>
      <c r="O44" s="503"/>
      <c r="P44" s="503"/>
      <c r="Q44" s="503"/>
      <c r="R44" s="503"/>
      <c r="S44" s="504"/>
      <c r="T44" s="511" t="s">
        <v>91</v>
      </c>
      <c r="U44" s="512"/>
      <c r="V44" s="512"/>
      <c r="W44" s="513"/>
      <c r="X44" s="502" t="s">
        <v>92</v>
      </c>
      <c r="Y44" s="503"/>
      <c r="Z44" s="503"/>
      <c r="AA44" s="503"/>
      <c r="AB44" s="520"/>
    </row>
    <row r="45" spans="1:40" ht="27" hidden="1" customHeight="1">
      <c r="A45" s="500"/>
      <c r="B45" s="485" t="s">
        <v>93</v>
      </c>
      <c r="C45" s="486"/>
      <c r="D45" s="486"/>
      <c r="E45" s="486"/>
      <c r="F45" s="486"/>
      <c r="G45" s="487"/>
      <c r="H45" s="507"/>
      <c r="I45" s="508"/>
      <c r="J45" s="508"/>
      <c r="K45" s="508"/>
      <c r="L45" s="508"/>
      <c r="M45" s="508"/>
      <c r="N45" s="485" t="s">
        <v>94</v>
      </c>
      <c r="O45" s="486"/>
      <c r="P45" s="486"/>
      <c r="Q45" s="486"/>
      <c r="R45" s="486"/>
      <c r="S45" s="487"/>
      <c r="T45" s="514"/>
      <c r="U45" s="515"/>
      <c r="V45" s="515"/>
      <c r="W45" s="516"/>
      <c r="X45" s="485" t="s">
        <v>95</v>
      </c>
      <c r="Y45" s="486"/>
      <c r="Z45" s="486"/>
      <c r="AA45" s="486"/>
      <c r="AB45" s="488"/>
    </row>
    <row r="46" spans="1:40" ht="27" hidden="1" customHeight="1" thickBot="1">
      <c r="A46" s="501"/>
      <c r="B46" s="489" t="s">
        <v>96</v>
      </c>
      <c r="C46" s="490"/>
      <c r="D46" s="490"/>
      <c r="E46" s="490"/>
      <c r="F46" s="490"/>
      <c r="G46" s="491"/>
      <c r="H46" s="509"/>
      <c r="I46" s="510"/>
      <c r="J46" s="510"/>
      <c r="K46" s="510"/>
      <c r="L46" s="510"/>
      <c r="M46" s="510"/>
      <c r="N46" s="489" t="s">
        <v>97</v>
      </c>
      <c r="O46" s="490"/>
      <c r="P46" s="490"/>
      <c r="Q46" s="490"/>
      <c r="R46" s="490"/>
      <c r="S46" s="491"/>
      <c r="T46" s="517"/>
      <c r="U46" s="518"/>
      <c r="V46" s="518"/>
      <c r="W46" s="519"/>
      <c r="X46" s="489" t="s">
        <v>98</v>
      </c>
      <c r="Y46" s="490"/>
      <c r="Z46" s="490"/>
      <c r="AA46" s="490"/>
      <c r="AB46" s="492"/>
    </row>
    <row r="47" spans="1:40" hidden="1"/>
    <row r="48" spans="1:40" hidden="1"/>
    <row r="49" spans="1:33" hidden="1"/>
    <row r="50" spans="1:33" hidden="1"/>
    <row r="51" spans="1:33" hidden="1"/>
    <row r="52" spans="1:33" hidden="1"/>
    <row r="53" spans="1:33" hidden="1"/>
    <row r="54" spans="1:33" s="278" customFormat="1" ht="22.35" hidden="1" customHeight="1">
      <c r="A54" s="480" t="s">
        <v>66</v>
      </c>
      <c r="B54" s="480" t="s">
        <v>67</v>
      </c>
      <c r="C54" s="482" t="s">
        <v>68</v>
      </c>
      <c r="D54" s="483"/>
      <c r="E54" s="483"/>
      <c r="F54" s="483"/>
      <c r="G54" s="483"/>
      <c r="H54" s="483"/>
      <c r="I54" s="483"/>
      <c r="J54" s="483"/>
      <c r="K54" s="483"/>
      <c r="L54" s="483"/>
      <c r="M54" s="483"/>
      <c r="N54" s="483"/>
      <c r="O54" s="483"/>
      <c r="P54" s="484"/>
      <c r="AC54" s="358"/>
      <c r="AD54" s="358"/>
      <c r="AE54" s="138"/>
      <c r="AF54" s="138"/>
      <c r="AG54" s="138"/>
    </row>
    <row r="55" spans="1:33" s="278" customFormat="1" ht="22.35" hidden="1" customHeight="1">
      <c r="A55" s="481"/>
      <c r="B55" s="481"/>
      <c r="C55" s="279" t="s">
        <v>70</v>
      </c>
      <c r="D55" s="279" t="s">
        <v>99</v>
      </c>
      <c r="E55" s="279" t="s">
        <v>100</v>
      </c>
      <c r="F55" s="279" t="s">
        <v>101</v>
      </c>
      <c r="G55" s="279" t="s">
        <v>102</v>
      </c>
      <c r="H55" s="279" t="s">
        <v>103</v>
      </c>
      <c r="I55" s="279" t="s">
        <v>104</v>
      </c>
      <c r="J55" s="279" t="s">
        <v>105</v>
      </c>
      <c r="K55" s="279" t="s">
        <v>106</v>
      </c>
      <c r="L55" s="279" t="s">
        <v>107</v>
      </c>
      <c r="M55" s="279" t="s">
        <v>108</v>
      </c>
      <c r="N55" s="279" t="s">
        <v>109</v>
      </c>
      <c r="O55" s="279" t="s">
        <v>110</v>
      </c>
      <c r="P55" s="279" t="s">
        <v>71</v>
      </c>
      <c r="AC55" s="358"/>
      <c r="AD55" s="358"/>
      <c r="AE55" s="138"/>
      <c r="AF55" s="138"/>
      <c r="AG55" s="138"/>
    </row>
    <row r="56" spans="1:33" s="283" customFormat="1" ht="13.35" hidden="1" customHeight="1">
      <c r="A56" s="478" t="str">
        <f>+A34</f>
        <v>Diagnosticar las necesidades de cuidado de la población beneficiara de las (8) manzanas de cuidado</v>
      </c>
      <c r="B56" s="478">
        <f>+B34</f>
        <v>0.06</v>
      </c>
      <c r="C56" s="280" t="s">
        <v>74</v>
      </c>
      <c r="D56" s="281">
        <f>+D34*$B$34/$P$34</f>
        <v>0</v>
      </c>
      <c r="E56" s="281">
        <f t="shared" ref="E56:O56" si="2">+E34*$B$34/$P$34</f>
        <v>0</v>
      </c>
      <c r="F56" s="281">
        <f t="shared" si="2"/>
        <v>6.000000000000001E-3</v>
      </c>
      <c r="G56" s="281">
        <f t="shared" si="2"/>
        <v>6.000000000000001E-3</v>
      </c>
      <c r="H56" s="281">
        <f t="shared" si="2"/>
        <v>6.000000000000001E-3</v>
      </c>
      <c r="I56" s="281">
        <f t="shared" si="2"/>
        <v>6.000000000000001E-3</v>
      </c>
      <c r="J56" s="281">
        <f t="shared" si="2"/>
        <v>6.000000000000001E-3</v>
      </c>
      <c r="K56" s="281">
        <f t="shared" si="2"/>
        <v>6.000000000000001E-3</v>
      </c>
      <c r="L56" s="281">
        <f t="shared" si="2"/>
        <v>6.000000000000001E-3</v>
      </c>
      <c r="M56" s="281">
        <f t="shared" si="2"/>
        <v>6.000000000000001E-3</v>
      </c>
      <c r="N56" s="281">
        <f t="shared" si="2"/>
        <v>6.000000000000001E-3</v>
      </c>
      <c r="O56" s="281">
        <f t="shared" si="2"/>
        <v>6.000000000000001E-3</v>
      </c>
      <c r="P56" s="282">
        <f t="shared" ref="P56:P61" si="3">SUM(D56:O56)</f>
        <v>0.06</v>
      </c>
      <c r="AE56" s="139"/>
      <c r="AF56" s="139"/>
      <c r="AG56" s="139"/>
    </row>
    <row r="57" spans="1:33" s="283" customFormat="1" ht="13.35" hidden="1" customHeight="1">
      <c r="A57" s="479"/>
      <c r="B57" s="479"/>
      <c r="C57" s="284" t="s">
        <v>75</v>
      </c>
      <c r="D57" s="285">
        <f t="shared" ref="D57:O57" si="4">+D35*$B$34/$P$34</f>
        <v>0</v>
      </c>
      <c r="E57" s="285">
        <f t="shared" si="4"/>
        <v>0</v>
      </c>
      <c r="F57" s="285">
        <f t="shared" si="4"/>
        <v>6.000000000000001E-3</v>
      </c>
      <c r="G57" s="285">
        <f t="shared" si="4"/>
        <v>6.000000000000001E-3</v>
      </c>
      <c r="H57" s="285">
        <f t="shared" si="4"/>
        <v>6.000000000000001E-3</v>
      </c>
      <c r="I57" s="285">
        <f t="shared" si="4"/>
        <v>6.000000000000001E-3</v>
      </c>
      <c r="J57" s="285">
        <f t="shared" si="4"/>
        <v>6.000000000000001E-3</v>
      </c>
      <c r="K57" s="285">
        <f t="shared" si="4"/>
        <v>6.000000000000001E-3</v>
      </c>
      <c r="L57" s="285">
        <f t="shared" si="4"/>
        <v>6.000000000000001E-3</v>
      </c>
      <c r="M57" s="285">
        <f t="shared" si="4"/>
        <v>6.000000000000001E-3</v>
      </c>
      <c r="N57" s="285">
        <f t="shared" si="4"/>
        <v>1.2000000000000002E-2</v>
      </c>
      <c r="O57" s="285">
        <f t="shared" si="4"/>
        <v>0</v>
      </c>
      <c r="P57" s="286">
        <f t="shared" si="3"/>
        <v>6.0000000000000005E-2</v>
      </c>
      <c r="AE57" s="139"/>
      <c r="AF57" s="139"/>
      <c r="AG57" s="139"/>
    </row>
    <row r="58" spans="1:33" s="283" customFormat="1" ht="13.35" hidden="1" customHeight="1">
      <c r="A58" s="478" t="str">
        <f>+A37</f>
        <v xml:space="preserve">Articular las acciones intersectoriales para la puesta en operación de 6 manzanas del cuidado. </v>
      </c>
      <c r="B58" s="478">
        <f>+B37</f>
        <v>0.09</v>
      </c>
      <c r="C58" s="280" t="s">
        <v>74</v>
      </c>
      <c r="D58" s="281">
        <f>+D37*$B$37/$P$37</f>
        <v>0</v>
      </c>
      <c r="E58" s="281">
        <f t="shared" ref="E58:O58" si="5">+E37*$B$37/$P$37</f>
        <v>8.1000000000000013E-3</v>
      </c>
      <c r="F58" s="281">
        <f t="shared" si="5"/>
        <v>8.1000000000000013E-3</v>
      </c>
      <c r="G58" s="281">
        <f t="shared" si="5"/>
        <v>8.1000000000000013E-3</v>
      </c>
      <c r="H58" s="281">
        <f t="shared" si="5"/>
        <v>8.1000000000000013E-3</v>
      </c>
      <c r="I58" s="281">
        <f t="shared" si="5"/>
        <v>8.1000000000000013E-3</v>
      </c>
      <c r="J58" s="281">
        <f t="shared" si="5"/>
        <v>8.1000000000000013E-3</v>
      </c>
      <c r="K58" s="281">
        <f t="shared" si="5"/>
        <v>8.1000000000000013E-3</v>
      </c>
      <c r="L58" s="281">
        <f t="shared" si="5"/>
        <v>8.1000000000000013E-3</v>
      </c>
      <c r="M58" s="281">
        <f t="shared" si="5"/>
        <v>8.1000000000000013E-3</v>
      </c>
      <c r="N58" s="281">
        <f t="shared" si="5"/>
        <v>8.1000000000000013E-3</v>
      </c>
      <c r="O58" s="281">
        <f t="shared" si="5"/>
        <v>9.0000000000000011E-3</v>
      </c>
      <c r="P58" s="282">
        <f t="shared" si="3"/>
        <v>0.09</v>
      </c>
      <c r="AE58" s="139"/>
      <c r="AF58" s="139"/>
      <c r="AG58" s="139"/>
    </row>
    <row r="59" spans="1:33" s="283" customFormat="1" ht="13.35" hidden="1" customHeight="1">
      <c r="A59" s="479"/>
      <c r="B59" s="479"/>
      <c r="C59" s="284" t="s">
        <v>75</v>
      </c>
      <c r="D59" s="285">
        <f t="shared" ref="D59:O59" si="6">+D38*$B$37/$P$37</f>
        <v>0</v>
      </c>
      <c r="E59" s="285">
        <f t="shared" si="6"/>
        <v>8.1000000000000013E-3</v>
      </c>
      <c r="F59" s="285">
        <f t="shared" si="6"/>
        <v>8.1000000000000013E-3</v>
      </c>
      <c r="G59" s="285">
        <f t="shared" si="6"/>
        <v>8.1000000000000013E-3</v>
      </c>
      <c r="H59" s="285">
        <f t="shared" si="6"/>
        <v>8.1000000000000013E-3</v>
      </c>
      <c r="I59" s="285">
        <f t="shared" si="6"/>
        <v>8.1000000000000013E-3</v>
      </c>
      <c r="J59" s="285">
        <f t="shared" si="6"/>
        <v>8.1000000000000013E-3</v>
      </c>
      <c r="K59" s="285">
        <f t="shared" si="6"/>
        <v>8.1000000000000013E-3</v>
      </c>
      <c r="L59" s="285">
        <f t="shared" si="6"/>
        <v>8.1000000000000013E-3</v>
      </c>
      <c r="M59" s="285">
        <f t="shared" si="6"/>
        <v>8.1000000000000013E-3</v>
      </c>
      <c r="N59" s="285">
        <f t="shared" si="6"/>
        <v>8.1000000000000013E-3</v>
      </c>
      <c r="O59" s="285">
        <f t="shared" si="6"/>
        <v>1.8000000000000004E-3</v>
      </c>
      <c r="P59" s="286">
        <f t="shared" si="3"/>
        <v>8.2799999999999999E-2</v>
      </c>
      <c r="AE59" s="139"/>
      <c r="AF59" s="139"/>
      <c r="AG59" s="139"/>
    </row>
    <row r="60" spans="1:33" s="283" customFormat="1" ht="13.35" hidden="1" customHeight="1">
      <c r="A60" s="478" t="str">
        <f>+A40</f>
        <v xml:space="preserve">Monitorear las acciones intersectoriales de las 8 manzanas del cuidado.  </v>
      </c>
      <c r="B60" s="478">
        <f>+B40</f>
        <v>0.06</v>
      </c>
      <c r="C60" s="280" t="s">
        <v>74</v>
      </c>
      <c r="D60" s="281">
        <f>+D40*$B$40/$P$40</f>
        <v>0</v>
      </c>
      <c r="E60" s="281">
        <f t="shared" ref="E60:O60" si="7">+E40*$B$40/$P$40</f>
        <v>5.4000000000000003E-3</v>
      </c>
      <c r="F60" s="281">
        <f t="shared" si="7"/>
        <v>5.4000000000000003E-3</v>
      </c>
      <c r="G60" s="281">
        <f t="shared" si="7"/>
        <v>5.4000000000000003E-3</v>
      </c>
      <c r="H60" s="281">
        <f t="shared" si="7"/>
        <v>5.4000000000000003E-3</v>
      </c>
      <c r="I60" s="281">
        <f t="shared" si="7"/>
        <v>5.4000000000000003E-3</v>
      </c>
      <c r="J60" s="281">
        <f t="shared" si="7"/>
        <v>5.4000000000000003E-3</v>
      </c>
      <c r="K60" s="281">
        <f t="shared" si="7"/>
        <v>5.4000000000000003E-3</v>
      </c>
      <c r="L60" s="281">
        <f t="shared" si="7"/>
        <v>5.4000000000000003E-3</v>
      </c>
      <c r="M60" s="281">
        <f t="shared" si="7"/>
        <v>5.4000000000000003E-3</v>
      </c>
      <c r="N60" s="281">
        <f t="shared" si="7"/>
        <v>5.4000000000000003E-3</v>
      </c>
      <c r="O60" s="281">
        <f t="shared" si="7"/>
        <v>6.0000000000000019E-3</v>
      </c>
      <c r="P60" s="282">
        <f t="shared" si="3"/>
        <v>6.0000000000000012E-2</v>
      </c>
      <c r="AE60" s="139"/>
      <c r="AF60" s="139"/>
      <c r="AG60" s="139"/>
    </row>
    <row r="61" spans="1:33" s="283" customFormat="1" ht="13.35" hidden="1" customHeight="1">
      <c r="A61" s="479"/>
      <c r="B61" s="479"/>
      <c r="C61" s="284" t="s">
        <v>75</v>
      </c>
      <c r="D61" s="285">
        <f t="shared" ref="D61:O61" si="8">+D41*$B$40/$P$40</f>
        <v>0</v>
      </c>
      <c r="E61" s="285">
        <f t="shared" si="8"/>
        <v>0</v>
      </c>
      <c r="F61" s="285">
        <f t="shared" si="8"/>
        <v>1.0800000000000001E-2</v>
      </c>
      <c r="G61" s="285">
        <f t="shared" si="8"/>
        <v>5.4000000000000003E-3</v>
      </c>
      <c r="H61" s="285">
        <f t="shared" si="8"/>
        <v>5.4000000000000003E-3</v>
      </c>
      <c r="I61" s="285">
        <f t="shared" si="8"/>
        <v>5.4000000000000003E-3</v>
      </c>
      <c r="J61" s="285">
        <f t="shared" si="8"/>
        <v>5.4000000000000003E-3</v>
      </c>
      <c r="K61" s="285">
        <f t="shared" si="8"/>
        <v>5.4000000000000003E-3</v>
      </c>
      <c r="L61" s="285">
        <f t="shared" si="8"/>
        <v>5.4000000000000003E-3</v>
      </c>
      <c r="M61" s="285">
        <f t="shared" si="8"/>
        <v>5.4000000000000003E-3</v>
      </c>
      <c r="N61" s="285">
        <f t="shared" si="8"/>
        <v>5.4000000000000003E-3</v>
      </c>
      <c r="O61" s="285">
        <f t="shared" si="8"/>
        <v>6.0000000000000019E-3</v>
      </c>
      <c r="P61" s="286">
        <f t="shared" si="3"/>
        <v>6.0000000000000012E-2</v>
      </c>
      <c r="AE61" s="139"/>
      <c r="AF61" s="139"/>
      <c r="AG61" s="139"/>
    </row>
    <row r="62" spans="1:33" s="283" customFormat="1" ht="11.25" hidden="1">
      <c r="C62" s="287"/>
      <c r="D62" s="288">
        <f>+D57+D59+D61</f>
        <v>0</v>
      </c>
      <c r="E62" s="288">
        <f t="shared" ref="E62:P62" si="9">+E57+E59+E61</f>
        <v>8.1000000000000013E-3</v>
      </c>
      <c r="F62" s="288">
        <f t="shared" si="9"/>
        <v>2.4900000000000002E-2</v>
      </c>
      <c r="G62" s="288">
        <f t="shared" si="9"/>
        <v>1.9500000000000003E-2</v>
      </c>
      <c r="H62" s="288">
        <f t="shared" si="9"/>
        <v>1.9500000000000003E-2</v>
      </c>
      <c r="I62" s="288">
        <f t="shared" si="9"/>
        <v>1.9500000000000003E-2</v>
      </c>
      <c r="J62" s="288">
        <f t="shared" si="9"/>
        <v>1.9500000000000003E-2</v>
      </c>
      <c r="K62" s="288">
        <f t="shared" si="9"/>
        <v>1.9500000000000003E-2</v>
      </c>
      <c r="L62" s="288">
        <f t="shared" si="9"/>
        <v>1.9500000000000003E-2</v>
      </c>
      <c r="M62" s="288">
        <f t="shared" si="9"/>
        <v>1.9500000000000003E-2</v>
      </c>
      <c r="N62" s="288">
        <f t="shared" si="9"/>
        <v>2.5500000000000002E-2</v>
      </c>
      <c r="O62" s="288">
        <f t="shared" si="9"/>
        <v>7.8000000000000022E-3</v>
      </c>
      <c r="P62" s="288">
        <f t="shared" si="9"/>
        <v>0.20280000000000004</v>
      </c>
      <c r="AE62" s="139"/>
      <c r="AF62" s="139"/>
      <c r="AG62" s="139"/>
    </row>
    <row r="63" spans="1:33" s="289" customFormat="1" ht="12.75" hidden="1">
      <c r="C63" s="290" t="s">
        <v>111</v>
      </c>
      <c r="D63" s="291">
        <f>+D62*$C$30/$B$30</f>
        <v>0</v>
      </c>
      <c r="E63" s="291">
        <f t="shared" ref="E63:O63" si="10">+E62*$C$30/$B$30</f>
        <v>9.642857142857144E-3</v>
      </c>
      <c r="F63" s="291">
        <f t="shared" si="10"/>
        <v>2.9642857142857148E-2</v>
      </c>
      <c r="G63" s="291">
        <f t="shared" si="10"/>
        <v>2.3214285714285719E-2</v>
      </c>
      <c r="H63" s="291">
        <f t="shared" si="10"/>
        <v>2.3214285714285719E-2</v>
      </c>
      <c r="I63" s="291">
        <f t="shared" si="10"/>
        <v>2.3214285714285719E-2</v>
      </c>
      <c r="J63" s="291">
        <f t="shared" si="10"/>
        <v>2.3214285714285719E-2</v>
      </c>
      <c r="K63" s="291">
        <f t="shared" si="10"/>
        <v>2.3214285714285719E-2</v>
      </c>
      <c r="L63" s="291">
        <f t="shared" si="10"/>
        <v>2.3214285714285719E-2</v>
      </c>
      <c r="M63" s="291">
        <f t="shared" si="10"/>
        <v>2.3214285714285719E-2</v>
      </c>
      <c r="N63" s="291">
        <f t="shared" si="10"/>
        <v>3.035714285714286E-2</v>
      </c>
      <c r="O63" s="291">
        <f t="shared" si="10"/>
        <v>9.2857142857142895E-3</v>
      </c>
      <c r="P63" s="292">
        <f>SUM(D63:O63)</f>
        <v>0.24142857142857146</v>
      </c>
      <c r="Q63" s="293"/>
      <c r="AC63" s="359"/>
      <c r="AD63" s="359"/>
      <c r="AE63" s="431"/>
      <c r="AF63" s="431"/>
      <c r="AG63" s="431"/>
    </row>
    <row r="64" spans="1:33" hidden="1"/>
    <row r="65" hidden="1"/>
  </sheetData>
  <mergeCells count="120">
    <mergeCell ref="A1:A4"/>
    <mergeCell ref="B1:Y1"/>
    <mergeCell ref="Z1:AB1"/>
    <mergeCell ref="B2:Y2"/>
    <mergeCell ref="Z2:AB2"/>
    <mergeCell ref="B3:Y4"/>
    <mergeCell ref="Z3:AB3"/>
    <mergeCell ref="Z4:AB4"/>
    <mergeCell ref="N46:S46"/>
    <mergeCell ref="X46:AB46"/>
    <mergeCell ref="A44:A46"/>
    <mergeCell ref="B44:G44"/>
    <mergeCell ref="H44:M46"/>
    <mergeCell ref="N44:S44"/>
    <mergeCell ref="T44:W46"/>
    <mergeCell ref="X44:AB44"/>
    <mergeCell ref="B45:G45"/>
    <mergeCell ref="N45:S45"/>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A60:A61"/>
    <mergeCell ref="B60:B61"/>
    <mergeCell ref="A40:A41"/>
    <mergeCell ref="B40:B41"/>
    <mergeCell ref="Q40:AB42"/>
    <mergeCell ref="A42:B42"/>
    <mergeCell ref="A34:A35"/>
    <mergeCell ref="B34:B35"/>
    <mergeCell ref="Q34:AB36"/>
    <mergeCell ref="A36:B36"/>
    <mergeCell ref="A37:A38"/>
    <mergeCell ref="B37:B38"/>
    <mergeCell ref="Q37:AB39"/>
    <mergeCell ref="A39:B39"/>
    <mergeCell ref="X45:AB45"/>
    <mergeCell ref="B46:G46"/>
    <mergeCell ref="AE32:AE35"/>
    <mergeCell ref="AD28:AD29"/>
    <mergeCell ref="A54:A55"/>
    <mergeCell ref="B54:B55"/>
    <mergeCell ref="C54:P54"/>
    <mergeCell ref="A56:A57"/>
    <mergeCell ref="B56:B57"/>
    <mergeCell ref="A58:A59"/>
    <mergeCell ref="B58:B59"/>
    <mergeCell ref="Q30:T30"/>
    <mergeCell ref="U30:X30"/>
    <mergeCell ref="Y30:AB30"/>
    <mergeCell ref="A31:AB31"/>
    <mergeCell ref="A32:A33"/>
    <mergeCell ref="B32:B33"/>
    <mergeCell ref="C32:P32"/>
    <mergeCell ref="Q32:AB32"/>
    <mergeCell ref="Q33:AB33"/>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AD30 Q30:T30 Q34:AB42">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39370078740157483" bottom="0.39370078740157483" header="0" footer="0"/>
  <pageSetup scale="3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O66"/>
  <sheetViews>
    <sheetView topLeftCell="L7" zoomScale="81" zoomScaleNormal="100" zoomScaleSheetLayoutView="58" workbookViewId="0">
      <selection activeCell="A20" sqref="A20:AB20"/>
    </sheetView>
  </sheetViews>
  <sheetFormatPr baseColWidth="10" defaultColWidth="11.42578125" defaultRowHeight="15"/>
  <cols>
    <col min="1" max="1" width="38.42578125" style="119" customWidth="1"/>
    <col min="2" max="2" width="18.28515625" style="119" customWidth="1"/>
    <col min="3" max="3" width="19.42578125" style="119" customWidth="1"/>
    <col min="4" max="4" width="7.7109375" style="119" customWidth="1"/>
    <col min="5" max="9" width="8.28515625" style="119" customWidth="1"/>
    <col min="10" max="15" width="7.7109375" style="119" customWidth="1"/>
    <col min="16" max="16" width="13.7109375" style="119" customWidth="1"/>
    <col min="17" max="20" width="18.28515625" style="119" customWidth="1"/>
    <col min="21" max="24" width="10.85546875" style="119" customWidth="1"/>
    <col min="25" max="29" width="17.7109375" style="119" customWidth="1"/>
    <col min="30" max="30" width="5.140625" style="119" bestFit="1" customWidth="1"/>
    <col min="31" max="31" width="33.140625" style="119" customWidth="1"/>
    <col min="32" max="35" width="18.140625" style="119" customWidth="1"/>
    <col min="36" max="36" width="4.710937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8"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8"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8"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8"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28"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8"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8"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8"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8"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8"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8"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28"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8" s="78" customFormat="1" ht="37.5" customHeight="1" thickBot="1">
      <c r="A13" s="637" t="s">
        <v>22</v>
      </c>
      <c r="B13" s="638"/>
      <c r="C13" s="699" t="s">
        <v>128</v>
      </c>
      <c r="D13" s="700"/>
      <c r="E13" s="700"/>
      <c r="F13" s="700"/>
      <c r="G13" s="700"/>
      <c r="H13" s="700"/>
      <c r="I13" s="700"/>
      <c r="J13" s="700"/>
      <c r="K13" s="700"/>
      <c r="L13" s="700"/>
      <c r="M13" s="700"/>
      <c r="N13" s="700"/>
      <c r="O13" s="700"/>
      <c r="P13" s="700"/>
      <c r="Q13" s="701"/>
      <c r="R13" s="6"/>
      <c r="S13" s="515" t="s">
        <v>24</v>
      </c>
      <c r="T13" s="515"/>
      <c r="U13" s="174">
        <f>+Ponderación!E101</f>
        <v>0.24</v>
      </c>
      <c r="V13" s="702" t="s">
        <v>25</v>
      </c>
      <c r="W13" s="515"/>
      <c r="X13" s="515"/>
      <c r="Y13" s="515"/>
      <c r="Z13" s="6"/>
      <c r="AA13" s="703">
        <f>B30</f>
        <v>0.18</v>
      </c>
      <c r="AB13" s="704"/>
    </row>
    <row r="14" spans="1:28"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8" ht="35.25" customHeight="1" thickBot="1">
      <c r="A16" s="609"/>
      <c r="B16" s="610"/>
      <c r="C16" s="74"/>
      <c r="D16" s="617"/>
      <c r="E16" s="519"/>
      <c r="F16" s="517"/>
      <c r="G16" s="519"/>
      <c r="H16" s="618" t="s">
        <v>32</v>
      </c>
      <c r="I16" s="619"/>
      <c r="J16" s="413"/>
      <c r="K16" s="413"/>
      <c r="L16" s="413"/>
      <c r="M16" s="3"/>
      <c r="N16" s="3"/>
      <c r="O16" s="3"/>
      <c r="P16" s="3"/>
      <c r="Q16" s="733" t="s">
        <v>33</v>
      </c>
      <c r="R16" s="734"/>
      <c r="S16" s="734"/>
      <c r="T16" s="734"/>
      <c r="U16" s="734"/>
      <c r="V16" s="735"/>
      <c r="W16" s="736" t="s">
        <v>34</v>
      </c>
      <c r="X16" s="734"/>
      <c r="Y16" s="734"/>
      <c r="Z16" s="734"/>
      <c r="AA16" s="734"/>
      <c r="AB16" s="737"/>
    </row>
    <row r="17" spans="1:40" ht="27"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127"/>
      <c r="AD17" s="127"/>
    </row>
    <row r="18" spans="1:40" ht="20.100000000000001" customHeight="1" thickBot="1">
      <c r="A18" s="5"/>
      <c r="B18" s="6"/>
      <c r="C18" s="8"/>
      <c r="D18" s="8"/>
      <c r="E18" s="8"/>
      <c r="F18" s="8"/>
      <c r="G18" s="128"/>
      <c r="H18" s="128"/>
      <c r="I18" s="128"/>
      <c r="J18" s="128"/>
      <c r="K18" s="128"/>
      <c r="L18" s="128"/>
      <c r="M18" s="8"/>
      <c r="N18" s="8"/>
      <c r="O18" s="8"/>
      <c r="P18" s="8"/>
      <c r="Q18" s="791">
        <v>0</v>
      </c>
      <c r="R18" s="792"/>
      <c r="S18" s="793"/>
      <c r="T18" s="794">
        <v>0</v>
      </c>
      <c r="U18" s="792"/>
      <c r="V18" s="793"/>
      <c r="W18" s="635">
        <f>+Ponderación!E10</f>
        <v>5886531587.1300001</v>
      </c>
      <c r="X18" s="633"/>
      <c r="Y18" s="634"/>
      <c r="Z18" s="635">
        <v>5845618011</v>
      </c>
      <c r="AA18" s="633"/>
      <c r="AB18" s="636"/>
      <c r="AC18" s="165"/>
      <c r="AD18" s="129"/>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731"/>
      <c r="B23" s="575" t="s">
        <v>43</v>
      </c>
      <c r="C23" s="576"/>
      <c r="D23" s="591"/>
      <c r="E23" s="592"/>
      <c r="F23" s="593"/>
      <c r="G23" s="591"/>
      <c r="H23" s="592"/>
      <c r="I23" s="593"/>
      <c r="J23" s="591"/>
      <c r="K23" s="592"/>
      <c r="L23" s="593"/>
      <c r="M23" s="591" t="s">
        <v>32</v>
      </c>
      <c r="N23" s="592"/>
      <c r="O23" s="593"/>
      <c r="P23" s="563"/>
      <c r="Q23" s="565" t="s">
        <v>129</v>
      </c>
      <c r="R23" s="565"/>
      <c r="S23" s="565"/>
      <c r="T23" s="565"/>
      <c r="U23" s="565"/>
      <c r="V23" s="565"/>
      <c r="W23" s="565"/>
      <c r="X23" s="565"/>
      <c r="Y23" s="565"/>
      <c r="Z23" s="565"/>
      <c r="AA23" s="565"/>
      <c r="AB23" s="566"/>
    </row>
    <row r="24" spans="1:40" ht="15" customHeight="1">
      <c r="A24" s="731"/>
      <c r="B24" s="577"/>
      <c r="C24" s="578"/>
      <c r="D24" s="594"/>
      <c r="E24" s="595"/>
      <c r="F24" s="596"/>
      <c r="G24" s="594"/>
      <c r="H24" s="595"/>
      <c r="I24" s="596"/>
      <c r="J24" s="594"/>
      <c r="K24" s="595"/>
      <c r="L24" s="596"/>
      <c r="M24" s="594"/>
      <c r="N24" s="595"/>
      <c r="O24" s="596"/>
      <c r="P24" s="564"/>
      <c r="Q24" s="565"/>
      <c r="R24" s="565"/>
      <c r="S24" s="565"/>
      <c r="T24" s="565"/>
      <c r="U24" s="565"/>
      <c r="V24" s="565"/>
      <c r="W24" s="565"/>
      <c r="X24" s="565"/>
      <c r="Y24" s="565"/>
      <c r="Z24" s="565"/>
      <c r="AA24" s="565"/>
      <c r="AB24" s="566"/>
    </row>
    <row r="25" spans="1:40" ht="15" customHeight="1">
      <c r="A25" s="731"/>
      <c r="B25" s="577"/>
      <c r="C25" s="578"/>
      <c r="D25" s="594"/>
      <c r="E25" s="595"/>
      <c r="F25" s="596"/>
      <c r="G25" s="594"/>
      <c r="H25" s="595"/>
      <c r="I25" s="596"/>
      <c r="J25" s="594"/>
      <c r="K25" s="595"/>
      <c r="L25" s="596"/>
      <c r="M25" s="594"/>
      <c r="N25" s="595"/>
      <c r="O25" s="596"/>
      <c r="P25" s="564"/>
      <c r="Q25" s="565"/>
      <c r="R25" s="565"/>
      <c r="S25" s="565"/>
      <c r="T25" s="565"/>
      <c r="U25" s="565"/>
      <c r="V25" s="565"/>
      <c r="W25" s="565"/>
      <c r="X25" s="565"/>
      <c r="Y25" s="565"/>
      <c r="Z25" s="565"/>
      <c r="AA25" s="565"/>
      <c r="AB25" s="566"/>
    </row>
    <row r="26" spans="1:40" ht="15" customHeight="1" thickBot="1">
      <c r="A26" s="732"/>
      <c r="B26" s="577"/>
      <c r="C26" s="578"/>
      <c r="D26" s="594"/>
      <c r="E26" s="595"/>
      <c r="F26" s="596"/>
      <c r="G26" s="594"/>
      <c r="H26" s="595"/>
      <c r="I26" s="596"/>
      <c r="J26" s="594"/>
      <c r="K26" s="595"/>
      <c r="L26" s="596"/>
      <c r="M26" s="594"/>
      <c r="N26" s="595"/>
      <c r="O26" s="596"/>
      <c r="P26" s="564"/>
      <c r="Q26" s="567"/>
      <c r="R26" s="567"/>
      <c r="S26" s="567"/>
      <c r="T26" s="567"/>
      <c r="U26" s="567"/>
      <c r="V26" s="567"/>
      <c r="W26" s="567"/>
      <c r="X26" s="567"/>
      <c r="Y26" s="567"/>
      <c r="Z26" s="567"/>
      <c r="AA26" s="567"/>
      <c r="AB26" s="568"/>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E28" s="130"/>
      <c r="AF28" s="321"/>
      <c r="AG28" s="130"/>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E29" s="130"/>
      <c r="AF29" s="321"/>
      <c r="AG29" s="130"/>
      <c r="AH29" s="130"/>
      <c r="AI29" s="130"/>
      <c r="AJ29" s="130"/>
      <c r="AK29" s="130"/>
      <c r="AL29" s="130"/>
      <c r="AM29" s="130"/>
      <c r="AN29" s="131"/>
    </row>
    <row r="30" spans="1:40" ht="348.95" customHeight="1" thickBot="1">
      <c r="A30" s="106" t="s">
        <v>130</v>
      </c>
      <c r="B30" s="184">
        <f>B34+B37+B40+B43</f>
        <v>0.18</v>
      </c>
      <c r="C30" s="108">
        <v>0.24</v>
      </c>
      <c r="D30" s="108">
        <f>+D65</f>
        <v>1.0000000000000002E-2</v>
      </c>
      <c r="E30" s="108">
        <f t="shared" ref="E30:O30" si="0">+E65</f>
        <v>1.1200000000000003E-2</v>
      </c>
      <c r="F30" s="108">
        <f t="shared" si="0"/>
        <v>2.0400000000000001E-2</v>
      </c>
      <c r="G30" s="108">
        <f t="shared" si="0"/>
        <v>2.12E-2</v>
      </c>
      <c r="H30" s="108">
        <f t="shared" si="0"/>
        <v>2.3200000000000002E-2</v>
      </c>
      <c r="I30" s="108">
        <f t="shared" si="0"/>
        <v>2.3200000000000002E-2</v>
      </c>
      <c r="J30" s="108">
        <f t="shared" si="0"/>
        <v>4.0800000000000003E-2</v>
      </c>
      <c r="K30" s="108">
        <f t="shared" si="0"/>
        <v>2.0400000000000001E-2</v>
      </c>
      <c r="L30" s="108">
        <f t="shared" si="0"/>
        <v>2.0400000000000001E-2</v>
      </c>
      <c r="M30" s="108">
        <f t="shared" si="0"/>
        <v>1.9600000000000003E-2</v>
      </c>
      <c r="N30" s="108">
        <f t="shared" si="0"/>
        <v>1.9600000000000003E-2</v>
      </c>
      <c r="O30" s="108">
        <f t="shared" si="0"/>
        <v>6.8000000000000005E-3</v>
      </c>
      <c r="P30" s="118">
        <f>SUM(D30:O30)</f>
        <v>0.23680000000000004</v>
      </c>
      <c r="Q30" s="724" t="s">
        <v>435</v>
      </c>
      <c r="R30" s="725"/>
      <c r="S30" s="725"/>
      <c r="T30" s="726"/>
      <c r="U30" s="785" t="s">
        <v>395</v>
      </c>
      <c r="V30" s="786"/>
      <c r="W30" s="786"/>
      <c r="X30" s="787"/>
      <c r="Y30" s="788" t="s">
        <v>396</v>
      </c>
      <c r="Z30" s="789"/>
      <c r="AA30" s="789"/>
      <c r="AB30" s="790"/>
      <c r="AC30" s="132"/>
      <c r="AD30" s="355">
        <f>LEN(Q30)</f>
        <v>1874</v>
      </c>
      <c r="AE30" s="435" t="s">
        <v>417</v>
      </c>
      <c r="AF30" s="321">
        <f>+LEN(AE30)</f>
        <v>190</v>
      </c>
      <c r="AG30" s="130"/>
      <c r="AH30" s="130"/>
      <c r="AI30" s="130"/>
      <c r="AJ30" s="130"/>
      <c r="AK30" s="130"/>
      <c r="AL30" s="130"/>
      <c r="AM30" s="130"/>
      <c r="AN30" s="131"/>
    </row>
    <row r="31" spans="1:40" ht="18.75">
      <c r="A31" s="537"/>
      <c r="B31" s="538"/>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B31" s="540"/>
      <c r="AD31" s="356"/>
      <c r="AE31" s="130"/>
      <c r="AF31" s="321"/>
      <c r="AG31" s="130"/>
      <c r="AH31" s="130"/>
      <c r="AI31" s="130"/>
      <c r="AJ31" s="130"/>
      <c r="AK31" s="130"/>
      <c r="AL31" s="130"/>
      <c r="AM31" s="130"/>
      <c r="AN31" s="131"/>
    </row>
    <row r="32" spans="1:40" ht="15" customHeight="1">
      <c r="A32" s="541" t="s">
        <v>66</v>
      </c>
      <c r="B32" s="542" t="s">
        <v>67</v>
      </c>
      <c r="C32" s="542" t="s">
        <v>68</v>
      </c>
      <c r="D32" s="542"/>
      <c r="E32" s="542"/>
      <c r="F32" s="542"/>
      <c r="G32" s="542"/>
      <c r="H32" s="542"/>
      <c r="I32" s="542"/>
      <c r="J32" s="542"/>
      <c r="K32" s="542"/>
      <c r="L32" s="542"/>
      <c r="M32" s="542"/>
      <c r="N32" s="542"/>
      <c r="O32" s="542"/>
      <c r="P32" s="542"/>
      <c r="Q32" s="542" t="s">
        <v>69</v>
      </c>
      <c r="R32" s="542"/>
      <c r="S32" s="542"/>
      <c r="T32" s="542"/>
      <c r="U32" s="542"/>
      <c r="V32" s="542"/>
      <c r="W32" s="542"/>
      <c r="X32" s="542"/>
      <c r="Y32" s="542"/>
      <c r="Z32" s="542"/>
      <c r="AA32" s="542"/>
      <c r="AB32" s="543"/>
      <c r="AD32" s="350"/>
      <c r="AE32" s="130"/>
      <c r="AF32" s="321"/>
      <c r="AG32" s="130"/>
      <c r="AH32" s="130"/>
      <c r="AI32" s="130"/>
      <c r="AJ32" s="130"/>
      <c r="AK32" s="130"/>
      <c r="AL32" s="130"/>
      <c r="AM32" s="130"/>
      <c r="AN32" s="131"/>
    </row>
    <row r="33" spans="1:41" ht="25.5" customHeight="1">
      <c r="A33" s="541"/>
      <c r="B33" s="542"/>
      <c r="C33" s="417" t="s">
        <v>70</v>
      </c>
      <c r="D33" s="417" t="s">
        <v>48</v>
      </c>
      <c r="E33" s="417" t="s">
        <v>49</v>
      </c>
      <c r="F33" s="417" t="s">
        <v>50</v>
      </c>
      <c r="G33" s="417" t="s">
        <v>51</v>
      </c>
      <c r="H33" s="417" t="s">
        <v>52</v>
      </c>
      <c r="I33" s="417" t="s">
        <v>53</v>
      </c>
      <c r="J33" s="417" t="s">
        <v>54</v>
      </c>
      <c r="K33" s="417" t="s">
        <v>55</v>
      </c>
      <c r="L33" s="417" t="s">
        <v>56</v>
      </c>
      <c r="M33" s="417" t="s">
        <v>57</v>
      </c>
      <c r="N33" s="417" t="s">
        <v>58</v>
      </c>
      <c r="O33" s="417" t="s">
        <v>59</v>
      </c>
      <c r="P33" s="107" t="s">
        <v>71</v>
      </c>
      <c r="Q33" s="542" t="s">
        <v>72</v>
      </c>
      <c r="R33" s="542"/>
      <c r="S33" s="542"/>
      <c r="T33" s="542"/>
      <c r="U33" s="542"/>
      <c r="V33" s="542"/>
      <c r="W33" s="542"/>
      <c r="X33" s="542"/>
      <c r="Y33" s="542"/>
      <c r="Z33" s="542"/>
      <c r="AA33" s="542"/>
      <c r="AB33" s="543"/>
      <c r="AD33" s="350"/>
      <c r="AE33" s="135"/>
      <c r="AF33" s="362"/>
      <c r="AG33" s="135"/>
      <c r="AH33" s="135"/>
      <c r="AI33" s="135"/>
      <c r="AJ33" s="135"/>
      <c r="AK33" s="135"/>
      <c r="AL33" s="135"/>
      <c r="AM33" s="135"/>
      <c r="AN33" s="131"/>
    </row>
    <row r="34" spans="1:41" ht="99.95" customHeight="1">
      <c r="A34" s="493" t="s">
        <v>131</v>
      </c>
      <c r="B34" s="494">
        <v>0.03</v>
      </c>
      <c r="C34" s="57" t="s">
        <v>74</v>
      </c>
      <c r="D34" s="59">
        <v>0</v>
      </c>
      <c r="E34" s="59">
        <v>0</v>
      </c>
      <c r="F34" s="59">
        <v>0</v>
      </c>
      <c r="G34" s="59">
        <v>0.11</v>
      </c>
      <c r="H34" s="59">
        <v>0.11</v>
      </c>
      <c r="I34" s="59">
        <v>0.11</v>
      </c>
      <c r="J34" s="59">
        <v>0.11</v>
      </c>
      <c r="K34" s="59">
        <v>0.11</v>
      </c>
      <c r="L34" s="59">
        <v>0.11</v>
      </c>
      <c r="M34" s="59">
        <v>0.11</v>
      </c>
      <c r="N34" s="59">
        <v>0.11</v>
      </c>
      <c r="O34" s="59">
        <v>0.12</v>
      </c>
      <c r="P34" s="157">
        <f>SUM(D34:O34)</f>
        <v>1</v>
      </c>
      <c r="Q34" s="525" t="s">
        <v>132</v>
      </c>
      <c r="R34" s="526"/>
      <c r="S34" s="526"/>
      <c r="T34" s="526"/>
      <c r="U34" s="526"/>
      <c r="V34" s="526"/>
      <c r="W34" s="526"/>
      <c r="X34" s="526"/>
      <c r="Y34" s="526"/>
      <c r="Z34" s="526"/>
      <c r="AA34" s="526"/>
      <c r="AB34" s="527"/>
      <c r="AC34" s="56"/>
      <c r="AD34" s="350"/>
      <c r="AE34" s="136"/>
      <c r="AF34" s="136"/>
      <c r="AG34" s="136"/>
      <c r="AH34" s="136"/>
      <c r="AI34" s="136"/>
      <c r="AJ34" s="136"/>
      <c r="AK34" s="136"/>
      <c r="AL34" s="136"/>
      <c r="AM34" s="136"/>
      <c r="AN34" s="131"/>
    </row>
    <row r="35" spans="1:41" ht="99.95" customHeight="1">
      <c r="A35" s="493"/>
      <c r="B35" s="494"/>
      <c r="C35" s="58" t="s">
        <v>75</v>
      </c>
      <c r="D35" s="10">
        <v>0</v>
      </c>
      <c r="E35" s="10">
        <v>0</v>
      </c>
      <c r="F35" s="10">
        <v>0.05</v>
      </c>
      <c r="G35" s="10">
        <v>0.06</v>
      </c>
      <c r="H35" s="10">
        <v>0.11</v>
      </c>
      <c r="I35" s="10">
        <v>0.11</v>
      </c>
      <c r="J35" s="10">
        <v>0.55000000000000004</v>
      </c>
      <c r="K35" s="10">
        <v>0.04</v>
      </c>
      <c r="L35" s="10">
        <v>0.04</v>
      </c>
      <c r="M35" s="10">
        <v>0.02</v>
      </c>
      <c r="N35" s="10">
        <v>0.02</v>
      </c>
      <c r="O35" s="10"/>
      <c r="P35" s="157">
        <f t="shared" ref="P35:P42" si="1">SUM(D35:O35)</f>
        <v>1.0000000000000002</v>
      </c>
      <c r="Q35" s="528"/>
      <c r="R35" s="529"/>
      <c r="S35" s="529"/>
      <c r="T35" s="529"/>
      <c r="U35" s="529"/>
      <c r="V35" s="529"/>
      <c r="W35" s="529"/>
      <c r="X35" s="529"/>
      <c r="Y35" s="529"/>
      <c r="Z35" s="529"/>
      <c r="AA35" s="529"/>
      <c r="AB35" s="530"/>
      <c r="AC35" s="56"/>
      <c r="AD35" s="350"/>
      <c r="AE35" s="131"/>
      <c r="AF35" s="131"/>
      <c r="AG35" s="131"/>
      <c r="AH35" s="131"/>
      <c r="AI35" s="131"/>
      <c r="AJ35" s="131"/>
      <c r="AK35" s="131"/>
      <c r="AL35" s="131"/>
      <c r="AM35" s="131"/>
      <c r="AN35" s="131"/>
    </row>
    <row r="36" spans="1:41" ht="25.35" customHeight="1">
      <c r="A36" s="497"/>
      <c r="B36" s="498"/>
      <c r="C36" s="60"/>
      <c r="D36" s="60"/>
      <c r="E36" s="65"/>
      <c r="F36" s="60"/>
      <c r="G36" s="60"/>
      <c r="H36" s="60"/>
      <c r="I36" s="60"/>
      <c r="J36" s="60"/>
      <c r="K36" s="60"/>
      <c r="L36" s="60"/>
      <c r="M36" s="60"/>
      <c r="N36" s="60"/>
      <c r="O36" s="60"/>
      <c r="P36" s="137">
        <f t="shared" si="1"/>
        <v>0</v>
      </c>
      <c r="Q36" s="531"/>
      <c r="R36" s="532"/>
      <c r="S36" s="532"/>
      <c r="T36" s="532"/>
      <c r="U36" s="532"/>
      <c r="V36" s="532"/>
      <c r="W36" s="532"/>
      <c r="X36" s="532"/>
      <c r="Y36" s="532"/>
      <c r="Z36" s="532"/>
      <c r="AA36" s="532"/>
      <c r="AB36" s="533"/>
      <c r="AC36" s="56"/>
      <c r="AD36" s="350">
        <f>LEN(Q34)</f>
        <v>1961</v>
      </c>
      <c r="AE36" s="131"/>
      <c r="AF36" s="131"/>
      <c r="AG36" s="131"/>
      <c r="AH36" s="131"/>
      <c r="AI36" s="131"/>
      <c r="AJ36" s="131"/>
      <c r="AK36" s="131"/>
      <c r="AL36" s="131"/>
      <c r="AM36" s="131"/>
      <c r="AN36" s="131"/>
    </row>
    <row r="37" spans="1:41" ht="102" customHeight="1">
      <c r="A37" s="493" t="s">
        <v>133</v>
      </c>
      <c r="B37" s="494">
        <v>0.06</v>
      </c>
      <c r="C37" s="57" t="s">
        <v>74</v>
      </c>
      <c r="D37" s="59">
        <v>0.05</v>
      </c>
      <c r="E37" s="59">
        <v>0.09</v>
      </c>
      <c r="F37" s="59">
        <v>0.09</v>
      </c>
      <c r="G37" s="59">
        <v>0.09</v>
      </c>
      <c r="H37" s="59">
        <v>0.09</v>
      </c>
      <c r="I37" s="59">
        <v>0.09</v>
      </c>
      <c r="J37" s="59">
        <v>0.09</v>
      </c>
      <c r="K37" s="59">
        <v>0.09</v>
      </c>
      <c r="L37" s="59">
        <v>0.09</v>
      </c>
      <c r="M37" s="59">
        <v>0.09</v>
      </c>
      <c r="N37" s="59">
        <v>0.09</v>
      </c>
      <c r="O37" s="59">
        <v>0.05</v>
      </c>
      <c r="P37" s="157">
        <f t="shared" si="1"/>
        <v>0.99999999999999989</v>
      </c>
      <c r="Q37" s="525" t="s">
        <v>434</v>
      </c>
      <c r="R37" s="526"/>
      <c r="S37" s="526"/>
      <c r="T37" s="526"/>
      <c r="U37" s="526"/>
      <c r="V37" s="526"/>
      <c r="W37" s="526"/>
      <c r="X37" s="526"/>
      <c r="Y37" s="526"/>
      <c r="Z37" s="526"/>
      <c r="AA37" s="526"/>
      <c r="AB37" s="527"/>
      <c r="AC37" s="56"/>
      <c r="AD37" s="350"/>
    </row>
    <row r="38" spans="1:41" ht="102" customHeight="1">
      <c r="A38" s="493"/>
      <c r="B38" s="494"/>
      <c r="C38" s="58" t="s">
        <v>75</v>
      </c>
      <c r="D38" s="10">
        <v>0.05</v>
      </c>
      <c r="E38" s="10">
        <v>0.09</v>
      </c>
      <c r="F38" s="10">
        <v>0.09</v>
      </c>
      <c r="G38" s="10">
        <v>0.09</v>
      </c>
      <c r="H38" s="10">
        <v>0.09</v>
      </c>
      <c r="I38" s="10">
        <v>0.09</v>
      </c>
      <c r="J38" s="10">
        <v>0.09</v>
      </c>
      <c r="K38" s="10">
        <v>0.09</v>
      </c>
      <c r="L38" s="10">
        <v>0.09</v>
      </c>
      <c r="M38" s="10">
        <v>0.09</v>
      </c>
      <c r="N38" s="10">
        <v>0.09</v>
      </c>
      <c r="O38" s="10">
        <v>0.05</v>
      </c>
      <c r="P38" s="157">
        <f t="shared" si="1"/>
        <v>0.99999999999999989</v>
      </c>
      <c r="Q38" s="528"/>
      <c r="R38" s="529"/>
      <c r="S38" s="529"/>
      <c r="T38" s="529"/>
      <c r="U38" s="529"/>
      <c r="V38" s="529"/>
      <c r="W38" s="529"/>
      <c r="X38" s="529"/>
      <c r="Y38" s="529"/>
      <c r="Z38" s="529"/>
      <c r="AA38" s="529"/>
      <c r="AB38" s="530"/>
      <c r="AC38" s="56"/>
      <c r="AD38" s="350"/>
      <c r="AE38" s="133"/>
      <c r="AN38" s="131"/>
    </row>
    <row r="39" spans="1:41" ht="24" customHeight="1">
      <c r="A39" s="497"/>
      <c r="B39" s="498"/>
      <c r="C39" s="60"/>
      <c r="D39" s="60"/>
      <c r="E39" s="60"/>
      <c r="F39" s="60"/>
      <c r="G39" s="60"/>
      <c r="H39" s="60"/>
      <c r="I39" s="60"/>
      <c r="J39" s="60"/>
      <c r="K39" s="60"/>
      <c r="L39" s="60"/>
      <c r="M39" s="60"/>
      <c r="N39" s="60"/>
      <c r="O39" s="60"/>
      <c r="P39" s="141">
        <f t="shared" si="1"/>
        <v>0</v>
      </c>
      <c r="Q39" s="531"/>
      <c r="R39" s="532"/>
      <c r="S39" s="532"/>
      <c r="T39" s="532"/>
      <c r="U39" s="532"/>
      <c r="V39" s="532"/>
      <c r="W39" s="532"/>
      <c r="X39" s="532"/>
      <c r="Y39" s="532"/>
      <c r="Z39" s="532"/>
      <c r="AA39" s="532"/>
      <c r="AB39" s="533"/>
      <c r="AC39" s="56"/>
      <c r="AD39" s="350">
        <f>LEN(Q37)</f>
        <v>1390</v>
      </c>
    </row>
    <row r="40" spans="1:41" ht="144" customHeight="1">
      <c r="A40" s="493" t="s">
        <v>134</v>
      </c>
      <c r="B40" s="494">
        <v>0.03</v>
      </c>
      <c r="C40" s="57" t="s">
        <v>74</v>
      </c>
      <c r="D40" s="59">
        <v>0.05</v>
      </c>
      <c r="E40" s="59">
        <v>0.09</v>
      </c>
      <c r="F40" s="59">
        <v>0.09</v>
      </c>
      <c r="G40" s="59">
        <v>0.09</v>
      </c>
      <c r="H40" s="59">
        <v>0.09</v>
      </c>
      <c r="I40" s="59">
        <v>0.09</v>
      </c>
      <c r="J40" s="59">
        <v>0.09</v>
      </c>
      <c r="K40" s="59">
        <v>0.09</v>
      </c>
      <c r="L40" s="59">
        <v>0.09</v>
      </c>
      <c r="M40" s="59">
        <v>0.09</v>
      </c>
      <c r="N40" s="59">
        <v>0.09</v>
      </c>
      <c r="O40" s="59">
        <v>0.05</v>
      </c>
      <c r="P40" s="157">
        <f t="shared" si="1"/>
        <v>0.99999999999999989</v>
      </c>
      <c r="Q40" s="525" t="s">
        <v>424</v>
      </c>
      <c r="R40" s="526"/>
      <c r="S40" s="526"/>
      <c r="T40" s="526"/>
      <c r="U40" s="526"/>
      <c r="V40" s="526"/>
      <c r="W40" s="526"/>
      <c r="X40" s="526"/>
      <c r="Y40" s="526"/>
      <c r="Z40" s="526"/>
      <c r="AA40" s="526"/>
      <c r="AB40" s="527"/>
      <c r="AC40" s="56"/>
      <c r="AD40" s="350"/>
      <c r="AM40" s="131"/>
      <c r="AN40" s="131"/>
    </row>
    <row r="41" spans="1:41" ht="144" customHeight="1">
      <c r="A41" s="493"/>
      <c r="B41" s="494"/>
      <c r="C41" s="58" t="s">
        <v>75</v>
      </c>
      <c r="D41" s="10">
        <v>0.05</v>
      </c>
      <c r="E41" s="10">
        <v>0</v>
      </c>
      <c r="F41" s="10">
        <v>0.18</v>
      </c>
      <c r="G41" s="10">
        <v>0.09</v>
      </c>
      <c r="H41" s="10">
        <v>0.09</v>
      </c>
      <c r="I41" s="10">
        <v>0.09</v>
      </c>
      <c r="J41" s="10">
        <v>0.09</v>
      </c>
      <c r="K41" s="10">
        <v>0.09</v>
      </c>
      <c r="L41" s="10">
        <v>0.09</v>
      </c>
      <c r="M41" s="10">
        <v>0.09</v>
      </c>
      <c r="N41" s="10">
        <v>0.09</v>
      </c>
      <c r="O41" s="10">
        <v>0.05</v>
      </c>
      <c r="P41" s="157">
        <f t="shared" si="1"/>
        <v>0.99999999999999978</v>
      </c>
      <c r="Q41" s="528"/>
      <c r="R41" s="529"/>
      <c r="S41" s="529"/>
      <c r="T41" s="529"/>
      <c r="U41" s="529"/>
      <c r="V41" s="529"/>
      <c r="W41" s="529"/>
      <c r="X41" s="529"/>
      <c r="Y41" s="529"/>
      <c r="Z41" s="529"/>
      <c r="AA41" s="529"/>
      <c r="AB41" s="530"/>
      <c r="AC41" s="56"/>
      <c r="AD41" s="350"/>
      <c r="AM41" s="131"/>
      <c r="AN41" s="131"/>
    </row>
    <row r="42" spans="1:41" ht="25.35" customHeight="1">
      <c r="A42" s="497"/>
      <c r="B42" s="498"/>
      <c r="C42" s="60"/>
      <c r="D42" s="60"/>
      <c r="E42" s="60"/>
      <c r="F42" s="60"/>
      <c r="G42" s="60"/>
      <c r="H42" s="60"/>
      <c r="I42" s="60"/>
      <c r="J42" s="60"/>
      <c r="K42" s="60"/>
      <c r="L42" s="60"/>
      <c r="M42" s="60"/>
      <c r="N42" s="60"/>
      <c r="O42" s="60"/>
      <c r="P42" s="141">
        <f t="shared" si="1"/>
        <v>0</v>
      </c>
      <c r="Q42" s="531"/>
      <c r="R42" s="532"/>
      <c r="S42" s="532"/>
      <c r="T42" s="532"/>
      <c r="U42" s="532"/>
      <c r="V42" s="532"/>
      <c r="W42" s="532"/>
      <c r="X42" s="532"/>
      <c r="Y42" s="532"/>
      <c r="Z42" s="532"/>
      <c r="AA42" s="532"/>
      <c r="AB42" s="533"/>
      <c r="AC42" s="56"/>
      <c r="AD42" s="350">
        <f>LEN(Q40)</f>
        <v>1609</v>
      </c>
      <c r="AM42" s="136"/>
      <c r="AN42" s="131"/>
    </row>
    <row r="43" spans="1:41" ht="99" customHeight="1">
      <c r="A43" s="493" t="s">
        <v>135</v>
      </c>
      <c r="B43" s="494">
        <v>0.06</v>
      </c>
      <c r="C43" s="57" t="s">
        <v>74</v>
      </c>
      <c r="D43" s="59">
        <v>0.05</v>
      </c>
      <c r="E43" s="59">
        <v>0.05</v>
      </c>
      <c r="F43" s="59">
        <v>0.05</v>
      </c>
      <c r="G43" s="59">
        <v>0.1</v>
      </c>
      <c r="H43" s="59">
        <v>0.1</v>
      </c>
      <c r="I43" s="59">
        <v>0.1</v>
      </c>
      <c r="J43" s="59">
        <v>0.1</v>
      </c>
      <c r="K43" s="59">
        <v>0.1</v>
      </c>
      <c r="L43" s="59">
        <v>0.1</v>
      </c>
      <c r="M43" s="59">
        <v>0.1</v>
      </c>
      <c r="N43" s="59">
        <v>0.1</v>
      </c>
      <c r="O43" s="59">
        <v>0.05</v>
      </c>
      <c r="P43" s="157">
        <f>SUM(D43:O43)</f>
        <v>0.99999999999999989</v>
      </c>
      <c r="Q43" s="525" t="s">
        <v>390</v>
      </c>
      <c r="R43" s="526"/>
      <c r="S43" s="526"/>
      <c r="T43" s="526"/>
      <c r="U43" s="526"/>
      <c r="V43" s="526"/>
      <c r="W43" s="526"/>
      <c r="X43" s="526"/>
      <c r="Y43" s="526"/>
      <c r="Z43" s="526"/>
      <c r="AA43" s="526"/>
      <c r="AB43" s="527"/>
    </row>
    <row r="44" spans="1:41" s="138" customFormat="1" ht="99" customHeight="1">
      <c r="A44" s="493"/>
      <c r="B44" s="494"/>
      <c r="C44" s="58" t="s">
        <v>75</v>
      </c>
      <c r="D44" s="10">
        <v>0.05</v>
      </c>
      <c r="E44" s="10">
        <v>0.05</v>
      </c>
      <c r="F44" s="10">
        <v>0.05</v>
      </c>
      <c r="G44" s="10">
        <v>0.1</v>
      </c>
      <c r="H44" s="10">
        <v>0.1</v>
      </c>
      <c r="I44" s="10">
        <v>0.1</v>
      </c>
      <c r="J44" s="10">
        <v>0.1</v>
      </c>
      <c r="K44" s="10">
        <v>0.1</v>
      </c>
      <c r="L44" s="10">
        <v>0.1</v>
      </c>
      <c r="M44" s="10">
        <v>0.1</v>
      </c>
      <c r="N44" s="10">
        <v>0.1</v>
      </c>
      <c r="O44" s="10">
        <v>0.01</v>
      </c>
      <c r="P44" s="157">
        <f>SUM(D44:O44)</f>
        <v>0.95999999999999985</v>
      </c>
      <c r="Q44" s="528"/>
      <c r="R44" s="529"/>
      <c r="S44" s="529"/>
      <c r="T44" s="529"/>
      <c r="U44" s="529"/>
      <c r="V44" s="529"/>
      <c r="W44" s="529"/>
      <c r="X44" s="529"/>
      <c r="Y44" s="529"/>
      <c r="Z44" s="529"/>
      <c r="AA44" s="529"/>
      <c r="AB44" s="530"/>
      <c r="AD44" s="131"/>
      <c r="AE44" s="131"/>
      <c r="AF44" s="131"/>
      <c r="AG44" s="131"/>
      <c r="AH44" s="131"/>
      <c r="AI44" s="131"/>
      <c r="AJ44" s="131"/>
      <c r="AK44" s="131"/>
      <c r="AL44" s="131"/>
      <c r="AM44" s="131"/>
      <c r="AN44" s="131"/>
      <c r="AO44" s="131"/>
    </row>
    <row r="45" spans="1:41" s="138" customFormat="1" ht="25.35" customHeight="1">
      <c r="A45" s="497"/>
      <c r="B45" s="498"/>
      <c r="C45" s="60"/>
      <c r="D45" s="60"/>
      <c r="E45" s="60"/>
      <c r="F45" s="60"/>
      <c r="G45" s="60"/>
      <c r="H45" s="60"/>
      <c r="I45" s="60"/>
      <c r="J45" s="60"/>
      <c r="K45" s="60"/>
      <c r="L45" s="60"/>
      <c r="M45" s="60"/>
      <c r="N45" s="60"/>
      <c r="O45" s="60"/>
      <c r="P45" s="141">
        <f>SUM(D45:O45)</f>
        <v>0</v>
      </c>
      <c r="Q45" s="531"/>
      <c r="R45" s="532"/>
      <c r="S45" s="532"/>
      <c r="T45" s="532"/>
      <c r="U45" s="532"/>
      <c r="V45" s="532"/>
      <c r="W45" s="532"/>
      <c r="X45" s="532"/>
      <c r="Y45" s="532"/>
      <c r="Z45" s="532"/>
      <c r="AA45" s="532"/>
      <c r="AB45" s="533"/>
      <c r="AD45" s="350">
        <f>LEN(Q43)</f>
        <v>1985</v>
      </c>
    </row>
    <row r="46" spans="1:41" ht="17.25" hidden="1" customHeight="1" thickBot="1">
      <c r="A46" s="2"/>
      <c r="B46" s="3"/>
      <c r="C46" s="3"/>
      <c r="D46" s="3"/>
      <c r="E46" s="3"/>
      <c r="F46" s="3"/>
      <c r="G46" s="3"/>
      <c r="H46" s="3"/>
      <c r="I46" s="3"/>
      <c r="J46" s="3"/>
      <c r="K46" s="3"/>
      <c r="L46" s="3"/>
      <c r="M46" s="3"/>
      <c r="N46" s="3"/>
      <c r="O46" s="3"/>
      <c r="P46" s="3"/>
      <c r="Q46" s="3"/>
      <c r="R46" s="3"/>
      <c r="S46" s="3"/>
      <c r="T46" s="3"/>
      <c r="U46" s="3"/>
      <c r="V46" s="3"/>
      <c r="W46" s="3"/>
      <c r="X46" s="171"/>
      <c r="Y46" s="3"/>
      <c r="Z46" s="3"/>
      <c r="AA46" s="3"/>
    </row>
    <row r="47" spans="1:41" ht="27" hidden="1" customHeight="1">
      <c r="A47" s="499" t="s">
        <v>88</v>
      </c>
      <c r="B47" s="502" t="s">
        <v>89</v>
      </c>
      <c r="C47" s="503"/>
      <c r="D47" s="503"/>
      <c r="E47" s="503"/>
      <c r="F47" s="503"/>
      <c r="G47" s="504"/>
      <c r="H47" s="505" t="s">
        <v>90</v>
      </c>
      <c r="I47" s="506"/>
      <c r="J47" s="506"/>
      <c r="K47" s="506"/>
      <c r="L47" s="506"/>
      <c r="M47" s="506"/>
      <c r="N47" s="502" t="s">
        <v>89</v>
      </c>
      <c r="O47" s="503"/>
      <c r="P47" s="503"/>
      <c r="Q47" s="503"/>
      <c r="R47" s="503"/>
      <c r="S47" s="504"/>
      <c r="T47" s="511" t="s">
        <v>91</v>
      </c>
      <c r="U47" s="512"/>
      <c r="V47" s="512"/>
      <c r="W47" s="513"/>
      <c r="X47" s="502" t="s">
        <v>92</v>
      </c>
      <c r="Y47" s="503"/>
      <c r="Z47" s="503"/>
      <c r="AA47" s="503"/>
      <c r="AB47" s="520"/>
    </row>
    <row r="48" spans="1:41" ht="27" hidden="1" customHeight="1">
      <c r="A48" s="500"/>
      <c r="B48" s="485" t="s">
        <v>93</v>
      </c>
      <c r="C48" s="486"/>
      <c r="D48" s="486"/>
      <c r="E48" s="486"/>
      <c r="F48" s="486"/>
      <c r="G48" s="487"/>
      <c r="H48" s="507"/>
      <c r="I48" s="508"/>
      <c r="J48" s="508"/>
      <c r="K48" s="508"/>
      <c r="L48" s="508"/>
      <c r="M48" s="508"/>
      <c r="N48" s="485" t="s">
        <v>94</v>
      </c>
      <c r="O48" s="486"/>
      <c r="P48" s="486"/>
      <c r="Q48" s="486"/>
      <c r="R48" s="486"/>
      <c r="S48" s="487"/>
      <c r="T48" s="514"/>
      <c r="U48" s="515"/>
      <c r="V48" s="515"/>
      <c r="W48" s="516"/>
      <c r="X48" s="485" t="s">
        <v>136</v>
      </c>
      <c r="Y48" s="486"/>
      <c r="Z48" s="486"/>
      <c r="AA48" s="486"/>
      <c r="AB48" s="488"/>
    </row>
    <row r="49" spans="1:33" ht="27" hidden="1" customHeight="1" thickBot="1">
      <c r="A49" s="501"/>
      <c r="B49" s="489" t="s">
        <v>96</v>
      </c>
      <c r="C49" s="490"/>
      <c r="D49" s="490"/>
      <c r="E49" s="490"/>
      <c r="F49" s="490"/>
      <c r="G49" s="491"/>
      <c r="H49" s="509"/>
      <c r="I49" s="510"/>
      <c r="J49" s="510"/>
      <c r="K49" s="510"/>
      <c r="L49" s="510"/>
      <c r="M49" s="510"/>
      <c r="N49" s="489" t="s">
        <v>97</v>
      </c>
      <c r="O49" s="490"/>
      <c r="P49" s="490"/>
      <c r="Q49" s="490"/>
      <c r="R49" s="490"/>
      <c r="S49" s="491"/>
      <c r="T49" s="517"/>
      <c r="U49" s="518"/>
      <c r="V49" s="518"/>
      <c r="W49" s="519"/>
      <c r="X49" s="489" t="s">
        <v>98</v>
      </c>
      <c r="Y49" s="490"/>
      <c r="Z49" s="490"/>
      <c r="AA49" s="490"/>
      <c r="AB49" s="492"/>
    </row>
    <row r="50" spans="1:33" hidden="1">
      <c r="AC50" s="159"/>
    </row>
    <row r="51" spans="1:33" hidden="1"/>
    <row r="52" spans="1:33" hidden="1"/>
    <row r="53" spans="1:33" hidden="1"/>
    <row r="54" spans="1:33" s="278" customFormat="1" ht="22.35" hidden="1" customHeight="1">
      <c r="A54" s="480" t="s">
        <v>66</v>
      </c>
      <c r="B54" s="480" t="s">
        <v>67</v>
      </c>
      <c r="C54" s="482" t="s">
        <v>68</v>
      </c>
      <c r="D54" s="483"/>
      <c r="E54" s="483"/>
      <c r="F54" s="483"/>
      <c r="G54" s="483"/>
      <c r="H54" s="483"/>
      <c r="I54" s="483"/>
      <c r="J54" s="483"/>
      <c r="K54" s="483"/>
      <c r="L54" s="483"/>
      <c r="M54" s="483"/>
      <c r="N54" s="483"/>
      <c r="O54" s="483"/>
      <c r="P54" s="484"/>
      <c r="AE54" s="138"/>
      <c r="AF54" s="138"/>
      <c r="AG54" s="138"/>
    </row>
    <row r="55" spans="1:33" s="278" customFormat="1" ht="22.35" hidden="1" customHeight="1">
      <c r="A55" s="481"/>
      <c r="B55" s="481"/>
      <c r="C55" s="279" t="s">
        <v>70</v>
      </c>
      <c r="D55" s="279" t="s">
        <v>99</v>
      </c>
      <c r="E55" s="279" t="s">
        <v>100</v>
      </c>
      <c r="F55" s="279" t="s">
        <v>101</v>
      </c>
      <c r="G55" s="279" t="s">
        <v>102</v>
      </c>
      <c r="H55" s="279" t="s">
        <v>103</v>
      </c>
      <c r="I55" s="279" t="s">
        <v>104</v>
      </c>
      <c r="J55" s="279" t="s">
        <v>105</v>
      </c>
      <c r="K55" s="279" t="s">
        <v>106</v>
      </c>
      <c r="L55" s="279" t="s">
        <v>107</v>
      </c>
      <c r="M55" s="279" t="s">
        <v>108</v>
      </c>
      <c r="N55" s="279" t="s">
        <v>109</v>
      </c>
      <c r="O55" s="279" t="s">
        <v>110</v>
      </c>
      <c r="P55" s="279" t="s">
        <v>71</v>
      </c>
      <c r="AE55" s="138"/>
      <c r="AF55" s="138"/>
      <c r="AG55" s="138"/>
    </row>
    <row r="56" spans="1:33" s="283" customFormat="1" ht="13.35" hidden="1" customHeight="1">
      <c r="A56" s="478" t="str">
        <f>+A34</f>
        <v xml:space="preserve">Actualización del documento de la Estrategia de cuidado a cuidadoras </v>
      </c>
      <c r="B56" s="478">
        <f>+B34</f>
        <v>0.03</v>
      </c>
      <c r="C56" s="280" t="s">
        <v>74</v>
      </c>
      <c r="D56" s="281">
        <f>+D34*$B$34/$P$34</f>
        <v>0</v>
      </c>
      <c r="E56" s="281">
        <f t="shared" ref="E56:O56" si="2">+E34*$B$34/$P$34</f>
        <v>0</v>
      </c>
      <c r="F56" s="281">
        <f t="shared" si="2"/>
        <v>0</v>
      </c>
      <c r="G56" s="281">
        <f t="shared" si="2"/>
        <v>3.3E-3</v>
      </c>
      <c r="H56" s="281">
        <f t="shared" si="2"/>
        <v>3.3E-3</v>
      </c>
      <c r="I56" s="281">
        <f t="shared" si="2"/>
        <v>3.3E-3</v>
      </c>
      <c r="J56" s="281">
        <f t="shared" si="2"/>
        <v>3.3E-3</v>
      </c>
      <c r="K56" s="281">
        <f t="shared" si="2"/>
        <v>3.3E-3</v>
      </c>
      <c r="L56" s="281">
        <f t="shared" si="2"/>
        <v>3.3E-3</v>
      </c>
      <c r="M56" s="281">
        <f t="shared" si="2"/>
        <v>3.3E-3</v>
      </c>
      <c r="N56" s="281">
        <f t="shared" si="2"/>
        <v>3.3E-3</v>
      </c>
      <c r="O56" s="281">
        <f t="shared" si="2"/>
        <v>3.5999999999999999E-3</v>
      </c>
      <c r="P56" s="282">
        <f t="shared" ref="P56:P63" si="3">SUM(D56:O56)</f>
        <v>3.0000000000000002E-2</v>
      </c>
      <c r="AE56" s="139"/>
      <c r="AF56" s="139"/>
      <c r="AG56" s="139"/>
    </row>
    <row r="57" spans="1:33" s="283" customFormat="1" ht="13.35" hidden="1" customHeight="1">
      <c r="A57" s="479"/>
      <c r="B57" s="479"/>
      <c r="C57" s="284" t="s">
        <v>75</v>
      </c>
      <c r="D57" s="285">
        <f t="shared" ref="D57:O57" si="4">+D35*$B$34/$P$34</f>
        <v>0</v>
      </c>
      <c r="E57" s="285">
        <f t="shared" si="4"/>
        <v>0</v>
      </c>
      <c r="F57" s="285">
        <f t="shared" si="4"/>
        <v>1.5E-3</v>
      </c>
      <c r="G57" s="285">
        <f t="shared" si="4"/>
        <v>1.8E-3</v>
      </c>
      <c r="H57" s="285">
        <f t="shared" si="4"/>
        <v>3.3E-3</v>
      </c>
      <c r="I57" s="285">
        <f t="shared" si="4"/>
        <v>3.3E-3</v>
      </c>
      <c r="J57" s="285">
        <f t="shared" si="4"/>
        <v>1.6500000000000001E-2</v>
      </c>
      <c r="K57" s="285">
        <f t="shared" si="4"/>
        <v>1.1999999999999999E-3</v>
      </c>
      <c r="L57" s="285">
        <f t="shared" si="4"/>
        <v>1.1999999999999999E-3</v>
      </c>
      <c r="M57" s="285">
        <f t="shared" si="4"/>
        <v>5.9999999999999995E-4</v>
      </c>
      <c r="N57" s="285">
        <f t="shared" si="4"/>
        <v>5.9999999999999995E-4</v>
      </c>
      <c r="O57" s="285">
        <f t="shared" si="4"/>
        <v>0</v>
      </c>
      <c r="P57" s="286">
        <f t="shared" si="3"/>
        <v>0.03</v>
      </c>
      <c r="AE57" s="139"/>
      <c r="AF57" s="139"/>
      <c r="AG57" s="139"/>
    </row>
    <row r="58" spans="1:33" s="283" customFormat="1" ht="13.35" hidden="1" customHeight="1">
      <c r="A58" s="478" t="str">
        <f>+A37</f>
        <v>Implementación del componente de formación para cuidadoras</v>
      </c>
      <c r="B58" s="478">
        <f>+B37</f>
        <v>0.06</v>
      </c>
      <c r="C58" s="280" t="s">
        <v>74</v>
      </c>
      <c r="D58" s="281">
        <f>+D37*$B$37/$P$37</f>
        <v>3.0000000000000005E-3</v>
      </c>
      <c r="E58" s="281">
        <f t="shared" ref="E58:O58" si="5">+E37*$B$37/$P$37</f>
        <v>5.4000000000000003E-3</v>
      </c>
      <c r="F58" s="281">
        <f t="shared" si="5"/>
        <v>5.4000000000000003E-3</v>
      </c>
      <c r="G58" s="281">
        <f t="shared" si="5"/>
        <v>5.4000000000000003E-3</v>
      </c>
      <c r="H58" s="281">
        <f t="shared" si="5"/>
        <v>5.4000000000000003E-3</v>
      </c>
      <c r="I58" s="281">
        <f t="shared" si="5"/>
        <v>5.4000000000000003E-3</v>
      </c>
      <c r="J58" s="281">
        <f t="shared" si="5"/>
        <v>5.4000000000000003E-3</v>
      </c>
      <c r="K58" s="281">
        <f t="shared" si="5"/>
        <v>5.4000000000000003E-3</v>
      </c>
      <c r="L58" s="281">
        <f t="shared" si="5"/>
        <v>5.4000000000000003E-3</v>
      </c>
      <c r="M58" s="281">
        <f t="shared" si="5"/>
        <v>5.4000000000000003E-3</v>
      </c>
      <c r="N58" s="281">
        <f t="shared" si="5"/>
        <v>5.4000000000000003E-3</v>
      </c>
      <c r="O58" s="281">
        <f t="shared" si="5"/>
        <v>3.0000000000000005E-3</v>
      </c>
      <c r="P58" s="282">
        <f t="shared" si="3"/>
        <v>6.0000000000000019E-2</v>
      </c>
      <c r="AE58" s="139"/>
      <c r="AF58" s="139"/>
      <c r="AG58" s="139"/>
    </row>
    <row r="59" spans="1:33" s="283" customFormat="1" ht="13.35" hidden="1" customHeight="1">
      <c r="A59" s="479"/>
      <c r="B59" s="479"/>
      <c r="C59" s="284" t="s">
        <v>75</v>
      </c>
      <c r="D59" s="285">
        <f t="shared" ref="D59:O59" si="6">+D38*$B$37/$P$37</f>
        <v>3.0000000000000005E-3</v>
      </c>
      <c r="E59" s="285">
        <f t="shared" si="6"/>
        <v>5.4000000000000003E-3</v>
      </c>
      <c r="F59" s="285">
        <f t="shared" si="6"/>
        <v>5.4000000000000003E-3</v>
      </c>
      <c r="G59" s="285">
        <f t="shared" si="6"/>
        <v>5.4000000000000003E-3</v>
      </c>
      <c r="H59" s="285">
        <f t="shared" si="6"/>
        <v>5.4000000000000003E-3</v>
      </c>
      <c r="I59" s="285">
        <f t="shared" si="6"/>
        <v>5.4000000000000003E-3</v>
      </c>
      <c r="J59" s="285">
        <f t="shared" si="6"/>
        <v>5.4000000000000003E-3</v>
      </c>
      <c r="K59" s="285">
        <f t="shared" si="6"/>
        <v>5.4000000000000003E-3</v>
      </c>
      <c r="L59" s="285">
        <f t="shared" si="6"/>
        <v>5.4000000000000003E-3</v>
      </c>
      <c r="M59" s="285">
        <f t="shared" si="6"/>
        <v>5.4000000000000003E-3</v>
      </c>
      <c r="N59" s="285">
        <f t="shared" si="6"/>
        <v>5.4000000000000003E-3</v>
      </c>
      <c r="O59" s="285">
        <f t="shared" si="6"/>
        <v>3.0000000000000005E-3</v>
      </c>
      <c r="P59" s="286">
        <f t="shared" si="3"/>
        <v>6.0000000000000019E-2</v>
      </c>
      <c r="AE59" s="139"/>
      <c r="AF59" s="139"/>
      <c r="AG59" s="139"/>
    </row>
    <row r="60" spans="1:33" s="283" customFormat="1" ht="13.35" hidden="1" customHeight="1">
      <c r="A60" s="478" t="str">
        <f>+A40</f>
        <v xml:space="preserve">Monitoreo y seguimiento a la implementación del componente de respiro para cuidadoras </v>
      </c>
      <c r="B60" s="478">
        <f>+B40</f>
        <v>0.03</v>
      </c>
      <c r="C60" s="280" t="s">
        <v>74</v>
      </c>
      <c r="D60" s="281">
        <f>+D40*$B$40/$P$40</f>
        <v>1.5000000000000002E-3</v>
      </c>
      <c r="E60" s="281">
        <f t="shared" ref="E60:O60" si="7">+E40*$B$40/$P$40</f>
        <v>2.7000000000000001E-3</v>
      </c>
      <c r="F60" s="281">
        <f t="shared" si="7"/>
        <v>2.7000000000000001E-3</v>
      </c>
      <c r="G60" s="281">
        <f t="shared" si="7"/>
        <v>2.7000000000000001E-3</v>
      </c>
      <c r="H60" s="281">
        <f t="shared" si="7"/>
        <v>2.7000000000000001E-3</v>
      </c>
      <c r="I60" s="281">
        <f t="shared" si="7"/>
        <v>2.7000000000000001E-3</v>
      </c>
      <c r="J60" s="281">
        <f t="shared" si="7"/>
        <v>2.7000000000000001E-3</v>
      </c>
      <c r="K60" s="281">
        <f t="shared" si="7"/>
        <v>2.7000000000000001E-3</v>
      </c>
      <c r="L60" s="281">
        <f t="shared" si="7"/>
        <v>2.7000000000000001E-3</v>
      </c>
      <c r="M60" s="281">
        <f t="shared" si="7"/>
        <v>2.7000000000000001E-3</v>
      </c>
      <c r="N60" s="281">
        <f t="shared" si="7"/>
        <v>2.7000000000000001E-3</v>
      </c>
      <c r="O60" s="281">
        <f t="shared" si="7"/>
        <v>1.5000000000000002E-3</v>
      </c>
      <c r="P60" s="282">
        <f t="shared" si="3"/>
        <v>3.0000000000000009E-2</v>
      </c>
      <c r="AE60" s="139"/>
      <c r="AF60" s="139"/>
      <c r="AG60" s="139"/>
    </row>
    <row r="61" spans="1:33" s="283" customFormat="1" ht="13.35" hidden="1" customHeight="1">
      <c r="A61" s="479"/>
      <c r="B61" s="479"/>
      <c r="C61" s="284" t="s">
        <v>75</v>
      </c>
      <c r="D61" s="285">
        <f t="shared" ref="D61:O61" si="8">+D41*$B$40/$P$40</f>
        <v>1.5000000000000002E-3</v>
      </c>
      <c r="E61" s="285">
        <f t="shared" si="8"/>
        <v>0</v>
      </c>
      <c r="F61" s="285">
        <f t="shared" si="8"/>
        <v>5.4000000000000003E-3</v>
      </c>
      <c r="G61" s="285">
        <f t="shared" si="8"/>
        <v>2.7000000000000001E-3</v>
      </c>
      <c r="H61" s="285">
        <f t="shared" si="8"/>
        <v>2.7000000000000001E-3</v>
      </c>
      <c r="I61" s="285">
        <f t="shared" si="8"/>
        <v>2.7000000000000001E-3</v>
      </c>
      <c r="J61" s="285">
        <f t="shared" si="8"/>
        <v>2.7000000000000001E-3</v>
      </c>
      <c r="K61" s="285">
        <f t="shared" si="8"/>
        <v>2.7000000000000001E-3</v>
      </c>
      <c r="L61" s="285">
        <f t="shared" si="8"/>
        <v>2.7000000000000001E-3</v>
      </c>
      <c r="M61" s="285">
        <f t="shared" si="8"/>
        <v>2.7000000000000001E-3</v>
      </c>
      <c r="N61" s="285">
        <f t="shared" si="8"/>
        <v>2.7000000000000001E-3</v>
      </c>
      <c r="O61" s="285">
        <f t="shared" si="8"/>
        <v>1.5000000000000002E-3</v>
      </c>
      <c r="P61" s="286">
        <f t="shared" si="3"/>
        <v>3.0000000000000009E-2</v>
      </c>
      <c r="AE61" s="139"/>
      <c r="AF61" s="139"/>
      <c r="AG61" s="139"/>
    </row>
    <row r="62" spans="1:33" s="283" customFormat="1" ht="13.35" hidden="1" customHeight="1">
      <c r="A62" s="478" t="str">
        <f>+A43</f>
        <v>Definición y puesta en marcha del programa de relevos de cuidado</v>
      </c>
      <c r="B62" s="478">
        <f>+B43</f>
        <v>0.06</v>
      </c>
      <c r="C62" s="280" t="s">
        <v>74</v>
      </c>
      <c r="D62" s="281">
        <f>+D43*$B$43/$P$43</f>
        <v>3.0000000000000005E-3</v>
      </c>
      <c r="E62" s="281">
        <f t="shared" ref="E62:O62" si="9">+E43*$B$43/$P$43</f>
        <v>3.0000000000000005E-3</v>
      </c>
      <c r="F62" s="281">
        <f t="shared" si="9"/>
        <v>3.0000000000000005E-3</v>
      </c>
      <c r="G62" s="281">
        <f t="shared" si="9"/>
        <v>6.000000000000001E-3</v>
      </c>
      <c r="H62" s="281">
        <f t="shared" si="9"/>
        <v>6.000000000000001E-3</v>
      </c>
      <c r="I62" s="281">
        <f t="shared" si="9"/>
        <v>6.000000000000001E-3</v>
      </c>
      <c r="J62" s="281">
        <f t="shared" si="9"/>
        <v>6.000000000000001E-3</v>
      </c>
      <c r="K62" s="281">
        <f t="shared" si="9"/>
        <v>6.000000000000001E-3</v>
      </c>
      <c r="L62" s="281">
        <f t="shared" si="9"/>
        <v>6.000000000000001E-3</v>
      </c>
      <c r="M62" s="281">
        <f t="shared" si="9"/>
        <v>6.000000000000001E-3</v>
      </c>
      <c r="N62" s="281">
        <f t="shared" si="9"/>
        <v>6.000000000000001E-3</v>
      </c>
      <c r="O62" s="281">
        <f t="shared" si="9"/>
        <v>3.0000000000000005E-3</v>
      </c>
      <c r="P62" s="282">
        <f t="shared" si="3"/>
        <v>6.0000000000000005E-2</v>
      </c>
      <c r="AE62" s="139"/>
      <c r="AF62" s="139"/>
      <c r="AG62" s="139"/>
    </row>
    <row r="63" spans="1:33" s="283" customFormat="1" ht="13.35" hidden="1" customHeight="1">
      <c r="A63" s="479"/>
      <c r="B63" s="479"/>
      <c r="C63" s="284" t="s">
        <v>75</v>
      </c>
      <c r="D63" s="281">
        <f t="shared" ref="D63:O63" si="10">+D44*$B$43/$P$43</f>
        <v>3.0000000000000005E-3</v>
      </c>
      <c r="E63" s="281">
        <f t="shared" si="10"/>
        <v>3.0000000000000005E-3</v>
      </c>
      <c r="F63" s="281">
        <f t="shared" si="10"/>
        <v>3.0000000000000005E-3</v>
      </c>
      <c r="G63" s="281">
        <f t="shared" si="10"/>
        <v>6.000000000000001E-3</v>
      </c>
      <c r="H63" s="281">
        <f t="shared" si="10"/>
        <v>6.000000000000001E-3</v>
      </c>
      <c r="I63" s="281">
        <f t="shared" si="10"/>
        <v>6.000000000000001E-3</v>
      </c>
      <c r="J63" s="281">
        <f t="shared" si="10"/>
        <v>6.000000000000001E-3</v>
      </c>
      <c r="K63" s="281">
        <f t="shared" si="10"/>
        <v>6.000000000000001E-3</v>
      </c>
      <c r="L63" s="281">
        <f t="shared" si="10"/>
        <v>6.000000000000001E-3</v>
      </c>
      <c r="M63" s="281">
        <f t="shared" si="10"/>
        <v>6.000000000000001E-3</v>
      </c>
      <c r="N63" s="281">
        <f t="shared" si="10"/>
        <v>6.000000000000001E-3</v>
      </c>
      <c r="O63" s="281">
        <f t="shared" si="10"/>
        <v>6.0000000000000006E-4</v>
      </c>
      <c r="P63" s="286">
        <f t="shared" si="3"/>
        <v>5.7600000000000005E-2</v>
      </c>
      <c r="AE63" s="139"/>
      <c r="AF63" s="139"/>
      <c r="AG63" s="139"/>
    </row>
    <row r="64" spans="1:33" s="283" customFormat="1" ht="11.25" hidden="1">
      <c r="C64" s="287"/>
      <c r="D64" s="288">
        <f>+D57+D59+D61+D63</f>
        <v>7.5000000000000015E-3</v>
      </c>
      <c r="E64" s="288">
        <f t="shared" ref="E64:O64" si="11">+E57+E59+E61+E63</f>
        <v>8.4000000000000012E-3</v>
      </c>
      <c r="F64" s="288">
        <f t="shared" si="11"/>
        <v>1.5300000000000001E-2</v>
      </c>
      <c r="G64" s="288">
        <f t="shared" si="11"/>
        <v>1.5900000000000001E-2</v>
      </c>
      <c r="H64" s="288">
        <f t="shared" si="11"/>
        <v>1.7400000000000002E-2</v>
      </c>
      <c r="I64" s="288">
        <f t="shared" si="11"/>
        <v>1.7400000000000002E-2</v>
      </c>
      <c r="J64" s="288">
        <f t="shared" si="11"/>
        <v>3.0600000000000006E-2</v>
      </c>
      <c r="K64" s="288">
        <f t="shared" si="11"/>
        <v>1.5300000000000001E-2</v>
      </c>
      <c r="L64" s="288">
        <f t="shared" si="11"/>
        <v>1.5300000000000001E-2</v>
      </c>
      <c r="M64" s="288">
        <f t="shared" si="11"/>
        <v>1.4700000000000001E-2</v>
      </c>
      <c r="N64" s="288">
        <f t="shared" si="11"/>
        <v>1.4700000000000001E-2</v>
      </c>
      <c r="O64" s="288">
        <f t="shared" si="11"/>
        <v>5.1000000000000004E-3</v>
      </c>
      <c r="P64" s="288">
        <f>+P57+P59+P61+P63</f>
        <v>0.17760000000000004</v>
      </c>
      <c r="AE64" s="139"/>
      <c r="AF64" s="139"/>
      <c r="AG64" s="139"/>
    </row>
    <row r="65" spans="3:33" s="289" customFormat="1" ht="12.75" hidden="1">
      <c r="C65" s="290" t="s">
        <v>111</v>
      </c>
      <c r="D65" s="291">
        <f>+D64*$C$30/$B$30</f>
        <v>1.0000000000000002E-2</v>
      </c>
      <c r="E65" s="291">
        <f t="shared" ref="E65:O65" si="12">+E64*$C$30/$B$30</f>
        <v>1.1200000000000003E-2</v>
      </c>
      <c r="F65" s="291">
        <f t="shared" si="12"/>
        <v>2.0400000000000001E-2</v>
      </c>
      <c r="G65" s="291">
        <f t="shared" si="12"/>
        <v>2.12E-2</v>
      </c>
      <c r="H65" s="291">
        <f t="shared" si="12"/>
        <v>2.3200000000000002E-2</v>
      </c>
      <c r="I65" s="291">
        <f t="shared" si="12"/>
        <v>2.3200000000000002E-2</v>
      </c>
      <c r="J65" s="291">
        <f t="shared" si="12"/>
        <v>4.0800000000000003E-2</v>
      </c>
      <c r="K65" s="291">
        <f t="shared" si="12"/>
        <v>2.0400000000000001E-2</v>
      </c>
      <c r="L65" s="291">
        <f t="shared" si="12"/>
        <v>2.0400000000000001E-2</v>
      </c>
      <c r="M65" s="291">
        <f t="shared" si="12"/>
        <v>1.9600000000000003E-2</v>
      </c>
      <c r="N65" s="291">
        <f t="shared" si="12"/>
        <v>1.9600000000000003E-2</v>
      </c>
      <c r="O65" s="291">
        <f t="shared" si="12"/>
        <v>6.8000000000000005E-3</v>
      </c>
      <c r="P65" s="292">
        <f>SUM(D65:O65)</f>
        <v>0.23680000000000004</v>
      </c>
      <c r="Q65" s="293"/>
      <c r="AE65" s="431"/>
      <c r="AF65" s="431"/>
      <c r="AG65" s="431"/>
    </row>
    <row r="66" spans="3:33" customFormat="1" hidden="1">
      <c r="AE66" s="433"/>
      <c r="AF66" s="433"/>
      <c r="AG66" s="433"/>
    </row>
  </sheetData>
  <mergeCells count="124">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34:A35"/>
    <mergeCell ref="B34:B35"/>
    <mergeCell ref="Q34:AB3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N48:S48"/>
    <mergeCell ref="X48:AB48"/>
    <mergeCell ref="B49:G49"/>
    <mergeCell ref="N49:S49"/>
    <mergeCell ref="X49:AB49"/>
    <mergeCell ref="A40:A41"/>
    <mergeCell ref="B40:B41"/>
    <mergeCell ref="Q40:AB42"/>
    <mergeCell ref="A42:B42"/>
    <mergeCell ref="A47:A49"/>
    <mergeCell ref="B47:G47"/>
    <mergeCell ref="H47:M49"/>
    <mergeCell ref="N47:S47"/>
    <mergeCell ref="T47:W49"/>
    <mergeCell ref="X47:AB47"/>
    <mergeCell ref="Q43:AB45"/>
    <mergeCell ref="A45:B45"/>
    <mergeCell ref="A43:A44"/>
    <mergeCell ref="B43:B44"/>
    <mergeCell ref="B48:G48"/>
    <mergeCell ref="A62:A63"/>
    <mergeCell ref="B62:B63"/>
    <mergeCell ref="A54:A55"/>
    <mergeCell ref="B54:B55"/>
    <mergeCell ref="C54:P54"/>
    <mergeCell ref="A56:A57"/>
    <mergeCell ref="B56:B57"/>
    <mergeCell ref="A58:A59"/>
    <mergeCell ref="B58:B59"/>
    <mergeCell ref="A60:A61"/>
    <mergeCell ref="B60:B61"/>
  </mergeCells>
  <dataValidations count="3">
    <dataValidation type="textLength" operator="lessThanOrEqual" allowBlank="1" showInputMessage="1" showErrorMessage="1" errorTitle="Máximo 1.000 caracteres" error="Máximo 1.000 caracteres" sqref="U30:X30">
      <formula1>1000</formula1>
    </dataValidation>
    <dataValidation type="textLength" operator="lessThanOrEqual" allowBlank="1" showInputMessage="1" showErrorMessage="1" errorTitle="Máximo 2.000 caracteres" error="Máximo 2.000 caracteres" sqref="AD30 Q37 Q34 Q30:T30 Q40 Q43">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39370078740157483" bottom="0.39370078740157483" header="0" footer="0"/>
  <pageSetup scale="30" orientation="landscape" r:id="rId1"/>
  <rowBreaks count="1" manualBreakCount="1">
    <brk id="39" max="2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O72"/>
  <sheetViews>
    <sheetView topLeftCell="R11" zoomScale="89" zoomScaleNormal="100" zoomScaleSheetLayoutView="88" workbookViewId="0">
      <selection activeCell="Z19" sqref="Z19"/>
    </sheetView>
  </sheetViews>
  <sheetFormatPr baseColWidth="10" defaultColWidth="11.42578125" defaultRowHeight="15"/>
  <cols>
    <col min="1" max="1" width="38.42578125" style="119" customWidth="1"/>
    <col min="2" max="2" width="18.28515625" style="119" customWidth="1"/>
    <col min="3" max="3" width="17.42578125" style="119" customWidth="1"/>
    <col min="4" max="6" width="7" style="119" customWidth="1"/>
    <col min="7" max="15" width="7.7109375" style="119" customWidth="1"/>
    <col min="16" max="16" width="13.7109375" style="119" customWidth="1"/>
    <col min="17" max="20" width="21.140625" style="119" customWidth="1"/>
    <col min="21" max="24" width="13.140625" style="119" customWidth="1"/>
    <col min="25" max="28" width="16.28515625" style="119" customWidth="1"/>
    <col min="29" max="29" width="6.42578125" style="119" customWidth="1"/>
    <col min="30" max="30" width="15.7109375" style="119" customWidth="1"/>
    <col min="31" max="31" width="30.7109375" style="119" customWidth="1"/>
    <col min="32" max="32" width="8.42578125" style="119" customWidth="1"/>
    <col min="33" max="33" width="18.42578125" style="119" bestFit="1" customWidth="1"/>
    <col min="34" max="34" width="5.7109375" style="119" customWidth="1"/>
    <col min="35" max="35" width="18.42578125" style="119" bestFit="1" customWidth="1"/>
    <col min="36" max="36" width="4.710937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8"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8"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8"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8"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28"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8"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8"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8"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8"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8"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8"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28"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8" s="78" customFormat="1" ht="37.5" customHeight="1" thickBot="1">
      <c r="A13" s="637" t="s">
        <v>22</v>
      </c>
      <c r="B13" s="638"/>
      <c r="C13" s="699" t="s">
        <v>137</v>
      </c>
      <c r="D13" s="700"/>
      <c r="E13" s="700"/>
      <c r="F13" s="700"/>
      <c r="G13" s="700"/>
      <c r="H13" s="700"/>
      <c r="I13" s="700"/>
      <c r="J13" s="700"/>
      <c r="K13" s="700"/>
      <c r="L13" s="700"/>
      <c r="M13" s="700"/>
      <c r="N13" s="700"/>
      <c r="O13" s="700"/>
      <c r="P13" s="700"/>
      <c r="Q13" s="701"/>
      <c r="R13" s="6"/>
      <c r="S13" s="515" t="s">
        <v>24</v>
      </c>
      <c r="T13" s="515"/>
      <c r="U13" s="79" t="str">
        <f>+Ponderación!E103</f>
        <v>0.70</v>
      </c>
      <c r="V13" s="702" t="s">
        <v>25</v>
      </c>
      <c r="W13" s="515"/>
      <c r="X13" s="515"/>
      <c r="Y13" s="515"/>
      <c r="Z13" s="6"/>
      <c r="AA13" s="703">
        <f>B30</f>
        <v>0.06</v>
      </c>
      <c r="AB13" s="704"/>
    </row>
    <row r="14" spans="1:28"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8" ht="35.25" customHeight="1" thickBot="1">
      <c r="A16" s="609"/>
      <c r="B16" s="610"/>
      <c r="C16" s="74"/>
      <c r="D16" s="617"/>
      <c r="E16" s="519"/>
      <c r="F16" s="517"/>
      <c r="G16" s="519"/>
      <c r="H16" s="517" t="s">
        <v>32</v>
      </c>
      <c r="I16" s="619"/>
      <c r="J16" s="413"/>
      <c r="K16" s="413"/>
      <c r="L16" s="413"/>
      <c r="M16" s="3"/>
      <c r="N16" s="3"/>
      <c r="O16" s="3"/>
      <c r="P16" s="3"/>
      <c r="Q16" s="733" t="s">
        <v>33</v>
      </c>
      <c r="R16" s="734"/>
      <c r="S16" s="734"/>
      <c r="T16" s="734"/>
      <c r="U16" s="734"/>
      <c r="V16" s="735"/>
      <c r="W16" s="736" t="s">
        <v>34</v>
      </c>
      <c r="X16" s="734"/>
      <c r="Y16" s="734"/>
      <c r="Z16" s="734"/>
      <c r="AA16" s="734"/>
      <c r="AB16" s="737"/>
    </row>
    <row r="17" spans="1:40" ht="15"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127"/>
      <c r="AD17" s="127"/>
    </row>
    <row r="18" spans="1:40" ht="20.100000000000001" customHeight="1" thickBot="1">
      <c r="A18" s="5"/>
      <c r="B18" s="6"/>
      <c r="C18" s="8"/>
      <c r="D18" s="8"/>
      <c r="E18" s="8"/>
      <c r="F18" s="8"/>
      <c r="G18" s="128"/>
      <c r="H18" s="128"/>
      <c r="I18" s="128"/>
      <c r="J18" s="128"/>
      <c r="K18" s="128"/>
      <c r="L18" s="128"/>
      <c r="M18" s="8"/>
      <c r="N18" s="8"/>
      <c r="O18" s="8"/>
      <c r="P18" s="8"/>
      <c r="Q18" s="632">
        <v>0</v>
      </c>
      <c r="R18" s="633"/>
      <c r="S18" s="634"/>
      <c r="T18" s="635">
        <v>0</v>
      </c>
      <c r="U18" s="633"/>
      <c r="V18" s="634"/>
      <c r="W18" s="635">
        <f>+Ponderación!E12</f>
        <v>274664881.72000003</v>
      </c>
      <c r="X18" s="633"/>
      <c r="Y18" s="634"/>
      <c r="Z18" s="635">
        <v>267594882</v>
      </c>
      <c r="AA18" s="633"/>
      <c r="AB18" s="636"/>
      <c r="AC18" s="165"/>
      <c r="AD18" s="129"/>
    </row>
    <row r="19" spans="1:40" ht="1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c r="A23" s="731"/>
      <c r="B23" s="575" t="s">
        <v>43</v>
      </c>
      <c r="C23" s="576"/>
      <c r="D23" s="815"/>
      <c r="E23" s="592"/>
      <c r="F23" s="593"/>
      <c r="G23" s="591"/>
      <c r="H23" s="592"/>
      <c r="I23" s="593"/>
      <c r="J23" s="591"/>
      <c r="K23" s="592"/>
      <c r="L23" s="593"/>
      <c r="M23" s="819" t="s">
        <v>32</v>
      </c>
      <c r="N23" s="820"/>
      <c r="O23" s="821"/>
      <c r="P23" s="563"/>
      <c r="Q23" s="780"/>
      <c r="R23" s="780"/>
      <c r="S23" s="780"/>
      <c r="T23" s="780"/>
      <c r="U23" s="780"/>
      <c r="V23" s="780"/>
      <c r="W23" s="780"/>
      <c r="X23" s="780"/>
      <c r="Y23" s="780"/>
      <c r="Z23" s="780"/>
      <c r="AA23" s="780"/>
      <c r="AB23" s="781"/>
    </row>
    <row r="24" spans="1:40">
      <c r="A24" s="731"/>
      <c r="B24" s="577"/>
      <c r="C24" s="578"/>
      <c r="D24" s="594"/>
      <c r="E24" s="595"/>
      <c r="F24" s="596"/>
      <c r="G24" s="594"/>
      <c r="H24" s="595"/>
      <c r="I24" s="596"/>
      <c r="J24" s="594"/>
      <c r="K24" s="595"/>
      <c r="L24" s="596"/>
      <c r="M24" s="822"/>
      <c r="N24" s="823"/>
      <c r="O24" s="824"/>
      <c r="P24" s="564"/>
      <c r="Q24" s="780"/>
      <c r="R24" s="780"/>
      <c r="S24" s="780"/>
      <c r="T24" s="780"/>
      <c r="U24" s="780"/>
      <c r="V24" s="780"/>
      <c r="W24" s="780"/>
      <c r="X24" s="780"/>
      <c r="Y24" s="780"/>
      <c r="Z24" s="780"/>
      <c r="AA24" s="780"/>
      <c r="AB24" s="781"/>
    </row>
    <row r="25" spans="1:40">
      <c r="A25" s="731"/>
      <c r="B25" s="577"/>
      <c r="C25" s="578"/>
      <c r="D25" s="594"/>
      <c r="E25" s="595"/>
      <c r="F25" s="596"/>
      <c r="G25" s="594"/>
      <c r="H25" s="595"/>
      <c r="I25" s="596"/>
      <c r="J25" s="594"/>
      <c r="K25" s="595"/>
      <c r="L25" s="596"/>
      <c r="M25" s="822"/>
      <c r="N25" s="823"/>
      <c r="O25" s="824"/>
      <c r="P25" s="564"/>
      <c r="Q25" s="780"/>
      <c r="R25" s="780"/>
      <c r="S25" s="780"/>
      <c r="T25" s="780"/>
      <c r="U25" s="780"/>
      <c r="V25" s="780"/>
      <c r="W25" s="780"/>
      <c r="X25" s="780"/>
      <c r="Y25" s="780"/>
      <c r="Z25" s="780"/>
      <c r="AA25" s="780"/>
      <c r="AB25" s="781"/>
    </row>
    <row r="26" spans="1:40" ht="15" customHeight="1" thickBot="1">
      <c r="A26" s="732"/>
      <c r="B26" s="577"/>
      <c r="C26" s="578"/>
      <c r="D26" s="816"/>
      <c r="E26" s="817"/>
      <c r="F26" s="818"/>
      <c r="G26" s="594"/>
      <c r="H26" s="595"/>
      <c r="I26" s="596"/>
      <c r="J26" s="594"/>
      <c r="K26" s="595"/>
      <c r="L26" s="596"/>
      <c r="M26" s="822"/>
      <c r="N26" s="823"/>
      <c r="O26" s="824"/>
      <c r="P26" s="564"/>
      <c r="Q26" s="782"/>
      <c r="R26" s="782"/>
      <c r="S26" s="782"/>
      <c r="T26" s="782"/>
      <c r="U26" s="782"/>
      <c r="V26" s="782"/>
      <c r="W26" s="782"/>
      <c r="X26" s="782"/>
      <c r="Y26" s="782"/>
      <c r="Z26" s="782"/>
      <c r="AA26" s="782"/>
      <c r="AB26" s="783"/>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c r="AD27" s="827"/>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D28" s="827"/>
      <c r="AE28" s="130"/>
      <c r="AF28" s="130"/>
      <c r="AG28" s="321"/>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D29" s="827"/>
      <c r="AE29" s="130"/>
      <c r="AF29" s="130"/>
      <c r="AG29" s="321"/>
      <c r="AH29" s="130"/>
      <c r="AI29" s="130"/>
      <c r="AJ29" s="130"/>
      <c r="AK29" s="130"/>
      <c r="AL29" s="130"/>
      <c r="AM29" s="130"/>
      <c r="AN29" s="131"/>
    </row>
    <row r="30" spans="1:40" ht="225.95" customHeight="1" thickBot="1">
      <c r="A30" s="405" t="s">
        <v>138</v>
      </c>
      <c r="B30" s="406">
        <f>B35+B38+B41+B44+B47</f>
        <v>0.06</v>
      </c>
      <c r="C30" s="407">
        <v>0.7</v>
      </c>
      <c r="D30" s="408">
        <f>+D72</f>
        <v>0.313</v>
      </c>
      <c r="E30" s="408">
        <f t="shared" ref="E30:O30" si="0">+E72</f>
        <v>0.34749999999999998</v>
      </c>
      <c r="F30" s="408">
        <f t="shared" si="0"/>
        <v>0.3805</v>
      </c>
      <c r="G30" s="408">
        <f t="shared" si="0"/>
        <v>0.41749999999999998</v>
      </c>
      <c r="H30" s="408">
        <f t="shared" si="0"/>
        <v>0.45450000000000002</v>
      </c>
      <c r="I30" s="408">
        <f t="shared" si="0"/>
        <v>0.49149999999999999</v>
      </c>
      <c r="J30" s="408">
        <f t="shared" si="0"/>
        <v>0.52849999999999997</v>
      </c>
      <c r="K30" s="408">
        <f t="shared" si="0"/>
        <v>0.56549999999999989</v>
      </c>
      <c r="L30" s="408">
        <f t="shared" si="0"/>
        <v>0.61699999999999999</v>
      </c>
      <c r="M30" s="408">
        <f t="shared" si="0"/>
        <v>0.65100000000000002</v>
      </c>
      <c r="N30" s="408">
        <f t="shared" si="0"/>
        <v>0.6875</v>
      </c>
      <c r="O30" s="408">
        <f t="shared" si="0"/>
        <v>0.7</v>
      </c>
      <c r="P30" s="408">
        <f>+O30</f>
        <v>0.7</v>
      </c>
      <c r="Q30" s="832" t="s">
        <v>398</v>
      </c>
      <c r="R30" s="833"/>
      <c r="S30" s="833"/>
      <c r="T30" s="834"/>
      <c r="U30" s="832"/>
      <c r="V30" s="833"/>
      <c r="W30" s="833"/>
      <c r="X30" s="834"/>
      <c r="Y30" s="838" t="s">
        <v>399</v>
      </c>
      <c r="Z30" s="547"/>
      <c r="AA30" s="547"/>
      <c r="AB30" s="839"/>
      <c r="AC30" s="132"/>
      <c r="AD30" s="355">
        <f>LEN(Q30)</f>
        <v>1863</v>
      </c>
      <c r="AE30" s="435" t="s">
        <v>418</v>
      </c>
      <c r="AF30" s="142"/>
      <c r="AG30" s="321">
        <f>+LEN(AE30)</f>
        <v>257</v>
      </c>
      <c r="AH30" s="130"/>
      <c r="AI30" s="130"/>
      <c r="AJ30" s="130"/>
      <c r="AK30" s="130"/>
      <c r="AL30" s="130"/>
      <c r="AM30" s="130"/>
      <c r="AN30" s="131"/>
    </row>
    <row r="31" spans="1:40" ht="44.1" customHeight="1" thickBot="1">
      <c r="A31" s="830" t="s">
        <v>65</v>
      </c>
      <c r="B31" s="831"/>
      <c r="C31" s="831"/>
      <c r="D31" s="409">
        <f>+D71</f>
        <v>2.2750000000000003E-2</v>
      </c>
      <c r="E31" s="409">
        <f t="shared" ref="E31:I31" si="1">+E71</f>
        <v>6.0375000000000005E-2</v>
      </c>
      <c r="F31" s="409">
        <f t="shared" si="1"/>
        <v>5.7750000000000003E-2</v>
      </c>
      <c r="G31" s="409">
        <f t="shared" si="1"/>
        <v>6.4750000000000002E-2</v>
      </c>
      <c r="H31" s="409">
        <f t="shared" si="1"/>
        <v>6.4750000000000002E-2</v>
      </c>
      <c r="I31" s="409">
        <f t="shared" si="1"/>
        <v>6.4750000000000002E-2</v>
      </c>
      <c r="J31" s="409"/>
      <c r="K31" s="409"/>
      <c r="L31" s="409"/>
      <c r="M31" s="409"/>
      <c r="N31" s="409"/>
      <c r="O31" s="409"/>
      <c r="P31" s="410">
        <f>SUM(D31:O31)</f>
        <v>0.33512500000000001</v>
      </c>
      <c r="Q31" s="835"/>
      <c r="R31" s="836"/>
      <c r="S31" s="836"/>
      <c r="T31" s="837"/>
      <c r="U31" s="835"/>
      <c r="V31" s="836"/>
      <c r="W31" s="836"/>
      <c r="X31" s="837"/>
      <c r="Y31" s="840"/>
      <c r="Z31" s="549"/>
      <c r="AA31" s="549"/>
      <c r="AB31" s="841"/>
      <c r="AC31" s="132"/>
      <c r="AD31" s="355"/>
      <c r="AE31" s="435"/>
      <c r="AF31" s="142"/>
      <c r="AG31" s="321"/>
      <c r="AH31" s="130"/>
      <c r="AI31" s="130"/>
      <c r="AJ31" s="130"/>
      <c r="AK31" s="130"/>
      <c r="AL31" s="130"/>
      <c r="AM31" s="130"/>
      <c r="AN31" s="131"/>
    </row>
    <row r="32" spans="1:40" ht="18.75">
      <c r="A32" s="763"/>
      <c r="B32" s="765"/>
      <c r="C32" s="765"/>
      <c r="D32" s="765"/>
      <c r="E32" s="765"/>
      <c r="F32" s="765"/>
      <c r="G32" s="765"/>
      <c r="H32" s="765"/>
      <c r="I32" s="765"/>
      <c r="J32" s="765"/>
      <c r="K32" s="765"/>
      <c r="L32" s="765"/>
      <c r="M32" s="765"/>
      <c r="N32" s="765"/>
      <c r="O32" s="765"/>
      <c r="P32" s="765"/>
      <c r="Q32" s="828"/>
      <c r="R32" s="828"/>
      <c r="S32" s="828"/>
      <c r="T32" s="828"/>
      <c r="U32" s="828"/>
      <c r="V32" s="828"/>
      <c r="W32" s="828"/>
      <c r="X32" s="828"/>
      <c r="Y32" s="828"/>
      <c r="Z32" s="828"/>
      <c r="AA32" s="828"/>
      <c r="AB32" s="829"/>
      <c r="AD32" s="356"/>
      <c r="AE32" s="826" t="s">
        <v>420</v>
      </c>
      <c r="AF32" s="130"/>
      <c r="AG32" s="321"/>
      <c r="AH32" s="130"/>
      <c r="AI32" s="130"/>
      <c r="AJ32" s="130"/>
      <c r="AK32" s="130"/>
      <c r="AL32" s="130"/>
      <c r="AM32" s="130"/>
      <c r="AN32" s="131"/>
    </row>
    <row r="33" spans="1:41" ht="15" customHeight="1">
      <c r="A33" s="541" t="s">
        <v>66</v>
      </c>
      <c r="B33" s="542" t="s">
        <v>67</v>
      </c>
      <c r="C33" s="542" t="s">
        <v>68</v>
      </c>
      <c r="D33" s="542"/>
      <c r="E33" s="542"/>
      <c r="F33" s="542"/>
      <c r="G33" s="542"/>
      <c r="H33" s="542"/>
      <c r="I33" s="542"/>
      <c r="J33" s="542"/>
      <c r="K33" s="542"/>
      <c r="L33" s="542"/>
      <c r="M33" s="542"/>
      <c r="N33" s="542"/>
      <c r="O33" s="542"/>
      <c r="P33" s="542"/>
      <c r="Q33" s="542" t="s">
        <v>69</v>
      </c>
      <c r="R33" s="542"/>
      <c r="S33" s="542"/>
      <c r="T33" s="542"/>
      <c r="U33" s="542"/>
      <c r="V33" s="542"/>
      <c r="W33" s="542"/>
      <c r="X33" s="542"/>
      <c r="Y33" s="542"/>
      <c r="Z33" s="542"/>
      <c r="AA33" s="542"/>
      <c r="AB33" s="543"/>
      <c r="AD33" s="350"/>
      <c r="AE33" s="826"/>
      <c r="AF33" s="130"/>
      <c r="AG33" s="321"/>
      <c r="AH33" s="130"/>
      <c r="AI33" s="130"/>
      <c r="AJ33" s="130"/>
      <c r="AK33" s="130"/>
      <c r="AL33" s="130"/>
      <c r="AM33" s="130"/>
      <c r="AN33" s="131"/>
    </row>
    <row r="34" spans="1:41" ht="25.5" customHeight="1">
      <c r="A34" s="541"/>
      <c r="B34" s="542"/>
      <c r="C34" s="417" t="s">
        <v>70</v>
      </c>
      <c r="D34" s="417" t="s">
        <v>48</v>
      </c>
      <c r="E34" s="417" t="s">
        <v>49</v>
      </c>
      <c r="F34" s="417" t="s">
        <v>50</v>
      </c>
      <c r="G34" s="417" t="s">
        <v>51</v>
      </c>
      <c r="H34" s="417" t="s">
        <v>52</v>
      </c>
      <c r="I34" s="417" t="s">
        <v>53</v>
      </c>
      <c r="J34" s="417" t="s">
        <v>54</v>
      </c>
      <c r="K34" s="417" t="s">
        <v>55</v>
      </c>
      <c r="L34" s="417" t="s">
        <v>56</v>
      </c>
      <c r="M34" s="417" t="s">
        <v>57</v>
      </c>
      <c r="N34" s="417" t="s">
        <v>58</v>
      </c>
      <c r="O34" s="417" t="s">
        <v>59</v>
      </c>
      <c r="P34" s="107" t="s">
        <v>71</v>
      </c>
      <c r="Q34" s="542" t="s">
        <v>72</v>
      </c>
      <c r="R34" s="542"/>
      <c r="S34" s="542"/>
      <c r="T34" s="542"/>
      <c r="U34" s="542"/>
      <c r="V34" s="542"/>
      <c r="W34" s="542"/>
      <c r="X34" s="542"/>
      <c r="Y34" s="542"/>
      <c r="Z34" s="542"/>
      <c r="AA34" s="542"/>
      <c r="AB34" s="543"/>
      <c r="AD34" s="350"/>
      <c r="AE34" s="826"/>
      <c r="AF34" s="135"/>
      <c r="AG34" s="362"/>
      <c r="AH34" s="135"/>
      <c r="AI34" s="135"/>
      <c r="AJ34" s="135"/>
      <c r="AK34" s="135"/>
      <c r="AL34" s="135"/>
      <c r="AM34" s="135"/>
      <c r="AN34" s="131"/>
    </row>
    <row r="35" spans="1:41" ht="95.1" customHeight="1">
      <c r="A35" s="493" t="s">
        <v>139</v>
      </c>
      <c r="B35" s="802">
        <v>1.4999999999999999E-2</v>
      </c>
      <c r="C35" s="57" t="s">
        <v>74</v>
      </c>
      <c r="D35" s="59">
        <v>0.05</v>
      </c>
      <c r="E35" s="59">
        <v>0.09</v>
      </c>
      <c r="F35" s="59">
        <v>0.09</v>
      </c>
      <c r="G35" s="59">
        <v>0.09</v>
      </c>
      <c r="H35" s="59">
        <v>0.09</v>
      </c>
      <c r="I35" s="59">
        <v>0.09</v>
      </c>
      <c r="J35" s="59">
        <v>0.09</v>
      </c>
      <c r="K35" s="59">
        <v>0.09</v>
      </c>
      <c r="L35" s="59">
        <v>0.09</v>
      </c>
      <c r="M35" s="59">
        <v>0.09</v>
      </c>
      <c r="N35" s="59">
        <v>0.09</v>
      </c>
      <c r="O35" s="59">
        <v>0.05</v>
      </c>
      <c r="P35" s="157">
        <f>SUM(D35:O35)</f>
        <v>0.99999999999999989</v>
      </c>
      <c r="Q35" s="803" t="s">
        <v>140</v>
      </c>
      <c r="R35" s="804"/>
      <c r="S35" s="804"/>
      <c r="T35" s="804"/>
      <c r="U35" s="804"/>
      <c r="V35" s="804"/>
      <c r="W35" s="804"/>
      <c r="X35" s="804"/>
      <c r="Y35" s="804"/>
      <c r="Z35" s="804"/>
      <c r="AA35" s="804"/>
      <c r="AB35" s="805"/>
      <c r="AC35" s="56"/>
      <c r="AD35" s="350"/>
      <c r="AE35" s="826"/>
      <c r="AF35" s="136">
        <f>+LEN(AE32)</f>
        <v>231</v>
      </c>
      <c r="AG35" s="136"/>
      <c r="AH35" s="136"/>
      <c r="AI35" s="136"/>
      <c r="AJ35" s="136"/>
      <c r="AK35" s="136"/>
      <c r="AL35" s="136"/>
      <c r="AM35" s="136"/>
      <c r="AN35" s="131"/>
    </row>
    <row r="36" spans="1:41" ht="95.1" customHeight="1">
      <c r="A36" s="493"/>
      <c r="B36" s="802"/>
      <c r="C36" s="58" t="s">
        <v>75</v>
      </c>
      <c r="D36" s="10">
        <v>0.03</v>
      </c>
      <c r="E36" s="10">
        <v>0.11</v>
      </c>
      <c r="F36" s="10">
        <v>0.09</v>
      </c>
      <c r="G36" s="10">
        <v>0.09</v>
      </c>
      <c r="H36" s="10">
        <v>0.09</v>
      </c>
      <c r="I36" s="10">
        <v>0.09</v>
      </c>
      <c r="J36" s="10">
        <v>0.09</v>
      </c>
      <c r="K36" s="10">
        <v>0.09</v>
      </c>
      <c r="L36" s="10">
        <v>0.09</v>
      </c>
      <c r="M36" s="10">
        <v>0.09</v>
      </c>
      <c r="N36" s="10">
        <v>0.09</v>
      </c>
      <c r="O36" s="10">
        <v>0.05</v>
      </c>
      <c r="P36" s="157">
        <f>SUM(D36:O36)</f>
        <v>0.99999999999999989</v>
      </c>
      <c r="Q36" s="806"/>
      <c r="R36" s="807"/>
      <c r="S36" s="807"/>
      <c r="T36" s="807"/>
      <c r="U36" s="807"/>
      <c r="V36" s="807"/>
      <c r="W36" s="807"/>
      <c r="X36" s="807"/>
      <c r="Y36" s="807"/>
      <c r="Z36" s="807"/>
      <c r="AA36" s="807"/>
      <c r="AB36" s="808"/>
      <c r="AC36" s="56"/>
      <c r="AD36" s="350"/>
      <c r="AE36" s="375" t="s">
        <v>141</v>
      </c>
      <c r="AF36" s="131"/>
      <c r="AG36" s="131"/>
      <c r="AH36" s="131"/>
      <c r="AI36" s="131"/>
      <c r="AJ36" s="131"/>
      <c r="AK36" s="131"/>
      <c r="AL36" s="131"/>
      <c r="AM36" s="131"/>
      <c r="AN36" s="131"/>
    </row>
    <row r="37" spans="1:41" ht="25.35" customHeight="1">
      <c r="A37" s="442"/>
      <c r="B37" s="60"/>
      <c r="C37" s="58"/>
      <c r="D37" s="60"/>
      <c r="E37" s="65"/>
      <c r="F37" s="60"/>
      <c r="G37" s="60"/>
      <c r="H37" s="60"/>
      <c r="I37" s="60"/>
      <c r="J37" s="60"/>
      <c r="K37" s="60"/>
      <c r="L37" s="60"/>
      <c r="M37" s="60"/>
      <c r="N37" s="60"/>
      <c r="O37" s="60"/>
      <c r="P37" s="137">
        <f>SUM(D37:O37)</f>
        <v>0</v>
      </c>
      <c r="Q37" s="809"/>
      <c r="R37" s="810"/>
      <c r="S37" s="810"/>
      <c r="T37" s="810"/>
      <c r="U37" s="810"/>
      <c r="V37" s="810"/>
      <c r="W37" s="810"/>
      <c r="X37" s="810"/>
      <c r="Y37" s="810"/>
      <c r="Z37" s="810"/>
      <c r="AA37" s="810"/>
      <c r="AB37" s="811"/>
      <c r="AC37" s="56"/>
      <c r="AD37" s="350">
        <f>LEN(Q35)</f>
        <v>1729</v>
      </c>
      <c r="AE37" s="130"/>
      <c r="AF37" s="131"/>
      <c r="AG37" s="131"/>
      <c r="AH37" s="131"/>
      <c r="AI37" s="131"/>
      <c r="AJ37" s="131"/>
      <c r="AK37" s="131"/>
      <c r="AL37" s="131"/>
      <c r="AM37" s="131"/>
      <c r="AN37" s="131"/>
    </row>
    <row r="38" spans="1:41" ht="87" customHeight="1">
      <c r="A38" s="493" t="s">
        <v>142</v>
      </c>
      <c r="B38" s="802">
        <v>1.4999999999999999E-2</v>
      </c>
      <c r="C38" s="57" t="s">
        <v>74</v>
      </c>
      <c r="D38" s="59">
        <v>0.05</v>
      </c>
      <c r="E38" s="59">
        <v>0.09</v>
      </c>
      <c r="F38" s="59">
        <v>0.09</v>
      </c>
      <c r="G38" s="59">
        <v>0.09</v>
      </c>
      <c r="H38" s="59">
        <v>0.09</v>
      </c>
      <c r="I38" s="59">
        <v>0.09</v>
      </c>
      <c r="J38" s="59">
        <v>0.09</v>
      </c>
      <c r="K38" s="59">
        <v>0.09</v>
      </c>
      <c r="L38" s="59">
        <v>0.09</v>
      </c>
      <c r="M38" s="59">
        <v>0.09</v>
      </c>
      <c r="N38" s="59">
        <v>0.09</v>
      </c>
      <c r="O38" s="59">
        <v>0.05</v>
      </c>
      <c r="P38" s="157">
        <f t="shared" ref="P38:P45" si="2">SUM(D38:O38)</f>
        <v>0.99999999999999989</v>
      </c>
      <c r="Q38" s="521" t="s">
        <v>143</v>
      </c>
      <c r="R38" s="521"/>
      <c r="S38" s="521"/>
      <c r="T38" s="521"/>
      <c r="U38" s="521"/>
      <c r="V38" s="521"/>
      <c r="W38" s="521"/>
      <c r="X38" s="521"/>
      <c r="Y38" s="521"/>
      <c r="Z38" s="521"/>
      <c r="AA38" s="521"/>
      <c r="AB38" s="522"/>
      <c r="AD38" s="350"/>
    </row>
    <row r="39" spans="1:41" s="138" customFormat="1" ht="87" customHeight="1">
      <c r="A39" s="493"/>
      <c r="B39" s="802"/>
      <c r="C39" s="58" t="s">
        <v>75</v>
      </c>
      <c r="D39" s="10">
        <v>0.05</v>
      </c>
      <c r="E39" s="10">
        <v>0.09</v>
      </c>
      <c r="F39" s="10">
        <v>0.09</v>
      </c>
      <c r="G39" s="10">
        <v>0.09</v>
      </c>
      <c r="H39" s="10">
        <v>0.09</v>
      </c>
      <c r="I39" s="10">
        <v>0.09</v>
      </c>
      <c r="J39" s="10">
        <v>0.09</v>
      </c>
      <c r="K39" s="10">
        <v>0.09</v>
      </c>
      <c r="L39" s="10">
        <v>0.09</v>
      </c>
      <c r="M39" s="10">
        <v>0.09</v>
      </c>
      <c r="N39" s="10">
        <v>0.14000000000000001</v>
      </c>
      <c r="O39" s="10"/>
      <c r="P39" s="157">
        <f t="shared" si="2"/>
        <v>0.99999999999999989</v>
      </c>
      <c r="Q39" s="521"/>
      <c r="R39" s="521"/>
      <c r="S39" s="521"/>
      <c r="T39" s="521"/>
      <c r="U39" s="521"/>
      <c r="V39" s="521"/>
      <c r="W39" s="521"/>
      <c r="X39" s="521"/>
      <c r="Y39" s="521"/>
      <c r="Z39" s="521"/>
      <c r="AA39" s="521"/>
      <c r="AB39" s="522"/>
      <c r="AD39" s="350"/>
      <c r="AE39" s="131"/>
      <c r="AF39" s="131"/>
      <c r="AG39" s="131"/>
      <c r="AH39" s="131"/>
      <c r="AI39" s="131"/>
      <c r="AJ39" s="131"/>
      <c r="AK39" s="131"/>
      <c r="AL39" s="131"/>
      <c r="AM39" s="131"/>
      <c r="AN39" s="131"/>
      <c r="AO39" s="131"/>
    </row>
    <row r="40" spans="1:41" ht="25.35" customHeight="1">
      <c r="A40" s="442"/>
      <c r="B40" s="60"/>
      <c r="C40" s="58"/>
      <c r="D40" s="60"/>
      <c r="E40" s="65"/>
      <c r="F40" s="60"/>
      <c r="G40" s="60"/>
      <c r="H40" s="60"/>
      <c r="I40" s="60"/>
      <c r="J40" s="60"/>
      <c r="K40" s="60"/>
      <c r="L40" s="60"/>
      <c r="M40" s="60"/>
      <c r="N40" s="60"/>
      <c r="O40" s="60"/>
      <c r="P40" s="137">
        <f t="shared" si="2"/>
        <v>0</v>
      </c>
      <c r="Q40" s="521"/>
      <c r="R40" s="521"/>
      <c r="S40" s="521"/>
      <c r="T40" s="521"/>
      <c r="U40" s="521"/>
      <c r="V40" s="521"/>
      <c r="W40" s="521"/>
      <c r="X40" s="521"/>
      <c r="Y40" s="521"/>
      <c r="Z40" s="521"/>
      <c r="AA40" s="521"/>
      <c r="AB40" s="522"/>
      <c r="AC40" s="56"/>
      <c r="AD40" s="350">
        <f>LEN(Q38)</f>
        <v>1703</v>
      </c>
      <c r="AE40" s="131"/>
      <c r="AF40" s="131"/>
      <c r="AG40" s="131"/>
      <c r="AH40" s="131"/>
      <c r="AI40" s="131"/>
      <c r="AJ40" s="131"/>
      <c r="AK40" s="131"/>
      <c r="AL40" s="131"/>
      <c r="AM40" s="131"/>
      <c r="AN40" s="131"/>
    </row>
    <row r="41" spans="1:41" ht="84.75" customHeight="1">
      <c r="A41" s="493" t="s">
        <v>144</v>
      </c>
      <c r="B41" s="812">
        <v>7.4999999999999997E-3</v>
      </c>
      <c r="C41" s="57" t="s">
        <v>74</v>
      </c>
      <c r="D41" s="59">
        <v>0.05</v>
      </c>
      <c r="E41" s="59">
        <v>0.09</v>
      </c>
      <c r="F41" s="59">
        <v>0.09</v>
      </c>
      <c r="G41" s="59">
        <v>0.09</v>
      </c>
      <c r="H41" s="59">
        <v>0.09</v>
      </c>
      <c r="I41" s="59">
        <v>0.09</v>
      </c>
      <c r="J41" s="59">
        <v>0.09</v>
      </c>
      <c r="K41" s="59">
        <v>0.09</v>
      </c>
      <c r="L41" s="59">
        <v>0.09</v>
      </c>
      <c r="M41" s="59">
        <v>0.09</v>
      </c>
      <c r="N41" s="59">
        <v>0.09</v>
      </c>
      <c r="O41" s="59">
        <v>0.05</v>
      </c>
      <c r="P41" s="157">
        <f t="shared" si="2"/>
        <v>0.99999999999999989</v>
      </c>
      <c r="Q41" s="521" t="s">
        <v>145</v>
      </c>
      <c r="R41" s="521"/>
      <c r="S41" s="521"/>
      <c r="T41" s="521"/>
      <c r="U41" s="521"/>
      <c r="V41" s="521"/>
      <c r="W41" s="521"/>
      <c r="X41" s="521"/>
      <c r="Y41" s="521"/>
      <c r="Z41" s="521"/>
      <c r="AA41" s="521"/>
      <c r="AB41" s="522"/>
      <c r="AD41" s="350"/>
    </row>
    <row r="42" spans="1:41" s="138" customFormat="1" ht="84.75" customHeight="1">
      <c r="A42" s="493"/>
      <c r="B42" s="812"/>
      <c r="C42" s="58" t="s">
        <v>75</v>
      </c>
      <c r="D42" s="10">
        <v>0</v>
      </c>
      <c r="E42" s="10">
        <v>0.11</v>
      </c>
      <c r="F42" s="10">
        <v>0.12</v>
      </c>
      <c r="G42" s="10">
        <v>0.09</v>
      </c>
      <c r="H42" s="10">
        <v>0.09</v>
      </c>
      <c r="I42" s="10">
        <v>0.09</v>
      </c>
      <c r="J42" s="10">
        <v>0.09</v>
      </c>
      <c r="K42" s="10">
        <v>0.09</v>
      </c>
      <c r="L42" s="10">
        <v>0.09</v>
      </c>
      <c r="M42" s="10">
        <v>0.09</v>
      </c>
      <c r="N42" s="10">
        <v>0.09</v>
      </c>
      <c r="O42" s="10">
        <v>0.05</v>
      </c>
      <c r="P42" s="157">
        <f t="shared" si="2"/>
        <v>0.99999999999999978</v>
      </c>
      <c r="Q42" s="521" t="e">
        <f t="array" ref="Q42">-Documento con la oferta desglosada de talleres de cambio cultural para ofrecer en el marco de la red de alianzas del cuidado.</f>
        <v>#NAME?</v>
      </c>
      <c r="R42" s="521"/>
      <c r="S42" s="521"/>
      <c r="T42" s="521"/>
      <c r="U42" s="521"/>
      <c r="V42" s="521"/>
      <c r="W42" s="521"/>
      <c r="X42" s="521"/>
      <c r="Y42" s="521"/>
      <c r="Z42" s="521"/>
      <c r="AA42" s="521"/>
      <c r="AB42" s="522"/>
      <c r="AD42" s="350"/>
      <c r="AE42" s="131"/>
      <c r="AF42" s="131"/>
      <c r="AG42" s="131"/>
      <c r="AH42" s="131"/>
      <c r="AI42" s="131"/>
      <c r="AJ42" s="131"/>
      <c r="AK42" s="131"/>
      <c r="AL42" s="131"/>
      <c r="AM42" s="131"/>
      <c r="AN42" s="131"/>
      <c r="AO42" s="131"/>
    </row>
    <row r="43" spans="1:41" s="138" customFormat="1" ht="25.35" customHeight="1">
      <c r="A43" s="442"/>
      <c r="B43" s="60"/>
      <c r="C43" s="58"/>
      <c r="D43" s="60"/>
      <c r="E43" s="60"/>
      <c r="F43" s="60"/>
      <c r="G43" s="60"/>
      <c r="H43" s="60"/>
      <c r="I43" s="60"/>
      <c r="J43" s="60"/>
      <c r="K43" s="60"/>
      <c r="L43" s="60"/>
      <c r="M43" s="60"/>
      <c r="N43" s="60"/>
      <c r="O43" s="60"/>
      <c r="P43" s="141">
        <f t="shared" si="2"/>
        <v>0</v>
      </c>
      <c r="Q43" s="521" t="e">
        <f t="array" ref="Q43">-Guion para el video promocional de la red de alianzas del cuidado. el vídeo hace parte de los materiales gratuitos que se les entregarán a las organizaciones vinculadas a la red con el fin de que amplifiquen el mensaje de la redistribución de los cuidados al interior de sus organizaciones y al exterior a través de sus redes sociales y página web.</f>
        <v>#NAME?</v>
      </c>
      <c r="R43" s="521"/>
      <c r="S43" s="521"/>
      <c r="T43" s="521"/>
      <c r="U43" s="521"/>
      <c r="V43" s="521"/>
      <c r="W43" s="521"/>
      <c r="X43" s="521"/>
      <c r="Y43" s="521"/>
      <c r="Z43" s="521"/>
      <c r="AA43" s="521"/>
      <c r="AB43" s="522"/>
      <c r="AD43" s="350">
        <f>LEN(Q41)</f>
        <v>1617</v>
      </c>
    </row>
    <row r="44" spans="1:41" ht="111.95" customHeight="1">
      <c r="A44" s="493" t="s">
        <v>146</v>
      </c>
      <c r="B44" s="812">
        <v>1.4999999999999999E-2</v>
      </c>
      <c r="C44" s="57" t="s">
        <v>74</v>
      </c>
      <c r="D44" s="59">
        <v>0.05</v>
      </c>
      <c r="E44" s="59">
        <v>0.09</v>
      </c>
      <c r="F44" s="59">
        <v>0.09</v>
      </c>
      <c r="G44" s="59">
        <v>0.09</v>
      </c>
      <c r="H44" s="59">
        <v>0.09</v>
      </c>
      <c r="I44" s="59">
        <v>0.09</v>
      </c>
      <c r="J44" s="59">
        <v>0.09</v>
      </c>
      <c r="K44" s="59">
        <v>0.09</v>
      </c>
      <c r="L44" s="59">
        <v>0.09</v>
      </c>
      <c r="M44" s="59">
        <v>0.09</v>
      </c>
      <c r="N44" s="59">
        <v>0.09</v>
      </c>
      <c r="O44" s="59">
        <v>0.05</v>
      </c>
      <c r="P44" s="157">
        <f t="shared" si="2"/>
        <v>0.99999999999999989</v>
      </c>
      <c r="Q44" s="523" t="s">
        <v>397</v>
      </c>
      <c r="R44" s="523"/>
      <c r="S44" s="523"/>
      <c r="T44" s="523"/>
      <c r="U44" s="523"/>
      <c r="V44" s="523"/>
      <c r="W44" s="523"/>
      <c r="X44" s="523"/>
      <c r="Y44" s="523"/>
      <c r="Z44" s="523"/>
      <c r="AA44" s="523"/>
      <c r="AB44" s="524"/>
      <c r="AE44" s="842"/>
    </row>
    <row r="45" spans="1:41" s="138" customFormat="1" ht="111.95" customHeight="1">
      <c r="A45" s="493"/>
      <c r="B45" s="812"/>
      <c r="C45" s="58" t="s">
        <v>75</v>
      </c>
      <c r="D45" s="10">
        <v>0.05</v>
      </c>
      <c r="E45" s="10">
        <v>0.09</v>
      </c>
      <c r="F45" s="10">
        <v>0.09</v>
      </c>
      <c r="G45" s="10">
        <v>0.09</v>
      </c>
      <c r="H45" s="10">
        <v>0.09</v>
      </c>
      <c r="I45" s="10">
        <v>0.09</v>
      </c>
      <c r="J45" s="10">
        <v>0.09</v>
      </c>
      <c r="K45" s="10">
        <v>0.09</v>
      </c>
      <c r="L45" s="10">
        <v>0.09</v>
      </c>
      <c r="M45" s="10">
        <v>0.09</v>
      </c>
      <c r="N45" s="10">
        <v>0.09</v>
      </c>
      <c r="O45" s="10">
        <v>0.05</v>
      </c>
      <c r="P45" s="157">
        <f t="shared" si="2"/>
        <v>0.99999999999999989</v>
      </c>
      <c r="Q45" s="523" t="e">
        <f t="array" ref="Q45">-Certificado de vinculación a la red y acta de compromisos que asume la entidad/organización que se vincula a la red.</f>
        <v>#NAME?</v>
      </c>
      <c r="R45" s="523"/>
      <c r="S45" s="523"/>
      <c r="T45" s="523"/>
      <c r="U45" s="523"/>
      <c r="V45" s="523"/>
      <c r="W45" s="523"/>
      <c r="X45" s="523"/>
      <c r="Y45" s="523"/>
      <c r="Z45" s="523"/>
      <c r="AA45" s="523"/>
      <c r="AB45" s="524"/>
      <c r="AD45" s="131"/>
      <c r="AE45" s="842"/>
      <c r="AF45" s="131">
        <f>+LEN(AE44)</f>
        <v>0</v>
      </c>
      <c r="AG45" s="131"/>
      <c r="AH45" s="131"/>
      <c r="AI45" s="131"/>
      <c r="AJ45" s="131"/>
      <c r="AK45" s="131"/>
      <c r="AL45" s="131"/>
      <c r="AM45" s="131"/>
      <c r="AN45" s="131"/>
      <c r="AO45" s="131"/>
    </row>
    <row r="46" spans="1:41" s="138" customFormat="1" ht="25.35" customHeight="1">
      <c r="A46" s="442"/>
      <c r="B46" s="60"/>
      <c r="C46" s="58"/>
      <c r="D46" s="60"/>
      <c r="E46" s="60"/>
      <c r="F46" s="60"/>
      <c r="G46" s="60"/>
      <c r="H46" s="60"/>
      <c r="I46" s="60"/>
      <c r="J46" s="60"/>
      <c r="K46" s="60"/>
      <c r="L46" s="60"/>
      <c r="M46" s="60"/>
      <c r="N46" s="60"/>
      <c r="O46" s="60"/>
      <c r="P46" s="141">
        <f>SUM(D46:O46)</f>
        <v>0</v>
      </c>
      <c r="Q46" s="523"/>
      <c r="R46" s="523"/>
      <c r="S46" s="523"/>
      <c r="T46" s="523"/>
      <c r="U46" s="523"/>
      <c r="V46" s="523"/>
      <c r="W46" s="523"/>
      <c r="X46" s="523"/>
      <c r="Y46" s="523"/>
      <c r="Z46" s="523"/>
      <c r="AA46" s="523"/>
      <c r="AB46" s="524"/>
      <c r="AD46" s="350">
        <f>LEN(Q44)</f>
        <v>1925</v>
      </c>
    </row>
    <row r="47" spans="1:41" ht="25.35" customHeight="1">
      <c r="A47" s="493" t="s">
        <v>147</v>
      </c>
      <c r="B47" s="812">
        <v>7.4999999999999997E-3</v>
      </c>
      <c r="C47" s="57" t="s">
        <v>74</v>
      </c>
      <c r="D47" s="59">
        <v>0</v>
      </c>
      <c r="E47" s="59">
        <v>0</v>
      </c>
      <c r="F47" s="59">
        <v>0</v>
      </c>
      <c r="G47" s="59">
        <v>0.11</v>
      </c>
      <c r="H47" s="59">
        <v>0.11</v>
      </c>
      <c r="I47" s="59">
        <v>0.11</v>
      </c>
      <c r="J47" s="59">
        <v>0.11</v>
      </c>
      <c r="K47" s="59">
        <v>0.11</v>
      </c>
      <c r="L47" s="59">
        <v>0.11</v>
      </c>
      <c r="M47" s="59">
        <v>0.11</v>
      </c>
      <c r="N47" s="59">
        <v>0.11</v>
      </c>
      <c r="O47" s="59">
        <v>0.12</v>
      </c>
      <c r="P47" s="157">
        <f>SUM(D47:O47)</f>
        <v>1</v>
      </c>
      <c r="Q47" s="521" t="s">
        <v>148</v>
      </c>
      <c r="R47" s="521"/>
      <c r="S47" s="521"/>
      <c r="T47" s="521"/>
      <c r="U47" s="521"/>
      <c r="V47" s="521"/>
      <c r="W47" s="521"/>
      <c r="X47" s="521"/>
      <c r="Y47" s="521"/>
      <c r="Z47" s="521"/>
      <c r="AA47" s="521"/>
      <c r="AB47" s="522"/>
      <c r="AC47" s="56"/>
      <c r="AE47" s="136"/>
      <c r="AF47" s="825"/>
      <c r="AG47" s="825"/>
      <c r="AH47" s="825"/>
      <c r="AI47" s="825"/>
      <c r="AJ47" s="136"/>
      <c r="AK47" s="136"/>
      <c r="AL47" s="136"/>
      <c r="AM47" s="136"/>
      <c r="AN47" s="131"/>
    </row>
    <row r="48" spans="1:41" ht="25.35" customHeight="1">
      <c r="A48" s="493"/>
      <c r="B48" s="812"/>
      <c r="C48" s="58" t="s">
        <v>75</v>
      </c>
      <c r="D48" s="10">
        <v>0</v>
      </c>
      <c r="E48" s="10">
        <v>0</v>
      </c>
      <c r="F48" s="10">
        <v>0</v>
      </c>
      <c r="G48" s="10">
        <v>0.11</v>
      </c>
      <c r="H48" s="10">
        <v>0.11</v>
      </c>
      <c r="I48" s="10">
        <v>0.11</v>
      </c>
      <c r="J48" s="10">
        <v>0.11</v>
      </c>
      <c r="K48" s="10">
        <v>0.11</v>
      </c>
      <c r="L48" s="10">
        <v>0.4</v>
      </c>
      <c r="M48" s="10">
        <v>0.05</v>
      </c>
      <c r="N48" s="10"/>
      <c r="O48" s="10"/>
      <c r="P48" s="157">
        <f>SUM(D48:O48)</f>
        <v>1</v>
      </c>
      <c r="Q48" s="521"/>
      <c r="R48" s="521"/>
      <c r="S48" s="521"/>
      <c r="T48" s="521"/>
      <c r="U48" s="521"/>
      <c r="V48" s="521"/>
      <c r="W48" s="521"/>
      <c r="X48" s="521"/>
      <c r="Y48" s="521"/>
      <c r="Z48" s="521"/>
      <c r="AA48" s="521"/>
      <c r="AB48" s="522"/>
      <c r="AC48" s="56"/>
      <c r="AE48" s="131"/>
      <c r="AF48" s="825"/>
      <c r="AG48" s="825"/>
      <c r="AH48" s="825"/>
      <c r="AI48" s="825"/>
      <c r="AJ48" s="131"/>
      <c r="AK48" s="131"/>
      <c r="AL48" s="131"/>
      <c r="AM48" s="131"/>
      <c r="AN48" s="131"/>
    </row>
    <row r="49" spans="1:35" s="138" customFormat="1" ht="25.35" customHeight="1" thickBot="1">
      <c r="A49" s="443"/>
      <c r="B49" s="158"/>
      <c r="C49" s="444"/>
      <c r="D49" s="158"/>
      <c r="E49" s="158"/>
      <c r="F49" s="158"/>
      <c r="G49" s="158"/>
      <c r="H49" s="158"/>
      <c r="I49" s="158"/>
      <c r="J49" s="158"/>
      <c r="K49" s="158"/>
      <c r="L49" s="158"/>
      <c r="M49" s="158"/>
      <c r="N49" s="158"/>
      <c r="O49" s="158"/>
      <c r="P49" s="445">
        <f>SUM(D49:O49)</f>
        <v>0</v>
      </c>
      <c r="Q49" s="813"/>
      <c r="R49" s="813"/>
      <c r="S49" s="813"/>
      <c r="T49" s="813"/>
      <c r="U49" s="813"/>
      <c r="V49" s="813"/>
      <c r="W49" s="813"/>
      <c r="X49" s="813"/>
      <c r="Y49" s="813"/>
      <c r="Z49" s="813"/>
      <c r="AA49" s="813"/>
      <c r="AB49" s="814"/>
      <c r="AD49" s="350">
        <f>LEN(Q47)</f>
        <v>213</v>
      </c>
      <c r="AF49" s="825"/>
      <c r="AG49" s="825"/>
      <c r="AH49" s="825"/>
      <c r="AI49" s="825"/>
    </row>
    <row r="50" spans="1:35" ht="17.25" hidden="1" customHeight="1" thickBot="1">
      <c r="A50" s="2"/>
      <c r="B50" s="3"/>
      <c r="C50" s="3"/>
      <c r="D50" s="3"/>
      <c r="E50" s="3"/>
      <c r="F50" s="3"/>
      <c r="G50" s="3"/>
      <c r="H50" s="3"/>
      <c r="I50" s="3"/>
      <c r="J50" s="3"/>
      <c r="K50" s="3"/>
      <c r="L50" s="3"/>
      <c r="M50" s="3"/>
      <c r="N50" s="3"/>
      <c r="O50" s="3"/>
      <c r="P50" s="3"/>
      <c r="Q50" s="3"/>
      <c r="R50" s="3"/>
      <c r="S50" s="3"/>
      <c r="T50" s="3"/>
      <c r="U50" s="3"/>
      <c r="V50" s="3"/>
      <c r="W50" s="3"/>
      <c r="X50" s="171"/>
      <c r="Y50" s="3"/>
      <c r="Z50" s="3"/>
      <c r="AA50" s="3"/>
    </row>
    <row r="51" spans="1:35" ht="27" hidden="1" customHeight="1">
      <c r="A51" s="499" t="s">
        <v>88</v>
      </c>
      <c r="B51" s="502" t="s">
        <v>89</v>
      </c>
      <c r="C51" s="503"/>
      <c r="D51" s="503"/>
      <c r="E51" s="503"/>
      <c r="F51" s="503"/>
      <c r="G51" s="504"/>
      <c r="H51" s="505" t="s">
        <v>90</v>
      </c>
      <c r="I51" s="506"/>
      <c r="J51" s="506"/>
      <c r="K51" s="506"/>
      <c r="L51" s="506"/>
      <c r="M51" s="506"/>
      <c r="N51" s="502" t="s">
        <v>89</v>
      </c>
      <c r="O51" s="503"/>
      <c r="P51" s="503"/>
      <c r="Q51" s="503"/>
      <c r="R51" s="503"/>
      <c r="S51" s="504"/>
      <c r="T51" s="511" t="s">
        <v>91</v>
      </c>
      <c r="U51" s="512"/>
      <c r="V51" s="512"/>
      <c r="W51" s="513"/>
      <c r="X51" s="502" t="s">
        <v>92</v>
      </c>
      <c r="Y51" s="503"/>
      <c r="Z51" s="503"/>
      <c r="AA51" s="503"/>
      <c r="AB51" s="520"/>
    </row>
    <row r="52" spans="1:35" ht="27" hidden="1" customHeight="1">
      <c r="A52" s="500"/>
      <c r="B52" s="485" t="s">
        <v>93</v>
      </c>
      <c r="C52" s="486"/>
      <c r="D52" s="486"/>
      <c r="E52" s="486"/>
      <c r="F52" s="486"/>
      <c r="G52" s="487"/>
      <c r="H52" s="507"/>
      <c r="I52" s="508"/>
      <c r="J52" s="508"/>
      <c r="K52" s="508"/>
      <c r="L52" s="508"/>
      <c r="M52" s="508"/>
      <c r="N52" s="485" t="s">
        <v>94</v>
      </c>
      <c r="O52" s="486"/>
      <c r="P52" s="486"/>
      <c r="Q52" s="486"/>
      <c r="R52" s="486"/>
      <c r="S52" s="487"/>
      <c r="T52" s="514"/>
      <c r="U52" s="515"/>
      <c r="V52" s="515"/>
      <c r="W52" s="516"/>
      <c r="X52" s="485" t="s">
        <v>95</v>
      </c>
      <c r="Y52" s="486"/>
      <c r="Z52" s="486"/>
      <c r="AA52" s="486"/>
      <c r="AB52" s="488"/>
    </row>
    <row r="53" spans="1:35" ht="27" hidden="1" customHeight="1" thickBot="1">
      <c r="A53" s="501"/>
      <c r="B53" s="489" t="s">
        <v>96</v>
      </c>
      <c r="C53" s="490"/>
      <c r="D53" s="490"/>
      <c r="E53" s="490"/>
      <c r="F53" s="490"/>
      <c r="G53" s="491"/>
      <c r="H53" s="509"/>
      <c r="I53" s="510"/>
      <c r="J53" s="510"/>
      <c r="K53" s="510"/>
      <c r="L53" s="510"/>
      <c r="M53" s="510"/>
      <c r="N53" s="489" t="s">
        <v>97</v>
      </c>
      <c r="O53" s="490"/>
      <c r="P53" s="490"/>
      <c r="Q53" s="490"/>
      <c r="R53" s="490"/>
      <c r="S53" s="491"/>
      <c r="T53" s="517"/>
      <c r="U53" s="518"/>
      <c r="V53" s="518"/>
      <c r="W53" s="519"/>
      <c r="X53" s="489" t="s">
        <v>98</v>
      </c>
      <c r="Y53" s="490"/>
      <c r="Z53" s="490"/>
      <c r="AA53" s="490"/>
      <c r="AB53" s="492"/>
    </row>
    <row r="54" spans="1:35" hidden="1"/>
    <row r="55" spans="1:35" hidden="1"/>
    <row r="56" spans="1:35" hidden="1"/>
    <row r="57" spans="1:35" hidden="1"/>
    <row r="58" spans="1:35" s="278" customFormat="1" ht="22.35" hidden="1" customHeight="1">
      <c r="A58" s="797" t="s">
        <v>66</v>
      </c>
      <c r="B58" s="797" t="s">
        <v>67</v>
      </c>
      <c r="C58" s="799" t="s">
        <v>68</v>
      </c>
      <c r="D58" s="800"/>
      <c r="E58" s="800"/>
      <c r="F58" s="800"/>
      <c r="G58" s="800"/>
      <c r="H58" s="800"/>
      <c r="I58" s="800"/>
      <c r="J58" s="800"/>
      <c r="K58" s="800"/>
      <c r="L58" s="800"/>
      <c r="M58" s="800"/>
      <c r="N58" s="800"/>
      <c r="O58" s="800"/>
      <c r="P58" s="801"/>
      <c r="AE58" s="138"/>
      <c r="AF58" s="138"/>
      <c r="AG58" s="138"/>
    </row>
    <row r="59" spans="1:35" s="278" customFormat="1" ht="22.35" hidden="1" customHeight="1">
      <c r="A59" s="798"/>
      <c r="B59" s="798"/>
      <c r="C59" s="298" t="s">
        <v>70</v>
      </c>
      <c r="D59" s="298" t="s">
        <v>99</v>
      </c>
      <c r="E59" s="298" t="s">
        <v>100</v>
      </c>
      <c r="F59" s="298" t="s">
        <v>101</v>
      </c>
      <c r="G59" s="298" t="s">
        <v>102</v>
      </c>
      <c r="H59" s="298" t="s">
        <v>103</v>
      </c>
      <c r="I59" s="298" t="s">
        <v>104</v>
      </c>
      <c r="J59" s="298" t="s">
        <v>105</v>
      </c>
      <c r="K59" s="298" t="s">
        <v>106</v>
      </c>
      <c r="L59" s="298" t="s">
        <v>107</v>
      </c>
      <c r="M59" s="298" t="s">
        <v>108</v>
      </c>
      <c r="N59" s="298" t="s">
        <v>109</v>
      </c>
      <c r="O59" s="298" t="s">
        <v>110</v>
      </c>
      <c r="P59" s="298" t="s">
        <v>71</v>
      </c>
      <c r="AE59" s="138"/>
      <c r="AF59" s="138"/>
      <c r="AG59" s="138"/>
    </row>
    <row r="60" spans="1:35" s="283" customFormat="1" ht="13.35" hidden="1" customHeight="1">
      <c r="A60" s="795" t="str">
        <f>+A35</f>
        <v>Diseño del componente de sensibilización de la estrategia de cambio cultural
[Talleres: mujeres - hombres]</v>
      </c>
      <c r="B60" s="795">
        <f>+B35</f>
        <v>1.4999999999999999E-2</v>
      </c>
      <c r="C60" s="299" t="s">
        <v>74</v>
      </c>
      <c r="D60" s="300">
        <f>+D35*$B$35/$P$35</f>
        <v>7.5000000000000012E-4</v>
      </c>
      <c r="E60" s="300">
        <f t="shared" ref="E60:O61" si="3">+E35*$B$35/$P$35</f>
        <v>1.3500000000000001E-3</v>
      </c>
      <c r="F60" s="300">
        <f t="shared" si="3"/>
        <v>1.3500000000000001E-3</v>
      </c>
      <c r="G60" s="300">
        <f t="shared" si="3"/>
        <v>1.3500000000000001E-3</v>
      </c>
      <c r="H60" s="300">
        <f t="shared" si="3"/>
        <v>1.3500000000000001E-3</v>
      </c>
      <c r="I60" s="300">
        <f t="shared" si="3"/>
        <v>1.3500000000000001E-3</v>
      </c>
      <c r="J60" s="300">
        <f t="shared" si="3"/>
        <v>1.3500000000000001E-3</v>
      </c>
      <c r="K60" s="300">
        <f t="shared" si="3"/>
        <v>1.3500000000000001E-3</v>
      </c>
      <c r="L60" s="300">
        <f t="shared" si="3"/>
        <v>1.3500000000000001E-3</v>
      </c>
      <c r="M60" s="300">
        <f t="shared" si="3"/>
        <v>1.3500000000000001E-3</v>
      </c>
      <c r="N60" s="300">
        <f t="shared" si="3"/>
        <v>1.3500000000000001E-3</v>
      </c>
      <c r="O60" s="300">
        <f t="shared" si="3"/>
        <v>7.5000000000000012E-4</v>
      </c>
      <c r="P60" s="301">
        <f t="shared" ref="P60:P69" si="4">SUM(D60:O60)</f>
        <v>1.5000000000000005E-2</v>
      </c>
      <c r="AE60" s="139"/>
      <c r="AF60" s="139"/>
      <c r="AG60" s="139"/>
    </row>
    <row r="61" spans="1:35" s="283" customFormat="1" ht="13.35" hidden="1" customHeight="1">
      <c r="A61" s="796"/>
      <c r="B61" s="796"/>
      <c r="C61" s="302" t="s">
        <v>75</v>
      </c>
      <c r="D61" s="303">
        <f>+D36*$B$35/$P$35</f>
        <v>4.5000000000000004E-4</v>
      </c>
      <c r="E61" s="303">
        <f t="shared" si="3"/>
        <v>1.6500000000000002E-3</v>
      </c>
      <c r="F61" s="303">
        <f t="shared" si="3"/>
        <v>1.3500000000000001E-3</v>
      </c>
      <c r="G61" s="303">
        <f t="shared" si="3"/>
        <v>1.3500000000000001E-3</v>
      </c>
      <c r="H61" s="303">
        <f t="shared" si="3"/>
        <v>1.3500000000000001E-3</v>
      </c>
      <c r="I61" s="303">
        <f t="shared" si="3"/>
        <v>1.3500000000000001E-3</v>
      </c>
      <c r="J61" s="303">
        <f t="shared" si="3"/>
        <v>1.3500000000000001E-3</v>
      </c>
      <c r="K61" s="303">
        <f t="shared" si="3"/>
        <v>1.3500000000000001E-3</v>
      </c>
      <c r="L61" s="303">
        <f t="shared" si="3"/>
        <v>1.3500000000000001E-3</v>
      </c>
      <c r="M61" s="303">
        <f t="shared" si="3"/>
        <v>1.3500000000000001E-3</v>
      </c>
      <c r="N61" s="303">
        <f t="shared" si="3"/>
        <v>1.3500000000000001E-3</v>
      </c>
      <c r="O61" s="303">
        <f t="shared" si="3"/>
        <v>7.5000000000000012E-4</v>
      </c>
      <c r="P61" s="304">
        <f t="shared" si="4"/>
        <v>1.5000000000000005E-2</v>
      </c>
      <c r="AE61" s="139"/>
      <c r="AF61" s="139"/>
      <c r="AG61" s="139"/>
    </row>
    <row r="62" spans="1:35" s="283" customFormat="1" ht="13.35" hidden="1" customHeight="1">
      <c r="A62" s="795" t="str">
        <f>+A38</f>
        <v xml:space="preserve">Diseño y ajuste del componente de amplificación [Red de Aliados del Cuidado] </v>
      </c>
      <c r="B62" s="795">
        <f>+B38</f>
        <v>1.4999999999999999E-2</v>
      </c>
      <c r="C62" s="299" t="s">
        <v>74</v>
      </c>
      <c r="D62" s="300">
        <f>+D38*$B$38/$P$38</f>
        <v>7.5000000000000012E-4</v>
      </c>
      <c r="E62" s="300">
        <f t="shared" ref="E62:O62" si="5">+E38*$B$38/$P$38</f>
        <v>1.3500000000000001E-3</v>
      </c>
      <c r="F62" s="300">
        <f t="shared" si="5"/>
        <v>1.3500000000000001E-3</v>
      </c>
      <c r="G62" s="300">
        <f t="shared" si="5"/>
        <v>1.3500000000000001E-3</v>
      </c>
      <c r="H62" s="300">
        <f t="shared" si="5"/>
        <v>1.3500000000000001E-3</v>
      </c>
      <c r="I62" s="300">
        <f t="shared" si="5"/>
        <v>1.3500000000000001E-3</v>
      </c>
      <c r="J62" s="300">
        <f t="shared" si="5"/>
        <v>1.3500000000000001E-3</v>
      </c>
      <c r="K62" s="300">
        <f t="shared" si="5"/>
        <v>1.3500000000000001E-3</v>
      </c>
      <c r="L62" s="300">
        <f t="shared" si="5"/>
        <v>1.3500000000000001E-3</v>
      </c>
      <c r="M62" s="300">
        <f t="shared" si="5"/>
        <v>1.3500000000000001E-3</v>
      </c>
      <c r="N62" s="300">
        <f t="shared" si="5"/>
        <v>1.3500000000000001E-3</v>
      </c>
      <c r="O62" s="300">
        <f t="shared" si="5"/>
        <v>7.5000000000000012E-4</v>
      </c>
      <c r="P62" s="301">
        <f t="shared" si="4"/>
        <v>1.5000000000000005E-2</v>
      </c>
      <c r="AE62" s="139"/>
      <c r="AF62" s="139"/>
      <c r="AG62" s="139"/>
    </row>
    <row r="63" spans="1:35" s="283" customFormat="1" ht="13.35" hidden="1" customHeight="1">
      <c r="A63" s="796"/>
      <c r="B63" s="796"/>
      <c r="C63" s="302" t="s">
        <v>75</v>
      </c>
      <c r="D63" s="303">
        <f t="shared" ref="D63:O63" si="6">+D39*$B$38/$P$38</f>
        <v>7.5000000000000012E-4</v>
      </c>
      <c r="E63" s="303">
        <f t="shared" si="6"/>
        <v>1.3500000000000001E-3</v>
      </c>
      <c r="F63" s="303">
        <f t="shared" si="6"/>
        <v>1.3500000000000001E-3</v>
      </c>
      <c r="G63" s="303">
        <f t="shared" si="6"/>
        <v>1.3500000000000001E-3</v>
      </c>
      <c r="H63" s="303">
        <f t="shared" si="6"/>
        <v>1.3500000000000001E-3</v>
      </c>
      <c r="I63" s="303">
        <f t="shared" si="6"/>
        <v>1.3500000000000001E-3</v>
      </c>
      <c r="J63" s="303">
        <f t="shared" si="6"/>
        <v>1.3500000000000001E-3</v>
      </c>
      <c r="K63" s="303">
        <f t="shared" si="6"/>
        <v>1.3500000000000001E-3</v>
      </c>
      <c r="L63" s="303">
        <f t="shared" si="6"/>
        <v>1.3500000000000001E-3</v>
      </c>
      <c r="M63" s="303">
        <f t="shared" si="6"/>
        <v>1.3500000000000001E-3</v>
      </c>
      <c r="N63" s="303">
        <f t="shared" si="6"/>
        <v>2.1000000000000007E-3</v>
      </c>
      <c r="O63" s="303">
        <f t="shared" si="6"/>
        <v>0</v>
      </c>
      <c r="P63" s="304">
        <f t="shared" si="4"/>
        <v>1.5000000000000005E-2</v>
      </c>
      <c r="AE63" s="139"/>
      <c r="AF63" s="139"/>
      <c r="AG63" s="139"/>
    </row>
    <row r="64" spans="1:35" s="283" customFormat="1" ht="13.35" hidden="1" customHeight="1">
      <c r="A64" s="795" t="str">
        <f>+A41</f>
        <v>Diseño al componente de formación 
[Escuela del cuidado para hombres]</v>
      </c>
      <c r="B64" s="795">
        <f>+B41</f>
        <v>7.4999999999999997E-3</v>
      </c>
      <c r="C64" s="299" t="s">
        <v>74</v>
      </c>
      <c r="D64" s="300">
        <f>+D41*$B$41/$P$41</f>
        <v>3.7500000000000006E-4</v>
      </c>
      <c r="E64" s="300">
        <f t="shared" ref="E64:O64" si="7">+E41*$B$41/$P$41</f>
        <v>6.7500000000000004E-4</v>
      </c>
      <c r="F64" s="300">
        <f t="shared" si="7"/>
        <v>6.7500000000000004E-4</v>
      </c>
      <c r="G64" s="300">
        <f t="shared" si="7"/>
        <v>6.7500000000000004E-4</v>
      </c>
      <c r="H64" s="300">
        <f t="shared" si="7"/>
        <v>6.7500000000000004E-4</v>
      </c>
      <c r="I64" s="300">
        <f t="shared" si="7"/>
        <v>6.7500000000000004E-4</v>
      </c>
      <c r="J64" s="300">
        <f t="shared" si="7"/>
        <v>6.7500000000000004E-4</v>
      </c>
      <c r="K64" s="300">
        <f t="shared" si="7"/>
        <v>6.7500000000000004E-4</v>
      </c>
      <c r="L64" s="300">
        <f t="shared" si="7"/>
        <v>6.7500000000000004E-4</v>
      </c>
      <c r="M64" s="300">
        <f t="shared" si="7"/>
        <v>6.7500000000000004E-4</v>
      </c>
      <c r="N64" s="300">
        <f t="shared" si="7"/>
        <v>6.7500000000000004E-4</v>
      </c>
      <c r="O64" s="300">
        <f t="shared" si="7"/>
        <v>3.7500000000000006E-4</v>
      </c>
      <c r="P64" s="301">
        <f t="shared" si="4"/>
        <v>7.5000000000000023E-3</v>
      </c>
      <c r="AE64" s="139"/>
      <c r="AF64" s="139"/>
      <c r="AG64" s="139"/>
    </row>
    <row r="65" spans="1:33" s="283" customFormat="1" ht="13.35" hidden="1" customHeight="1">
      <c r="A65" s="796"/>
      <c r="B65" s="796"/>
      <c r="C65" s="302" t="s">
        <v>75</v>
      </c>
      <c r="D65" s="303">
        <f t="shared" ref="D65:O65" si="8">+D42*$B$41/$P$41</f>
        <v>0</v>
      </c>
      <c r="E65" s="303">
        <f t="shared" si="8"/>
        <v>8.250000000000001E-4</v>
      </c>
      <c r="F65" s="303">
        <f t="shared" si="8"/>
        <v>9.0000000000000008E-4</v>
      </c>
      <c r="G65" s="303">
        <f t="shared" si="8"/>
        <v>6.7500000000000004E-4</v>
      </c>
      <c r="H65" s="303">
        <f t="shared" si="8"/>
        <v>6.7500000000000004E-4</v>
      </c>
      <c r="I65" s="303">
        <f t="shared" si="8"/>
        <v>6.7500000000000004E-4</v>
      </c>
      <c r="J65" s="303">
        <f t="shared" si="8"/>
        <v>6.7500000000000004E-4</v>
      </c>
      <c r="K65" s="303">
        <f t="shared" si="8"/>
        <v>6.7500000000000004E-4</v>
      </c>
      <c r="L65" s="303">
        <f t="shared" si="8"/>
        <v>6.7500000000000004E-4</v>
      </c>
      <c r="M65" s="303">
        <f t="shared" si="8"/>
        <v>6.7500000000000004E-4</v>
      </c>
      <c r="N65" s="303">
        <f t="shared" si="8"/>
        <v>6.7500000000000004E-4</v>
      </c>
      <c r="O65" s="303">
        <f t="shared" si="8"/>
        <v>3.7500000000000006E-4</v>
      </c>
      <c r="P65" s="304">
        <f t="shared" si="4"/>
        <v>7.5000000000000023E-3</v>
      </c>
      <c r="AE65" s="139"/>
      <c r="AF65" s="139"/>
      <c r="AG65" s="139"/>
    </row>
    <row r="66" spans="1:33" s="283" customFormat="1" ht="13.35" hidden="1" customHeight="1">
      <c r="A66" s="795" t="str">
        <f>+A44</f>
        <v>Diseño de la estrategia de comunicación</v>
      </c>
      <c r="B66" s="795">
        <f>+B44</f>
        <v>1.4999999999999999E-2</v>
      </c>
      <c r="C66" s="299" t="s">
        <v>74</v>
      </c>
      <c r="D66" s="300">
        <f>+D44*$B$44/$P$44</f>
        <v>7.5000000000000012E-4</v>
      </c>
      <c r="E66" s="300">
        <f t="shared" ref="E66:O66" si="9">+E44*$B$44/$P$44</f>
        <v>1.3500000000000001E-3</v>
      </c>
      <c r="F66" s="300">
        <f t="shared" si="9"/>
        <v>1.3500000000000001E-3</v>
      </c>
      <c r="G66" s="300">
        <f t="shared" si="9"/>
        <v>1.3500000000000001E-3</v>
      </c>
      <c r="H66" s="300">
        <f t="shared" si="9"/>
        <v>1.3500000000000001E-3</v>
      </c>
      <c r="I66" s="300">
        <f t="shared" si="9"/>
        <v>1.3500000000000001E-3</v>
      </c>
      <c r="J66" s="300">
        <f t="shared" si="9"/>
        <v>1.3500000000000001E-3</v>
      </c>
      <c r="K66" s="300">
        <f t="shared" si="9"/>
        <v>1.3500000000000001E-3</v>
      </c>
      <c r="L66" s="300">
        <f t="shared" si="9"/>
        <v>1.3500000000000001E-3</v>
      </c>
      <c r="M66" s="300">
        <f t="shared" si="9"/>
        <v>1.3500000000000001E-3</v>
      </c>
      <c r="N66" s="300">
        <f t="shared" si="9"/>
        <v>1.3500000000000001E-3</v>
      </c>
      <c r="O66" s="300">
        <f t="shared" si="9"/>
        <v>7.5000000000000012E-4</v>
      </c>
      <c r="P66" s="301">
        <f t="shared" si="4"/>
        <v>1.5000000000000005E-2</v>
      </c>
      <c r="AE66" s="139"/>
      <c r="AF66" s="139"/>
      <c r="AG66" s="139"/>
    </row>
    <row r="67" spans="1:33" s="283" customFormat="1" ht="13.35" hidden="1" customHeight="1">
      <c r="A67" s="796"/>
      <c r="B67" s="796"/>
      <c r="C67" s="302" t="s">
        <v>75</v>
      </c>
      <c r="D67" s="303">
        <f t="shared" ref="D67:O67" si="10">+D45*$B$44/$P$44</f>
        <v>7.5000000000000012E-4</v>
      </c>
      <c r="E67" s="303">
        <f t="shared" si="10"/>
        <v>1.3500000000000001E-3</v>
      </c>
      <c r="F67" s="303">
        <f t="shared" si="10"/>
        <v>1.3500000000000001E-3</v>
      </c>
      <c r="G67" s="303">
        <f t="shared" si="10"/>
        <v>1.3500000000000001E-3</v>
      </c>
      <c r="H67" s="303">
        <f t="shared" si="10"/>
        <v>1.3500000000000001E-3</v>
      </c>
      <c r="I67" s="303">
        <f t="shared" si="10"/>
        <v>1.3500000000000001E-3</v>
      </c>
      <c r="J67" s="303">
        <f t="shared" si="10"/>
        <v>1.3500000000000001E-3</v>
      </c>
      <c r="K67" s="303">
        <f t="shared" si="10"/>
        <v>1.3500000000000001E-3</v>
      </c>
      <c r="L67" s="303">
        <f t="shared" si="10"/>
        <v>1.3500000000000001E-3</v>
      </c>
      <c r="M67" s="303">
        <f t="shared" si="10"/>
        <v>1.3500000000000001E-3</v>
      </c>
      <c r="N67" s="303">
        <f t="shared" si="10"/>
        <v>1.3500000000000001E-3</v>
      </c>
      <c r="O67" s="303">
        <f t="shared" si="10"/>
        <v>7.5000000000000012E-4</v>
      </c>
      <c r="P67" s="304">
        <f t="shared" si="4"/>
        <v>1.5000000000000005E-2</v>
      </c>
      <c r="AE67" s="139"/>
      <c r="AF67" s="139"/>
      <c r="AG67" s="139"/>
    </row>
    <row r="68" spans="1:33" s="283" customFormat="1" ht="13.35" hidden="1" customHeight="1">
      <c r="A68" s="795" t="str">
        <f>+A47</f>
        <v xml:space="preserve">Actualización del documento de la Estrategia pedagogica y de cambio cultural </v>
      </c>
      <c r="B68" s="795">
        <f>+B47</f>
        <v>7.4999999999999997E-3</v>
      </c>
      <c r="C68" s="299" t="s">
        <v>74</v>
      </c>
      <c r="D68" s="300">
        <f>+D47*$B$47/$P$47</f>
        <v>0</v>
      </c>
      <c r="E68" s="300">
        <f t="shared" ref="E68:O68" si="11">+E47*$B$47/$P$47</f>
        <v>0</v>
      </c>
      <c r="F68" s="300">
        <f t="shared" si="11"/>
        <v>0</v>
      </c>
      <c r="G68" s="300">
        <f t="shared" si="11"/>
        <v>8.25E-4</v>
      </c>
      <c r="H68" s="300">
        <f t="shared" si="11"/>
        <v>8.25E-4</v>
      </c>
      <c r="I68" s="300">
        <f t="shared" si="11"/>
        <v>8.25E-4</v>
      </c>
      <c r="J68" s="300">
        <f t="shared" si="11"/>
        <v>8.25E-4</v>
      </c>
      <c r="K68" s="300">
        <f t="shared" si="11"/>
        <v>8.25E-4</v>
      </c>
      <c r="L68" s="300">
        <f t="shared" si="11"/>
        <v>8.25E-4</v>
      </c>
      <c r="M68" s="300">
        <f t="shared" si="11"/>
        <v>8.25E-4</v>
      </c>
      <c r="N68" s="300">
        <f t="shared" si="11"/>
        <v>8.25E-4</v>
      </c>
      <c r="O68" s="300">
        <f t="shared" si="11"/>
        <v>8.9999999999999998E-4</v>
      </c>
      <c r="P68" s="301">
        <f t="shared" si="4"/>
        <v>7.5000000000000006E-3</v>
      </c>
      <c r="AE68" s="139"/>
      <c r="AF68" s="139"/>
      <c r="AG68" s="139"/>
    </row>
    <row r="69" spans="1:33" s="283" customFormat="1" ht="13.35" hidden="1" customHeight="1">
      <c r="A69" s="796"/>
      <c r="B69" s="796"/>
      <c r="C69" s="302" t="s">
        <v>75</v>
      </c>
      <c r="D69" s="303">
        <f t="shared" ref="D69:O69" si="12">+D48*$B$47/$P$47</f>
        <v>0</v>
      </c>
      <c r="E69" s="303">
        <f t="shared" si="12"/>
        <v>0</v>
      </c>
      <c r="F69" s="303">
        <f t="shared" si="12"/>
        <v>0</v>
      </c>
      <c r="G69" s="303">
        <f t="shared" si="12"/>
        <v>8.25E-4</v>
      </c>
      <c r="H69" s="303">
        <f t="shared" si="12"/>
        <v>8.25E-4</v>
      </c>
      <c r="I69" s="303">
        <f t="shared" si="12"/>
        <v>8.25E-4</v>
      </c>
      <c r="J69" s="303">
        <f t="shared" si="12"/>
        <v>8.25E-4</v>
      </c>
      <c r="K69" s="303">
        <f t="shared" si="12"/>
        <v>8.25E-4</v>
      </c>
      <c r="L69" s="303">
        <f t="shared" si="12"/>
        <v>3.0000000000000001E-3</v>
      </c>
      <c r="M69" s="303">
        <f t="shared" si="12"/>
        <v>3.7500000000000001E-4</v>
      </c>
      <c r="N69" s="303">
        <f t="shared" si="12"/>
        <v>0</v>
      </c>
      <c r="O69" s="303">
        <f t="shared" si="12"/>
        <v>0</v>
      </c>
      <c r="P69" s="304">
        <f t="shared" si="4"/>
        <v>7.5000000000000006E-3</v>
      </c>
      <c r="AE69" s="139"/>
      <c r="AF69" s="139"/>
      <c r="AG69" s="139"/>
    </row>
    <row r="70" spans="1:33" s="283" customFormat="1" ht="11.25" hidden="1">
      <c r="A70" s="305"/>
      <c r="B70" s="305"/>
      <c r="C70" s="306"/>
      <c r="D70" s="307">
        <f>+D61+D63+D65+D67+D69</f>
        <v>1.9500000000000003E-3</v>
      </c>
      <c r="E70" s="307">
        <f t="shared" ref="E70:P70" si="13">+E61+E63+E65+E67+E69</f>
        <v>5.1750000000000008E-3</v>
      </c>
      <c r="F70" s="307">
        <f t="shared" si="13"/>
        <v>4.9500000000000004E-3</v>
      </c>
      <c r="G70" s="307">
        <f t="shared" si="13"/>
        <v>5.5500000000000002E-3</v>
      </c>
      <c r="H70" s="307">
        <f t="shared" si="13"/>
        <v>5.5500000000000002E-3</v>
      </c>
      <c r="I70" s="307">
        <f t="shared" si="13"/>
        <v>5.5500000000000002E-3</v>
      </c>
      <c r="J70" s="307">
        <f t="shared" si="13"/>
        <v>5.5500000000000002E-3</v>
      </c>
      <c r="K70" s="307">
        <f t="shared" si="13"/>
        <v>5.5500000000000002E-3</v>
      </c>
      <c r="L70" s="307">
        <f t="shared" si="13"/>
        <v>7.7250000000000001E-3</v>
      </c>
      <c r="M70" s="307">
        <f t="shared" si="13"/>
        <v>5.1000000000000004E-3</v>
      </c>
      <c r="N70" s="307">
        <f t="shared" si="13"/>
        <v>5.4750000000000007E-3</v>
      </c>
      <c r="O70" s="307">
        <f t="shared" si="13"/>
        <v>1.8750000000000004E-3</v>
      </c>
      <c r="P70" s="307">
        <f t="shared" si="13"/>
        <v>6.0000000000000019E-2</v>
      </c>
      <c r="AE70" s="139"/>
      <c r="AF70" s="139"/>
      <c r="AG70" s="139"/>
    </row>
    <row r="71" spans="1:33" s="289" customFormat="1" ht="12.75" hidden="1">
      <c r="A71" s="308"/>
      <c r="B71" s="308"/>
      <c r="C71" s="309" t="s">
        <v>111</v>
      </c>
      <c r="D71" s="310">
        <f t="shared" ref="D71:O71" si="14">D70*$C$30/$B$30</f>
        <v>2.2750000000000003E-2</v>
      </c>
      <c r="E71" s="310">
        <f t="shared" si="14"/>
        <v>6.0375000000000005E-2</v>
      </c>
      <c r="F71" s="310">
        <f t="shared" si="14"/>
        <v>5.7750000000000003E-2</v>
      </c>
      <c r="G71" s="310">
        <f t="shared" si="14"/>
        <v>6.4750000000000002E-2</v>
      </c>
      <c r="H71" s="310">
        <f t="shared" si="14"/>
        <v>6.4750000000000002E-2</v>
      </c>
      <c r="I71" s="310">
        <f t="shared" si="14"/>
        <v>6.4750000000000002E-2</v>
      </c>
      <c r="J71" s="310">
        <f t="shared" si="14"/>
        <v>6.4750000000000002E-2</v>
      </c>
      <c r="K71" s="310">
        <f t="shared" si="14"/>
        <v>6.4750000000000002E-2</v>
      </c>
      <c r="L71" s="310">
        <f t="shared" si="14"/>
        <v>9.0124999999999997E-2</v>
      </c>
      <c r="M71" s="310">
        <f t="shared" si="14"/>
        <v>5.9499999999999997E-2</v>
      </c>
      <c r="N71" s="310">
        <f t="shared" si="14"/>
        <v>6.3875000000000015E-2</v>
      </c>
      <c r="O71" s="310">
        <f t="shared" si="14"/>
        <v>2.1875000000000002E-2</v>
      </c>
      <c r="P71" s="311">
        <f>SUM(D71:O71)</f>
        <v>0.7</v>
      </c>
      <c r="Q71" s="293"/>
      <c r="AE71" s="431"/>
      <c r="AF71" s="431"/>
      <c r="AG71" s="431"/>
    </row>
    <row r="72" spans="1:33" ht="12.95" hidden="1" customHeight="1">
      <c r="C72" s="142" t="s">
        <v>112</v>
      </c>
      <c r="D72" s="392">
        <f>+(D71/1.75)+0.3</f>
        <v>0.313</v>
      </c>
      <c r="E72" s="392">
        <f>+((+D71+E71)/1.75)+0.3</f>
        <v>0.34749999999999998</v>
      </c>
      <c r="F72" s="392">
        <f>+((+D71+E71+F71)/1.75)+0.3</f>
        <v>0.3805</v>
      </c>
      <c r="G72" s="392">
        <f>+((D71+E71+F71+G71)/1.75)+0.3</f>
        <v>0.41749999999999998</v>
      </c>
      <c r="H72" s="392">
        <f>+((D71+E71+F71+G71+H71)/1.75)+0.3</f>
        <v>0.45450000000000002</v>
      </c>
      <c r="I72" s="392">
        <f>+((D71+E71+F71+G71+H71+I71)/1.75)+0.3</f>
        <v>0.49149999999999999</v>
      </c>
      <c r="J72" s="392">
        <f>+((D71+E71+F71+G71+H71+I71+J71)/1.75)+0.3</f>
        <v>0.52849999999999997</v>
      </c>
      <c r="K72" s="392">
        <f>+((D71+E71+F71+G71+H71+I71+J71+K71)/1.75)+0.3</f>
        <v>0.56549999999999989</v>
      </c>
      <c r="L72" s="392">
        <f>+((D71+E71+F71+G71+H71+I71+J71+K71+L71)/1.75)+0.3</f>
        <v>0.61699999999999999</v>
      </c>
      <c r="M72" s="392">
        <f>+((D71+E71+F71+G71+H71+I71+J71+K71+L71+M71)/1.75)+0.3</f>
        <v>0.65100000000000002</v>
      </c>
      <c r="N72" s="392">
        <f>+((D71+E71+F71+G71+H71+I71+J71+K71+L71+M71+N71)/1.75)+0.3</f>
        <v>0.6875</v>
      </c>
      <c r="O72" s="392">
        <f>+((D71+E71+F71+G71+H71+I71+J71+K71+L71+M71+N71+O71)/1.75)+0.3</f>
        <v>0.7</v>
      </c>
      <c r="P72" s="391">
        <f>+O72</f>
        <v>0.7</v>
      </c>
    </row>
  </sheetData>
  <mergeCells count="130">
    <mergeCell ref="AE44:AE45"/>
    <mergeCell ref="A51:A53"/>
    <mergeCell ref="B51:G51"/>
    <mergeCell ref="H51:M53"/>
    <mergeCell ref="N51:S51"/>
    <mergeCell ref="T51:W53"/>
    <mergeCell ref="X51:AB51"/>
    <mergeCell ref="B52:G52"/>
    <mergeCell ref="N52:S52"/>
    <mergeCell ref="X52:AB52"/>
    <mergeCell ref="B53:G53"/>
    <mergeCell ref="N53:S53"/>
    <mergeCell ref="X53:AB53"/>
    <mergeCell ref="B44:B45"/>
    <mergeCell ref="A44:A45"/>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A15:B16"/>
    <mergeCell ref="D15:E15"/>
    <mergeCell ref="F15:G15"/>
    <mergeCell ref="H15:I15"/>
    <mergeCell ref="Q15:AB15"/>
    <mergeCell ref="D16:E16"/>
    <mergeCell ref="F16:G16"/>
    <mergeCell ref="H16:I16"/>
    <mergeCell ref="Q16:V16"/>
    <mergeCell ref="W16:AB16"/>
    <mergeCell ref="B28:B29"/>
    <mergeCell ref="C28:C29"/>
    <mergeCell ref="D28:P28"/>
    <mergeCell ref="Q28:AB28"/>
    <mergeCell ref="Q29:T29"/>
    <mergeCell ref="U29:X29"/>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Y29:AB29"/>
    <mergeCell ref="AF47:AI49"/>
    <mergeCell ref="AE32:AE35"/>
    <mergeCell ref="AD27:AD29"/>
    <mergeCell ref="A32:AB32"/>
    <mergeCell ref="A33:A34"/>
    <mergeCell ref="B33:B34"/>
    <mergeCell ref="C33:P33"/>
    <mergeCell ref="Q33:AB33"/>
    <mergeCell ref="Q34:AB34"/>
    <mergeCell ref="A31:C31"/>
    <mergeCell ref="Q30:T31"/>
    <mergeCell ref="U30:X31"/>
    <mergeCell ref="Y30:AB31"/>
    <mergeCell ref="P23:P26"/>
    <mergeCell ref="Q23:AB26"/>
    <mergeCell ref="A27:AB27"/>
    <mergeCell ref="A28:A29"/>
    <mergeCell ref="A35:A36"/>
    <mergeCell ref="B35:B36"/>
    <mergeCell ref="Q35:AB37"/>
    <mergeCell ref="Q41:AB43"/>
    <mergeCell ref="A47:A48"/>
    <mergeCell ref="B47:B48"/>
    <mergeCell ref="A38:A39"/>
    <mergeCell ref="B38:B39"/>
    <mergeCell ref="A41:A42"/>
    <mergeCell ref="B41:B42"/>
    <mergeCell ref="Q44:AB46"/>
    <mergeCell ref="Q38:AB40"/>
    <mergeCell ref="Q47:AB49"/>
    <mergeCell ref="A68:A69"/>
    <mergeCell ref="B68:B69"/>
    <mergeCell ref="A58:A59"/>
    <mergeCell ref="B58:B59"/>
    <mergeCell ref="C58:P58"/>
    <mergeCell ref="A60:A61"/>
    <mergeCell ref="B60:B61"/>
    <mergeCell ref="A62:A63"/>
    <mergeCell ref="B62:B63"/>
    <mergeCell ref="A64:A65"/>
    <mergeCell ref="B64:B65"/>
    <mergeCell ref="A66:A67"/>
    <mergeCell ref="B66:B67"/>
  </mergeCells>
  <dataValidations count="3">
    <dataValidation type="textLength" operator="lessThanOrEqual" allowBlank="1" showInputMessage="1" showErrorMessage="1" errorTitle="Máximo 1.000 caracteres" error="Máximo 1.000 caracteres" sqref="U30">
      <formula1>1000</formula1>
    </dataValidation>
    <dataValidation type="textLength" operator="lessThanOrEqual" allowBlank="1" showInputMessage="1" showErrorMessage="1" errorTitle="Máximo 2.000 caracteres" error="Máximo 2.000 caracteres" sqref="AD30:AD31 Q30 Q38 Q44 Q47 Q41">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rintOptions horizontalCentered="1"/>
  <pageMargins left="0.19685039370078741" right="0.19685039370078741" top="0.39370078740157483" bottom="0.39370078740157483" header="0" footer="0"/>
  <pageSetup scale="3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O68"/>
  <sheetViews>
    <sheetView topLeftCell="P14" zoomScale="87" zoomScaleNormal="110" zoomScaleSheetLayoutView="100" workbookViewId="0">
      <selection activeCell="Z19" sqref="Z19"/>
    </sheetView>
  </sheetViews>
  <sheetFormatPr baseColWidth="10" defaultColWidth="11.42578125" defaultRowHeight="15"/>
  <cols>
    <col min="1" max="1" width="38.42578125" style="119" customWidth="1"/>
    <col min="2" max="2" width="18.28515625" style="119" customWidth="1"/>
    <col min="3" max="3" width="27.140625" style="119" customWidth="1"/>
    <col min="4" max="6" width="7" style="119" customWidth="1"/>
    <col min="7" max="8" width="7.7109375" style="119" customWidth="1"/>
    <col min="9" max="9" width="7.28515625" style="119" customWidth="1"/>
    <col min="10" max="15" width="7.7109375" style="119" customWidth="1"/>
    <col min="16" max="16" width="13.7109375" style="119" customWidth="1"/>
    <col min="17" max="20" width="15.7109375" style="119" customWidth="1"/>
    <col min="21" max="24" width="12" style="119" customWidth="1"/>
    <col min="25" max="28" width="15.7109375" style="119" customWidth="1"/>
    <col min="29" max="29" width="6.42578125" style="119" customWidth="1"/>
    <col min="30" max="30" width="22.7109375" style="119" customWidth="1"/>
    <col min="31" max="31" width="39.42578125" style="119" customWidth="1"/>
    <col min="32" max="32" width="8.42578125" style="119" customWidth="1"/>
    <col min="33" max="33" width="18.42578125" style="119" bestFit="1" customWidth="1"/>
    <col min="34" max="34" width="5.7109375" style="119" customWidth="1"/>
    <col min="35" max="35" width="18.42578125" style="119" bestFit="1" customWidth="1"/>
    <col min="36" max="36" width="4.710937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8"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8"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8"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8"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28"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8"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8"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8"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8"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8"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8"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28"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8" s="78" customFormat="1" ht="37.5" customHeight="1" thickBot="1">
      <c r="A13" s="637" t="s">
        <v>22</v>
      </c>
      <c r="B13" s="638"/>
      <c r="C13" s="699" t="s">
        <v>149</v>
      </c>
      <c r="D13" s="700"/>
      <c r="E13" s="700"/>
      <c r="F13" s="700"/>
      <c r="G13" s="700"/>
      <c r="H13" s="700"/>
      <c r="I13" s="700"/>
      <c r="J13" s="700"/>
      <c r="K13" s="700"/>
      <c r="L13" s="700"/>
      <c r="M13" s="700"/>
      <c r="N13" s="700"/>
      <c r="O13" s="700"/>
      <c r="P13" s="700"/>
      <c r="Q13" s="701"/>
      <c r="R13" s="6"/>
      <c r="S13" s="515" t="s">
        <v>24</v>
      </c>
      <c r="T13" s="515"/>
      <c r="U13" s="79" t="str">
        <f>+Ponderación!E105</f>
        <v>0.70</v>
      </c>
      <c r="V13" s="702" t="s">
        <v>25</v>
      </c>
      <c r="W13" s="515"/>
      <c r="X13" s="515"/>
      <c r="Y13" s="515"/>
      <c r="Z13" s="6"/>
      <c r="AA13" s="703">
        <f>B30</f>
        <v>0.12</v>
      </c>
      <c r="AB13" s="704"/>
    </row>
    <row r="14" spans="1:28"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8" ht="35.25" customHeight="1" thickBot="1">
      <c r="A16" s="609"/>
      <c r="B16" s="610"/>
      <c r="C16" s="74"/>
      <c r="D16" s="617"/>
      <c r="E16" s="519"/>
      <c r="F16" s="517"/>
      <c r="G16" s="519"/>
      <c r="H16" s="517" t="s">
        <v>32</v>
      </c>
      <c r="I16" s="619"/>
      <c r="J16" s="413"/>
      <c r="K16" s="413"/>
      <c r="L16" s="413"/>
      <c r="M16" s="3"/>
      <c r="N16" s="3"/>
      <c r="O16" s="3"/>
      <c r="P16" s="3"/>
      <c r="Q16" s="733" t="s">
        <v>33</v>
      </c>
      <c r="R16" s="734"/>
      <c r="S16" s="734"/>
      <c r="T16" s="734"/>
      <c r="U16" s="734"/>
      <c r="V16" s="735"/>
      <c r="W16" s="736" t="s">
        <v>34</v>
      </c>
      <c r="X16" s="734"/>
      <c r="Y16" s="734"/>
      <c r="Z16" s="734"/>
      <c r="AA16" s="734"/>
      <c r="AB16" s="737"/>
    </row>
    <row r="17" spans="1:40" ht="27"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127"/>
      <c r="AD17" s="127"/>
    </row>
    <row r="18" spans="1:40" ht="20.100000000000001" customHeight="1" thickBot="1">
      <c r="A18" s="5"/>
      <c r="B18" s="6"/>
      <c r="C18" s="8"/>
      <c r="D18" s="8"/>
      <c r="E18" s="8"/>
      <c r="F18" s="8"/>
      <c r="G18" s="128"/>
      <c r="H18" s="128"/>
      <c r="I18" s="128"/>
      <c r="J18" s="128"/>
      <c r="K18" s="128"/>
      <c r="L18" s="128"/>
      <c r="M18" s="8"/>
      <c r="N18" s="8"/>
      <c r="O18" s="8"/>
      <c r="P18" s="8"/>
      <c r="Q18" s="632">
        <v>0</v>
      </c>
      <c r="R18" s="633"/>
      <c r="S18" s="634"/>
      <c r="T18" s="635">
        <v>0</v>
      </c>
      <c r="U18" s="633"/>
      <c r="V18" s="634"/>
      <c r="W18" s="635">
        <f>+Ponderación!E14</f>
        <v>1378281472.4566667</v>
      </c>
      <c r="X18" s="633"/>
      <c r="Y18" s="634"/>
      <c r="Z18" s="635">
        <v>1132074450</v>
      </c>
      <c r="AA18" s="633"/>
      <c r="AB18" s="636"/>
      <c r="AC18" s="165"/>
      <c r="AD18" s="129"/>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731"/>
      <c r="B23" s="575" t="s">
        <v>43</v>
      </c>
      <c r="C23" s="576"/>
      <c r="D23" s="579"/>
      <c r="E23" s="580"/>
      <c r="F23" s="581"/>
      <c r="G23" s="579"/>
      <c r="H23" s="580"/>
      <c r="I23" s="581"/>
      <c r="J23" s="579"/>
      <c r="K23" s="580"/>
      <c r="L23" s="581"/>
      <c r="M23" s="579" t="s">
        <v>32</v>
      </c>
      <c r="N23" s="580"/>
      <c r="O23" s="581"/>
      <c r="P23" s="563"/>
      <c r="Q23" s="780"/>
      <c r="R23" s="780"/>
      <c r="S23" s="780"/>
      <c r="T23" s="780"/>
      <c r="U23" s="780"/>
      <c r="V23" s="780"/>
      <c r="W23" s="780"/>
      <c r="X23" s="780"/>
      <c r="Y23" s="780"/>
      <c r="Z23" s="780"/>
      <c r="AA23" s="780"/>
      <c r="AB23" s="781"/>
    </row>
    <row r="24" spans="1:40" ht="15" customHeight="1">
      <c r="A24" s="731"/>
      <c r="B24" s="577"/>
      <c r="C24" s="578"/>
      <c r="D24" s="582"/>
      <c r="E24" s="583"/>
      <c r="F24" s="584"/>
      <c r="G24" s="582"/>
      <c r="H24" s="583"/>
      <c r="I24" s="584"/>
      <c r="J24" s="582"/>
      <c r="K24" s="583"/>
      <c r="L24" s="584"/>
      <c r="M24" s="582"/>
      <c r="N24" s="583"/>
      <c r="O24" s="584"/>
      <c r="P24" s="564"/>
      <c r="Q24" s="780"/>
      <c r="R24" s="780"/>
      <c r="S24" s="780"/>
      <c r="T24" s="780"/>
      <c r="U24" s="780"/>
      <c r="V24" s="780"/>
      <c r="W24" s="780"/>
      <c r="X24" s="780"/>
      <c r="Y24" s="780"/>
      <c r="Z24" s="780"/>
      <c r="AA24" s="780"/>
      <c r="AB24" s="781"/>
    </row>
    <row r="25" spans="1:40" ht="15" customHeight="1">
      <c r="A25" s="731"/>
      <c r="B25" s="577"/>
      <c r="C25" s="578"/>
      <c r="D25" s="582"/>
      <c r="E25" s="583"/>
      <c r="F25" s="584"/>
      <c r="G25" s="582"/>
      <c r="H25" s="583"/>
      <c r="I25" s="584"/>
      <c r="J25" s="582"/>
      <c r="K25" s="583"/>
      <c r="L25" s="584"/>
      <c r="M25" s="582"/>
      <c r="N25" s="583"/>
      <c r="O25" s="584"/>
      <c r="P25" s="564"/>
      <c r="Q25" s="780"/>
      <c r="R25" s="780"/>
      <c r="S25" s="780"/>
      <c r="T25" s="780"/>
      <c r="U25" s="780"/>
      <c r="V25" s="780"/>
      <c r="W25" s="780"/>
      <c r="X25" s="780"/>
      <c r="Y25" s="780"/>
      <c r="Z25" s="780"/>
      <c r="AA25" s="780"/>
      <c r="AB25" s="781"/>
    </row>
    <row r="26" spans="1:40" ht="15" customHeight="1" thickBot="1">
      <c r="A26" s="732"/>
      <c r="B26" s="577"/>
      <c r="C26" s="578"/>
      <c r="D26" s="582"/>
      <c r="E26" s="583"/>
      <c r="F26" s="584"/>
      <c r="G26" s="582"/>
      <c r="H26" s="583"/>
      <c r="I26" s="584"/>
      <c r="J26" s="582"/>
      <c r="K26" s="583"/>
      <c r="L26" s="584"/>
      <c r="M26" s="582"/>
      <c r="N26" s="583"/>
      <c r="O26" s="584"/>
      <c r="P26" s="564"/>
      <c r="Q26" s="782"/>
      <c r="R26" s="782"/>
      <c r="S26" s="782"/>
      <c r="T26" s="782"/>
      <c r="U26" s="782"/>
      <c r="V26" s="782"/>
      <c r="W26" s="782"/>
      <c r="X26" s="782"/>
      <c r="Y26" s="782"/>
      <c r="Z26" s="782"/>
      <c r="AA26" s="782"/>
      <c r="AB26" s="783"/>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E28" s="130"/>
      <c r="AF28" s="130"/>
      <c r="AG28" s="321"/>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E29" s="130"/>
      <c r="AF29" s="130"/>
      <c r="AG29" s="321"/>
      <c r="AH29" s="130"/>
      <c r="AI29" s="130"/>
      <c r="AJ29" s="130"/>
      <c r="AK29" s="130"/>
      <c r="AL29" s="130"/>
      <c r="AM29" s="130"/>
      <c r="AN29" s="131"/>
    </row>
    <row r="30" spans="1:40" ht="188.1" customHeight="1" thickBot="1">
      <c r="A30" s="106" t="s">
        <v>150</v>
      </c>
      <c r="B30" s="184">
        <f>B35+B38+B41+B44</f>
        <v>0.12</v>
      </c>
      <c r="C30" s="94">
        <v>0.7</v>
      </c>
      <c r="D30" s="118">
        <f>+D67</f>
        <v>0.3</v>
      </c>
      <c r="E30" s="118">
        <f t="shared" ref="E30:O30" si="0">+E67</f>
        <v>0.34099999999999997</v>
      </c>
      <c r="F30" s="118">
        <f t="shared" si="0"/>
        <v>0.377</v>
      </c>
      <c r="G30" s="118">
        <f t="shared" si="0"/>
        <v>0.41299999999999998</v>
      </c>
      <c r="H30" s="118">
        <f t="shared" si="0"/>
        <v>0.44900000000000001</v>
      </c>
      <c r="I30" s="118">
        <f t="shared" si="0"/>
        <v>0.48499999999999999</v>
      </c>
      <c r="J30" s="118">
        <f t="shared" si="0"/>
        <v>0.52200000000000002</v>
      </c>
      <c r="K30" s="118">
        <f>+K67</f>
        <v>0.55800000000000005</v>
      </c>
      <c r="L30" s="118">
        <f t="shared" si="0"/>
        <v>0.59400000000000008</v>
      </c>
      <c r="M30" s="118">
        <f t="shared" si="0"/>
        <v>0.63000000000000012</v>
      </c>
      <c r="N30" s="118">
        <f t="shared" si="0"/>
        <v>0.66600000000000004</v>
      </c>
      <c r="O30" s="118">
        <f t="shared" si="0"/>
        <v>0.7</v>
      </c>
      <c r="P30" s="118">
        <f>+O30</f>
        <v>0.7</v>
      </c>
      <c r="Q30" s="547" t="s">
        <v>405</v>
      </c>
      <c r="R30" s="547"/>
      <c r="S30" s="547"/>
      <c r="T30" s="548"/>
      <c r="U30" s="838"/>
      <c r="V30" s="547"/>
      <c r="W30" s="547"/>
      <c r="X30" s="548"/>
      <c r="Y30" s="838" t="s">
        <v>401</v>
      </c>
      <c r="Z30" s="547"/>
      <c r="AA30" s="547"/>
      <c r="AB30" s="839"/>
      <c r="AC30" s="132"/>
      <c r="AD30" s="355">
        <f>LEN(Q30)</f>
        <v>1074</v>
      </c>
      <c r="AE30" s="363" t="s">
        <v>419</v>
      </c>
      <c r="AF30" s="130"/>
      <c r="AG30" s="321">
        <f>+LEN(AE30)</f>
        <v>229</v>
      </c>
      <c r="AH30" s="130"/>
      <c r="AI30" s="130"/>
      <c r="AJ30" s="130"/>
      <c r="AK30" s="130"/>
      <c r="AL30" s="130"/>
      <c r="AM30" s="130"/>
      <c r="AN30" s="131"/>
    </row>
    <row r="31" spans="1:40" ht="44.1" customHeight="1" thickBot="1">
      <c r="A31" s="544" t="s">
        <v>65</v>
      </c>
      <c r="B31" s="545"/>
      <c r="C31" s="546"/>
      <c r="D31" s="396">
        <f>+D66</f>
        <v>0</v>
      </c>
      <c r="E31" s="396">
        <f t="shared" ref="E31:I31" si="1">+E66</f>
        <v>7.1750000000000008E-2</v>
      </c>
      <c r="F31" s="396">
        <f t="shared" si="1"/>
        <v>6.3E-2</v>
      </c>
      <c r="G31" s="396">
        <f t="shared" si="1"/>
        <v>6.3E-2</v>
      </c>
      <c r="H31" s="396">
        <f t="shared" si="1"/>
        <v>6.3E-2</v>
      </c>
      <c r="I31" s="396">
        <f t="shared" si="1"/>
        <v>6.3E-2</v>
      </c>
      <c r="J31" s="394"/>
      <c r="K31" s="394"/>
      <c r="L31" s="394"/>
      <c r="M31" s="394"/>
      <c r="N31" s="394"/>
      <c r="O31" s="394"/>
      <c r="P31" s="395">
        <f>SUM(D31:O31)</f>
        <v>0.32375000000000004</v>
      </c>
      <c r="Q31" s="549"/>
      <c r="R31" s="549"/>
      <c r="S31" s="549"/>
      <c r="T31" s="550"/>
      <c r="U31" s="840"/>
      <c r="V31" s="549"/>
      <c r="W31" s="549"/>
      <c r="X31" s="550"/>
      <c r="Y31" s="840"/>
      <c r="Z31" s="549"/>
      <c r="AA31" s="549"/>
      <c r="AB31" s="841"/>
      <c r="AC31" s="132"/>
      <c r="AD31" s="355"/>
      <c r="AE31" s="363"/>
      <c r="AF31" s="130"/>
      <c r="AG31" s="321"/>
      <c r="AH31" s="130"/>
      <c r="AI31" s="130"/>
      <c r="AJ31" s="130"/>
      <c r="AK31" s="130"/>
      <c r="AL31" s="130"/>
      <c r="AM31" s="130"/>
      <c r="AN31" s="131"/>
    </row>
    <row r="32" spans="1:40" ht="18.75">
      <c r="A32" s="537"/>
      <c r="B32" s="538"/>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40"/>
      <c r="AD32" s="356"/>
      <c r="AE32" s="130"/>
      <c r="AF32" s="130"/>
      <c r="AG32" s="321"/>
      <c r="AH32" s="130"/>
      <c r="AI32" s="130"/>
      <c r="AJ32" s="130"/>
      <c r="AK32" s="130"/>
      <c r="AL32" s="130"/>
      <c r="AM32" s="130"/>
      <c r="AN32" s="131"/>
    </row>
    <row r="33" spans="1:41" ht="15" customHeight="1">
      <c r="A33" s="541" t="s">
        <v>66</v>
      </c>
      <c r="B33" s="729" t="s">
        <v>67</v>
      </c>
      <c r="C33" s="542" t="s">
        <v>68</v>
      </c>
      <c r="D33" s="542"/>
      <c r="E33" s="542"/>
      <c r="F33" s="542"/>
      <c r="G33" s="542"/>
      <c r="H33" s="542"/>
      <c r="I33" s="542"/>
      <c r="J33" s="542"/>
      <c r="K33" s="542"/>
      <c r="L33" s="542"/>
      <c r="M33" s="542"/>
      <c r="N33" s="542"/>
      <c r="O33" s="542"/>
      <c r="P33" s="542"/>
      <c r="Q33" s="604" t="s">
        <v>69</v>
      </c>
      <c r="R33" s="605"/>
      <c r="S33" s="605"/>
      <c r="T33" s="605"/>
      <c r="U33" s="605"/>
      <c r="V33" s="605"/>
      <c r="W33" s="605"/>
      <c r="X33" s="605"/>
      <c r="Y33" s="605"/>
      <c r="Z33" s="605"/>
      <c r="AA33" s="605"/>
      <c r="AB33" s="730"/>
      <c r="AD33" s="350"/>
      <c r="AE33" s="130"/>
      <c r="AF33" s="130"/>
      <c r="AG33" s="321"/>
      <c r="AH33" s="130"/>
      <c r="AI33" s="130"/>
      <c r="AJ33" s="130"/>
      <c r="AK33" s="130"/>
      <c r="AL33" s="130"/>
      <c r="AM33" s="130"/>
      <c r="AN33" s="131"/>
    </row>
    <row r="34" spans="1:41" ht="25.5" customHeight="1">
      <c r="A34" s="541"/>
      <c r="B34" s="539"/>
      <c r="C34" s="417" t="s">
        <v>70</v>
      </c>
      <c r="D34" s="417" t="s">
        <v>48</v>
      </c>
      <c r="E34" s="417" t="s">
        <v>49</v>
      </c>
      <c r="F34" s="417" t="s">
        <v>50</v>
      </c>
      <c r="G34" s="417" t="s">
        <v>51</v>
      </c>
      <c r="H34" s="417" t="s">
        <v>52</v>
      </c>
      <c r="I34" s="417" t="s">
        <v>53</v>
      </c>
      <c r="J34" s="417" t="s">
        <v>54</v>
      </c>
      <c r="K34" s="417" t="s">
        <v>55</v>
      </c>
      <c r="L34" s="417" t="s">
        <v>56</v>
      </c>
      <c r="M34" s="417" t="s">
        <v>57</v>
      </c>
      <c r="N34" s="417" t="s">
        <v>58</v>
      </c>
      <c r="O34" s="417" t="s">
        <v>59</v>
      </c>
      <c r="P34" s="107" t="s">
        <v>71</v>
      </c>
      <c r="Q34" s="604" t="s">
        <v>151</v>
      </c>
      <c r="R34" s="605"/>
      <c r="S34" s="605"/>
      <c r="T34" s="605"/>
      <c r="U34" s="605"/>
      <c r="V34" s="605"/>
      <c r="W34" s="605"/>
      <c r="X34" s="605"/>
      <c r="Y34" s="605"/>
      <c r="Z34" s="605"/>
      <c r="AA34" s="605"/>
      <c r="AB34" s="730"/>
      <c r="AD34" s="350"/>
      <c r="AE34" s="135"/>
      <c r="AF34" s="135"/>
      <c r="AG34" s="362"/>
      <c r="AH34" s="135"/>
      <c r="AI34" s="135"/>
      <c r="AJ34" s="135"/>
      <c r="AK34" s="135"/>
      <c r="AL34" s="135"/>
      <c r="AM34" s="135"/>
      <c r="AN34" s="131"/>
    </row>
    <row r="35" spans="1:41" ht="158.1" customHeight="1">
      <c r="A35" s="719" t="s">
        <v>152</v>
      </c>
      <c r="B35" s="767">
        <v>0.03</v>
      </c>
      <c r="C35" s="62" t="s">
        <v>74</v>
      </c>
      <c r="D35" s="63">
        <v>0</v>
      </c>
      <c r="E35" s="63">
        <v>0.09</v>
      </c>
      <c r="F35" s="63">
        <v>0.09</v>
      </c>
      <c r="G35" s="63">
        <v>0.09</v>
      </c>
      <c r="H35" s="63">
        <v>0.09</v>
      </c>
      <c r="I35" s="63">
        <v>0.09</v>
      </c>
      <c r="J35" s="63">
        <v>0.09</v>
      </c>
      <c r="K35" s="63">
        <v>0.09</v>
      </c>
      <c r="L35" s="63">
        <v>0.09</v>
      </c>
      <c r="M35" s="63">
        <v>0.09</v>
      </c>
      <c r="N35" s="63">
        <v>0.09</v>
      </c>
      <c r="O35" s="63">
        <v>0.1</v>
      </c>
      <c r="P35" s="64">
        <f t="shared" ref="P35:P40" si="2">SUM(D35:O35)</f>
        <v>0.99999999999999978</v>
      </c>
      <c r="Q35" s="746" t="s">
        <v>412</v>
      </c>
      <c r="R35" s="747"/>
      <c r="S35" s="747"/>
      <c r="T35" s="747"/>
      <c r="U35" s="747"/>
      <c r="V35" s="747"/>
      <c r="W35" s="747"/>
      <c r="X35" s="747"/>
      <c r="Y35" s="747"/>
      <c r="Z35" s="747"/>
      <c r="AA35" s="747"/>
      <c r="AB35" s="748"/>
      <c r="AC35" s="56"/>
      <c r="AD35" s="350"/>
      <c r="AE35" s="136"/>
      <c r="AF35" s="136"/>
      <c r="AG35" s="136"/>
      <c r="AH35" s="136"/>
      <c r="AI35" s="136"/>
      <c r="AJ35" s="136"/>
      <c r="AK35" s="136"/>
      <c r="AL35" s="136"/>
      <c r="AM35" s="136"/>
      <c r="AN35" s="131"/>
    </row>
    <row r="36" spans="1:41" ht="158.1" customHeight="1">
      <c r="A36" s="493"/>
      <c r="B36" s="721"/>
      <c r="C36" s="58" t="s">
        <v>75</v>
      </c>
      <c r="D36" s="10">
        <v>0</v>
      </c>
      <c r="E36" s="10">
        <v>0.09</v>
      </c>
      <c r="F36" s="10">
        <v>0.09</v>
      </c>
      <c r="G36" s="10">
        <v>0.09</v>
      </c>
      <c r="H36" s="10">
        <v>0.09</v>
      </c>
      <c r="I36" s="10">
        <v>0.09</v>
      </c>
      <c r="J36" s="10">
        <v>0.09</v>
      </c>
      <c r="K36" s="10">
        <v>0.09</v>
      </c>
      <c r="L36" s="10">
        <v>0.09</v>
      </c>
      <c r="M36" s="10">
        <v>0.09</v>
      </c>
      <c r="N36" s="10">
        <v>0.09</v>
      </c>
      <c r="O36" s="10">
        <v>0.1</v>
      </c>
      <c r="P36" s="11">
        <f t="shared" si="2"/>
        <v>0.99999999999999978</v>
      </c>
      <c r="Q36" s="749"/>
      <c r="R36" s="843"/>
      <c r="S36" s="843"/>
      <c r="T36" s="843"/>
      <c r="U36" s="843"/>
      <c r="V36" s="843"/>
      <c r="W36" s="843"/>
      <c r="X36" s="843"/>
      <c r="Y36" s="843"/>
      <c r="Z36" s="843"/>
      <c r="AA36" s="843"/>
      <c r="AB36" s="751"/>
      <c r="AC36" s="56"/>
      <c r="AD36" s="350"/>
      <c r="AE36" s="131"/>
      <c r="AF36" s="131"/>
      <c r="AG36" s="131"/>
      <c r="AH36" s="131"/>
      <c r="AI36" s="131"/>
      <c r="AJ36" s="131"/>
      <c r="AK36" s="131"/>
      <c r="AL36" s="131"/>
      <c r="AM36" s="131"/>
      <c r="AN36" s="131"/>
    </row>
    <row r="37" spans="1:41" ht="25.35" customHeight="1">
      <c r="A37" s="722"/>
      <c r="B37" s="723"/>
      <c r="C37" s="60"/>
      <c r="D37" s="60"/>
      <c r="E37" s="65"/>
      <c r="F37" s="60"/>
      <c r="G37" s="60"/>
      <c r="H37" s="60"/>
      <c r="I37" s="60"/>
      <c r="J37" s="60"/>
      <c r="K37" s="60"/>
      <c r="L37" s="60"/>
      <c r="M37" s="60"/>
      <c r="N37" s="60"/>
      <c r="O37" s="60"/>
      <c r="P37" s="137">
        <f t="shared" si="2"/>
        <v>0</v>
      </c>
      <c r="Q37" s="752"/>
      <c r="R37" s="753"/>
      <c r="S37" s="753"/>
      <c r="T37" s="753"/>
      <c r="U37" s="753"/>
      <c r="V37" s="753"/>
      <c r="W37" s="753"/>
      <c r="X37" s="753"/>
      <c r="Y37" s="753"/>
      <c r="Z37" s="753"/>
      <c r="AA37" s="753"/>
      <c r="AB37" s="754"/>
      <c r="AC37" s="56"/>
      <c r="AD37" s="350">
        <f>LEN(Q35)</f>
        <v>1738</v>
      </c>
      <c r="AE37" s="131"/>
      <c r="AF37" s="131"/>
      <c r="AG37" s="131"/>
      <c r="AH37" s="131"/>
      <c r="AI37" s="131"/>
      <c r="AJ37" s="131"/>
      <c r="AK37" s="131"/>
      <c r="AL37" s="131"/>
      <c r="AM37" s="131"/>
      <c r="AN37" s="131"/>
    </row>
    <row r="38" spans="1:41" ht="215.1" customHeight="1">
      <c r="A38" s="493" t="s">
        <v>153</v>
      </c>
      <c r="B38" s="720">
        <v>0.03</v>
      </c>
      <c r="C38" s="57" t="s">
        <v>74</v>
      </c>
      <c r="D38" s="63">
        <v>0</v>
      </c>
      <c r="E38" s="63">
        <v>0.09</v>
      </c>
      <c r="F38" s="63">
        <v>0.09</v>
      </c>
      <c r="G38" s="63">
        <v>0.09</v>
      </c>
      <c r="H38" s="63">
        <v>0.09</v>
      </c>
      <c r="I38" s="63">
        <v>0.09</v>
      </c>
      <c r="J38" s="63">
        <v>0.09</v>
      </c>
      <c r="K38" s="63">
        <v>0.09</v>
      </c>
      <c r="L38" s="63">
        <v>0.09</v>
      </c>
      <c r="M38" s="63">
        <v>0.09</v>
      </c>
      <c r="N38" s="63">
        <v>0.09</v>
      </c>
      <c r="O38" s="63">
        <v>0.1</v>
      </c>
      <c r="P38" s="157">
        <f t="shared" si="2"/>
        <v>0.99999999999999978</v>
      </c>
      <c r="Q38" s="525" t="s">
        <v>400</v>
      </c>
      <c r="R38" s="526"/>
      <c r="S38" s="526"/>
      <c r="T38" s="526"/>
      <c r="U38" s="526"/>
      <c r="V38" s="526"/>
      <c r="W38" s="526"/>
      <c r="X38" s="526"/>
      <c r="Y38" s="526"/>
      <c r="Z38" s="526"/>
      <c r="AA38" s="526"/>
      <c r="AB38" s="527"/>
      <c r="AD38" s="350"/>
    </row>
    <row r="39" spans="1:41" ht="215.1" customHeight="1">
      <c r="A39" s="493"/>
      <c r="B39" s="721"/>
      <c r="C39" s="58" t="s">
        <v>75</v>
      </c>
      <c r="D39" s="10">
        <v>0</v>
      </c>
      <c r="E39" s="10">
        <v>0.09</v>
      </c>
      <c r="F39" s="10">
        <v>0.09</v>
      </c>
      <c r="G39" s="10">
        <v>0.09</v>
      </c>
      <c r="H39" s="10">
        <v>0.09</v>
      </c>
      <c r="I39" s="10">
        <v>0.09</v>
      </c>
      <c r="J39" s="10">
        <v>0.09</v>
      </c>
      <c r="K39" s="10">
        <v>0.09</v>
      </c>
      <c r="L39" s="10">
        <v>0.09</v>
      </c>
      <c r="M39" s="10">
        <v>0.09</v>
      </c>
      <c r="N39" s="10">
        <v>0.09</v>
      </c>
      <c r="O39" s="10">
        <v>0.1</v>
      </c>
      <c r="P39" s="157">
        <f t="shared" si="2"/>
        <v>0.99999999999999978</v>
      </c>
      <c r="Q39" s="528"/>
      <c r="R39" s="529"/>
      <c r="S39" s="529"/>
      <c r="T39" s="529"/>
      <c r="U39" s="529"/>
      <c r="V39" s="529"/>
      <c r="W39" s="529"/>
      <c r="X39" s="529"/>
      <c r="Y39" s="529"/>
      <c r="Z39" s="529"/>
      <c r="AA39" s="529"/>
      <c r="AB39" s="530"/>
      <c r="AD39" s="350"/>
    </row>
    <row r="40" spans="1:41" s="138" customFormat="1" ht="25.35" customHeight="1">
      <c r="A40" s="847"/>
      <c r="B40" s="848"/>
      <c r="C40" s="158"/>
      <c r="D40" s="158"/>
      <c r="E40" s="172"/>
      <c r="F40" s="158"/>
      <c r="G40" s="158"/>
      <c r="H40" s="158"/>
      <c r="I40" s="158"/>
      <c r="J40" s="158"/>
      <c r="K40" s="158"/>
      <c r="L40" s="158"/>
      <c r="M40" s="158"/>
      <c r="N40" s="158"/>
      <c r="O40" s="158"/>
      <c r="P40" s="173">
        <f t="shared" si="2"/>
        <v>0</v>
      </c>
      <c r="Q40" s="844"/>
      <c r="R40" s="845"/>
      <c r="S40" s="845"/>
      <c r="T40" s="845"/>
      <c r="U40" s="845"/>
      <c r="V40" s="845"/>
      <c r="W40" s="845"/>
      <c r="X40" s="845"/>
      <c r="Y40" s="845"/>
      <c r="Z40" s="845"/>
      <c r="AA40" s="845"/>
      <c r="AB40" s="846"/>
      <c r="AD40" s="350">
        <f>LEN(Q38)</f>
        <v>1758</v>
      </c>
      <c r="AE40" s="131"/>
      <c r="AF40" s="131"/>
      <c r="AG40" s="131"/>
      <c r="AH40" s="131"/>
      <c r="AI40" s="131"/>
      <c r="AJ40" s="131"/>
      <c r="AK40" s="131"/>
      <c r="AL40" s="131"/>
      <c r="AM40" s="131"/>
      <c r="AN40" s="131"/>
      <c r="AO40" s="131"/>
    </row>
    <row r="41" spans="1:41" ht="60.95" customHeight="1">
      <c r="A41" s="493" t="s">
        <v>154</v>
      </c>
      <c r="B41" s="720">
        <v>0.03</v>
      </c>
      <c r="C41" s="57" t="s">
        <v>74</v>
      </c>
      <c r="D41" s="63">
        <v>0</v>
      </c>
      <c r="E41" s="63">
        <v>0.09</v>
      </c>
      <c r="F41" s="63">
        <v>0.09</v>
      </c>
      <c r="G41" s="63">
        <v>0.09</v>
      </c>
      <c r="H41" s="63">
        <v>0.09</v>
      </c>
      <c r="I41" s="63">
        <v>0.09</v>
      </c>
      <c r="J41" s="63">
        <v>0.1</v>
      </c>
      <c r="K41" s="63">
        <v>0.09</v>
      </c>
      <c r="L41" s="63">
        <v>0.09</v>
      </c>
      <c r="M41" s="63">
        <v>0.09</v>
      </c>
      <c r="N41" s="63">
        <v>0.09</v>
      </c>
      <c r="O41" s="63">
        <v>0.09</v>
      </c>
      <c r="P41" s="157">
        <f t="shared" ref="P41:P46" si="3">SUM(D41:O41)</f>
        <v>0.99999999999999978</v>
      </c>
      <c r="Q41" s="525" t="s">
        <v>409</v>
      </c>
      <c r="R41" s="526"/>
      <c r="S41" s="526"/>
      <c r="T41" s="526"/>
      <c r="U41" s="526"/>
      <c r="V41" s="526"/>
      <c r="W41" s="526"/>
      <c r="X41" s="526"/>
      <c r="Y41" s="526"/>
      <c r="Z41" s="526"/>
      <c r="AA41" s="526"/>
      <c r="AB41" s="527"/>
      <c r="AD41" s="350"/>
    </row>
    <row r="42" spans="1:41" ht="60.95" customHeight="1">
      <c r="A42" s="493"/>
      <c r="B42" s="721"/>
      <c r="C42" s="58" t="s">
        <v>75</v>
      </c>
      <c r="D42" s="10">
        <v>0</v>
      </c>
      <c r="E42" s="10">
        <v>0.09</v>
      </c>
      <c r="F42" s="10">
        <v>0.09</v>
      </c>
      <c r="G42" s="10">
        <v>0.09</v>
      </c>
      <c r="H42" s="10">
        <v>0.09</v>
      </c>
      <c r="I42" s="10">
        <v>0.09</v>
      </c>
      <c r="J42" s="10">
        <v>0.1</v>
      </c>
      <c r="K42" s="10">
        <v>0.09</v>
      </c>
      <c r="L42" s="10">
        <v>0.09</v>
      </c>
      <c r="M42" s="10">
        <v>0.09</v>
      </c>
      <c r="N42" s="10">
        <v>0.09</v>
      </c>
      <c r="O42" s="10">
        <v>0.09</v>
      </c>
      <c r="P42" s="157">
        <f t="shared" si="3"/>
        <v>0.99999999999999978</v>
      </c>
      <c r="Q42" s="528"/>
      <c r="R42" s="529"/>
      <c r="S42" s="529"/>
      <c r="T42" s="529"/>
      <c r="U42" s="529"/>
      <c r="V42" s="529"/>
      <c r="W42" s="529"/>
      <c r="X42" s="529"/>
      <c r="Y42" s="529"/>
      <c r="Z42" s="529"/>
      <c r="AA42" s="529"/>
      <c r="AB42" s="530"/>
      <c r="AD42" s="350"/>
    </row>
    <row r="43" spans="1:41" ht="25.35" customHeight="1" thickBot="1">
      <c r="A43" s="847"/>
      <c r="B43" s="848"/>
      <c r="C43" s="158"/>
      <c r="D43" s="158"/>
      <c r="E43" s="172"/>
      <c r="F43" s="158"/>
      <c r="G43" s="158"/>
      <c r="H43" s="158"/>
      <c r="I43" s="158"/>
      <c r="J43" s="158"/>
      <c r="K43" s="158"/>
      <c r="L43" s="158"/>
      <c r="M43" s="158"/>
      <c r="N43" s="158"/>
      <c r="O43" s="158"/>
      <c r="P43" s="173">
        <f t="shared" si="3"/>
        <v>0</v>
      </c>
      <c r="Q43" s="844"/>
      <c r="R43" s="845"/>
      <c r="S43" s="845"/>
      <c r="T43" s="845"/>
      <c r="U43" s="845"/>
      <c r="V43" s="845"/>
      <c r="W43" s="845"/>
      <c r="X43" s="845"/>
      <c r="Y43" s="845"/>
      <c r="Z43" s="845"/>
      <c r="AA43" s="845"/>
      <c r="AB43" s="846"/>
      <c r="AD43" s="350">
        <f>LEN(Q41)</f>
        <v>789</v>
      </c>
    </row>
    <row r="44" spans="1:41" ht="56.1" customHeight="1">
      <c r="A44" s="493" t="s">
        <v>155</v>
      </c>
      <c r="B44" s="720">
        <v>0.03</v>
      </c>
      <c r="C44" s="57" t="s">
        <v>74</v>
      </c>
      <c r="D44" s="63">
        <v>0.05</v>
      </c>
      <c r="E44" s="63">
        <v>0.09</v>
      </c>
      <c r="F44" s="63">
        <v>0.09</v>
      </c>
      <c r="G44" s="63">
        <v>0.09</v>
      </c>
      <c r="H44" s="63">
        <v>0.09</v>
      </c>
      <c r="I44" s="63">
        <v>0.09</v>
      </c>
      <c r="J44" s="63">
        <v>0.09</v>
      </c>
      <c r="K44" s="63">
        <v>0.09</v>
      </c>
      <c r="L44" s="63">
        <v>0.09</v>
      </c>
      <c r="M44" s="63">
        <v>0.09</v>
      </c>
      <c r="N44" s="63">
        <v>0.09</v>
      </c>
      <c r="O44" s="63">
        <v>0.05</v>
      </c>
      <c r="P44" s="157">
        <f t="shared" si="3"/>
        <v>0.99999999999999989</v>
      </c>
      <c r="Q44" s="525" t="s">
        <v>410</v>
      </c>
      <c r="R44" s="526"/>
      <c r="S44" s="526"/>
      <c r="T44" s="526"/>
      <c r="U44" s="526"/>
      <c r="V44" s="526"/>
      <c r="W44" s="526"/>
      <c r="X44" s="526"/>
      <c r="Y44" s="526"/>
      <c r="Z44" s="526"/>
      <c r="AA44" s="526"/>
      <c r="AB44" s="527"/>
    </row>
    <row r="45" spans="1:41" s="138" customFormat="1" ht="56.1" customHeight="1">
      <c r="A45" s="493"/>
      <c r="B45" s="721"/>
      <c r="C45" s="58" t="s">
        <v>75</v>
      </c>
      <c r="D45" s="10">
        <v>0</v>
      </c>
      <c r="E45" s="10">
        <v>0.14000000000000001</v>
      </c>
      <c r="F45" s="10">
        <v>0.09</v>
      </c>
      <c r="G45" s="10">
        <v>0.09</v>
      </c>
      <c r="H45" s="10">
        <v>0.09</v>
      </c>
      <c r="I45" s="10">
        <v>0.09</v>
      </c>
      <c r="J45" s="10">
        <v>0.09</v>
      </c>
      <c r="K45" s="10">
        <v>0.09</v>
      </c>
      <c r="L45" s="10">
        <v>0.09</v>
      </c>
      <c r="M45" s="10">
        <v>0.09</v>
      </c>
      <c r="N45" s="10">
        <v>0.09</v>
      </c>
      <c r="O45" s="10">
        <v>0.05</v>
      </c>
      <c r="P45" s="157">
        <f t="shared" si="3"/>
        <v>0.99999999999999989</v>
      </c>
      <c r="Q45" s="528"/>
      <c r="R45" s="529"/>
      <c r="S45" s="529"/>
      <c r="T45" s="529"/>
      <c r="U45" s="529"/>
      <c r="V45" s="529"/>
      <c r="W45" s="529"/>
      <c r="X45" s="529"/>
      <c r="Y45" s="529"/>
      <c r="Z45" s="529"/>
      <c r="AA45" s="529"/>
      <c r="AB45" s="530"/>
      <c r="AD45" s="131"/>
    </row>
    <row r="46" spans="1:41" s="139" customFormat="1" ht="25.35" customHeight="1" thickBot="1">
      <c r="A46" s="847"/>
      <c r="B46" s="848"/>
      <c r="C46" s="158"/>
      <c r="D46" s="158"/>
      <c r="E46" s="172"/>
      <c r="F46" s="158"/>
      <c r="G46" s="158"/>
      <c r="H46" s="158"/>
      <c r="I46" s="158"/>
      <c r="J46" s="158"/>
      <c r="K46" s="158"/>
      <c r="L46" s="158"/>
      <c r="M46" s="158"/>
      <c r="N46" s="158"/>
      <c r="O46" s="158"/>
      <c r="P46" s="173">
        <f t="shared" si="3"/>
        <v>0</v>
      </c>
      <c r="Q46" s="844"/>
      <c r="R46" s="845"/>
      <c r="S46" s="845"/>
      <c r="T46" s="845"/>
      <c r="U46" s="845"/>
      <c r="V46" s="845"/>
      <c r="W46" s="845"/>
      <c r="X46" s="845"/>
      <c r="Y46" s="845"/>
      <c r="Z46" s="845"/>
      <c r="AA46" s="845"/>
      <c r="AB46" s="846"/>
      <c r="AD46" s="350">
        <f>LEN(Q44)</f>
        <v>791</v>
      </c>
    </row>
    <row r="47" spans="1:41" ht="17.25" hidden="1" customHeight="1" thickBot="1">
      <c r="A47" s="2"/>
      <c r="B47" s="3"/>
      <c r="C47" s="3"/>
      <c r="D47" s="3"/>
      <c r="E47" s="3"/>
      <c r="F47" s="3"/>
      <c r="G47" s="3"/>
      <c r="H47" s="3"/>
      <c r="I47" s="3"/>
      <c r="J47" s="3"/>
      <c r="K47" s="3"/>
      <c r="L47" s="3"/>
      <c r="M47" s="3"/>
      <c r="N47" s="3"/>
      <c r="O47" s="3"/>
      <c r="P47" s="3"/>
      <c r="Q47" s="3"/>
      <c r="R47" s="3"/>
      <c r="S47" s="3"/>
      <c r="T47" s="3"/>
      <c r="U47" s="3"/>
      <c r="V47" s="3"/>
      <c r="W47" s="3"/>
      <c r="X47" s="171"/>
      <c r="Y47" s="3"/>
      <c r="Z47" s="3"/>
      <c r="AA47" s="3"/>
    </row>
    <row r="48" spans="1:41" ht="27" hidden="1" customHeight="1">
      <c r="A48" s="499" t="s">
        <v>88</v>
      </c>
      <c r="B48" s="502" t="s">
        <v>89</v>
      </c>
      <c r="C48" s="503"/>
      <c r="D48" s="503"/>
      <c r="E48" s="503"/>
      <c r="F48" s="503"/>
      <c r="G48" s="504"/>
      <c r="H48" s="505" t="s">
        <v>90</v>
      </c>
      <c r="I48" s="506"/>
      <c r="J48" s="506"/>
      <c r="K48" s="506"/>
      <c r="L48" s="506"/>
      <c r="M48" s="506"/>
      <c r="N48" s="502" t="s">
        <v>89</v>
      </c>
      <c r="O48" s="503"/>
      <c r="P48" s="503"/>
      <c r="Q48" s="503"/>
      <c r="R48" s="503"/>
      <c r="S48" s="504"/>
      <c r="T48" s="511" t="s">
        <v>91</v>
      </c>
      <c r="U48" s="512"/>
      <c r="V48" s="512"/>
      <c r="W48" s="513"/>
      <c r="X48" s="502" t="s">
        <v>92</v>
      </c>
      <c r="Y48" s="503"/>
      <c r="Z48" s="503"/>
      <c r="AA48" s="503"/>
      <c r="AB48" s="520"/>
    </row>
    <row r="49" spans="1:32" ht="27" hidden="1" customHeight="1">
      <c r="A49" s="500"/>
      <c r="B49" s="485" t="s">
        <v>93</v>
      </c>
      <c r="C49" s="486"/>
      <c r="D49" s="486"/>
      <c r="E49" s="486"/>
      <c r="F49" s="486"/>
      <c r="G49" s="487"/>
      <c r="H49" s="507"/>
      <c r="I49" s="508"/>
      <c r="J49" s="508"/>
      <c r="K49" s="508"/>
      <c r="L49" s="508"/>
      <c r="M49" s="508"/>
      <c r="N49" s="485" t="s">
        <v>94</v>
      </c>
      <c r="O49" s="486"/>
      <c r="P49" s="486"/>
      <c r="Q49" s="486"/>
      <c r="R49" s="486"/>
      <c r="S49" s="487"/>
      <c r="T49" s="514"/>
      <c r="U49" s="515"/>
      <c r="V49" s="515"/>
      <c r="W49" s="516"/>
      <c r="X49" s="485" t="s">
        <v>95</v>
      </c>
      <c r="Y49" s="486"/>
      <c r="Z49" s="486"/>
      <c r="AA49" s="486"/>
      <c r="AB49" s="488"/>
      <c r="AD49" s="350">
        <f>LEN(Q47)</f>
        <v>0</v>
      </c>
      <c r="AE49" s="138"/>
    </row>
    <row r="50" spans="1:32" ht="27" hidden="1" customHeight="1" thickBot="1">
      <c r="A50" s="501"/>
      <c r="B50" s="489" t="s">
        <v>96</v>
      </c>
      <c r="C50" s="490"/>
      <c r="D50" s="490"/>
      <c r="E50" s="490"/>
      <c r="F50" s="490"/>
      <c r="G50" s="491"/>
      <c r="H50" s="509"/>
      <c r="I50" s="510"/>
      <c r="J50" s="510"/>
      <c r="K50" s="510"/>
      <c r="L50" s="510"/>
      <c r="M50" s="510"/>
      <c r="N50" s="489" t="s">
        <v>97</v>
      </c>
      <c r="O50" s="490"/>
      <c r="P50" s="490"/>
      <c r="Q50" s="490"/>
      <c r="R50" s="490"/>
      <c r="S50" s="491"/>
      <c r="T50" s="517"/>
      <c r="U50" s="518"/>
      <c r="V50" s="518"/>
      <c r="W50" s="519"/>
      <c r="X50" s="489" t="s">
        <v>98</v>
      </c>
      <c r="Y50" s="490"/>
      <c r="Z50" s="490"/>
      <c r="AA50" s="490"/>
      <c r="AB50" s="492"/>
    </row>
    <row r="51" spans="1:32" hidden="1">
      <c r="G51" s="140"/>
      <c r="AE51" s="138"/>
    </row>
    <row r="52" spans="1:32" hidden="1">
      <c r="AE52" s="138"/>
    </row>
    <row r="53" spans="1:32" hidden="1">
      <c r="AE53" s="138"/>
    </row>
    <row r="54" spans="1:32" hidden="1">
      <c r="AE54" s="138"/>
    </row>
    <row r="55" spans="1:32" s="278" customFormat="1" ht="22.35" hidden="1" customHeight="1">
      <c r="A55" s="480" t="s">
        <v>66</v>
      </c>
      <c r="B55" s="480" t="s">
        <v>67</v>
      </c>
      <c r="C55" s="482" t="s">
        <v>68</v>
      </c>
      <c r="D55" s="483"/>
      <c r="E55" s="483"/>
      <c r="F55" s="483"/>
      <c r="G55" s="483"/>
      <c r="H55" s="483"/>
      <c r="I55" s="483"/>
      <c r="J55" s="483"/>
      <c r="K55" s="483"/>
      <c r="L55" s="483"/>
      <c r="M55" s="483"/>
      <c r="N55" s="483"/>
      <c r="O55" s="483"/>
      <c r="P55" s="484"/>
      <c r="AE55" s="138"/>
      <c r="AF55" s="138"/>
    </row>
    <row r="56" spans="1:32" s="278" customFormat="1" ht="22.35" hidden="1" customHeight="1">
      <c r="A56" s="481"/>
      <c r="B56" s="481"/>
      <c r="C56" s="279" t="s">
        <v>70</v>
      </c>
      <c r="D56" s="279" t="s">
        <v>99</v>
      </c>
      <c r="E56" s="279" t="s">
        <v>100</v>
      </c>
      <c r="F56" s="279" t="s">
        <v>101</v>
      </c>
      <c r="G56" s="279" t="s">
        <v>102</v>
      </c>
      <c r="H56" s="279" t="s">
        <v>103</v>
      </c>
      <c r="I56" s="279" t="s">
        <v>104</v>
      </c>
      <c r="J56" s="279" t="s">
        <v>105</v>
      </c>
      <c r="K56" s="279" t="s">
        <v>106</v>
      </c>
      <c r="L56" s="279" t="s">
        <v>107</v>
      </c>
      <c r="M56" s="279" t="s">
        <v>108</v>
      </c>
      <c r="N56" s="279" t="s">
        <v>109</v>
      </c>
      <c r="O56" s="279" t="s">
        <v>110</v>
      </c>
      <c r="P56" s="279" t="s">
        <v>71</v>
      </c>
      <c r="AE56" s="138"/>
      <c r="AF56" s="138"/>
    </row>
    <row r="57" spans="1:32" s="283" customFormat="1" ht="13.35" hidden="1" customHeight="1">
      <c r="A57" s="478" t="str">
        <f>+A35</f>
        <v xml:space="preserve">Implementación de los talleres de cambio cultural </v>
      </c>
      <c r="B57" s="478">
        <f>+B35</f>
        <v>0.03</v>
      </c>
      <c r="C57" s="280" t="s">
        <v>74</v>
      </c>
      <c r="D57" s="281">
        <f>+D35*$B$35/$P$35</f>
        <v>0</v>
      </c>
      <c r="E57" s="281">
        <f t="shared" ref="E57:O57" si="4">+E35*$B$35/$P$35</f>
        <v>2.7000000000000001E-3</v>
      </c>
      <c r="F57" s="281">
        <f t="shared" si="4"/>
        <v>2.7000000000000001E-3</v>
      </c>
      <c r="G57" s="281">
        <f t="shared" si="4"/>
        <v>2.7000000000000001E-3</v>
      </c>
      <c r="H57" s="281">
        <f t="shared" si="4"/>
        <v>2.7000000000000001E-3</v>
      </c>
      <c r="I57" s="281">
        <f t="shared" si="4"/>
        <v>2.7000000000000001E-3</v>
      </c>
      <c r="J57" s="281">
        <f t="shared" si="4"/>
        <v>2.7000000000000001E-3</v>
      </c>
      <c r="K57" s="281">
        <f t="shared" si="4"/>
        <v>2.7000000000000001E-3</v>
      </c>
      <c r="L57" s="281">
        <f t="shared" si="4"/>
        <v>2.7000000000000001E-3</v>
      </c>
      <c r="M57" s="281">
        <f t="shared" si="4"/>
        <v>2.7000000000000001E-3</v>
      </c>
      <c r="N57" s="281">
        <f t="shared" si="4"/>
        <v>2.7000000000000001E-3</v>
      </c>
      <c r="O57" s="281">
        <f t="shared" si="4"/>
        <v>3.0000000000000009E-3</v>
      </c>
      <c r="P57" s="282">
        <f>SUM(D57:O57)</f>
        <v>3.0000000000000006E-2</v>
      </c>
      <c r="AE57" s="139"/>
      <c r="AF57" s="139"/>
    </row>
    <row r="58" spans="1:32" s="283" customFormat="1" ht="13.35" hidden="1" customHeight="1">
      <c r="A58" s="479"/>
      <c r="B58" s="479"/>
      <c r="C58" s="284" t="s">
        <v>75</v>
      </c>
      <c r="D58" s="285">
        <f t="shared" ref="D58:O58" si="5">+D36*$B$35/$P$35</f>
        <v>0</v>
      </c>
      <c r="E58" s="285">
        <f t="shared" si="5"/>
        <v>2.7000000000000001E-3</v>
      </c>
      <c r="F58" s="285">
        <f t="shared" si="5"/>
        <v>2.7000000000000001E-3</v>
      </c>
      <c r="G58" s="285">
        <f t="shared" si="5"/>
        <v>2.7000000000000001E-3</v>
      </c>
      <c r="H58" s="285">
        <f t="shared" si="5"/>
        <v>2.7000000000000001E-3</v>
      </c>
      <c r="I58" s="285">
        <f t="shared" si="5"/>
        <v>2.7000000000000001E-3</v>
      </c>
      <c r="J58" s="285">
        <f t="shared" si="5"/>
        <v>2.7000000000000001E-3</v>
      </c>
      <c r="K58" s="285">
        <f t="shared" si="5"/>
        <v>2.7000000000000001E-3</v>
      </c>
      <c r="L58" s="285">
        <f t="shared" si="5"/>
        <v>2.7000000000000001E-3</v>
      </c>
      <c r="M58" s="285">
        <f t="shared" si="5"/>
        <v>2.7000000000000001E-3</v>
      </c>
      <c r="N58" s="285">
        <f t="shared" si="5"/>
        <v>2.7000000000000001E-3</v>
      </c>
      <c r="O58" s="285">
        <f t="shared" si="5"/>
        <v>3.0000000000000009E-3</v>
      </c>
      <c r="P58" s="286">
        <f t="shared" ref="P58:P64" si="6">SUM(D58:O58)</f>
        <v>3.0000000000000006E-2</v>
      </c>
      <c r="AE58" s="139"/>
      <c r="AF58" s="139"/>
    </row>
    <row r="59" spans="1:32" s="283" customFormat="1" ht="13.35" hidden="1" customHeight="1">
      <c r="A59" s="478" t="str">
        <f>+A38</f>
        <v xml:space="preserve">Producción e implementación de la estrategia de comunicaciones </v>
      </c>
      <c r="B59" s="478">
        <f>+B38</f>
        <v>0.03</v>
      </c>
      <c r="C59" s="280" t="s">
        <v>74</v>
      </c>
      <c r="D59" s="281">
        <f>+D38*$B$38/$P$38</f>
        <v>0</v>
      </c>
      <c r="E59" s="281">
        <f t="shared" ref="E59:O59" si="7">+E38*$B$38/$P$38</f>
        <v>2.7000000000000001E-3</v>
      </c>
      <c r="F59" s="281">
        <f t="shared" si="7"/>
        <v>2.7000000000000001E-3</v>
      </c>
      <c r="G59" s="281">
        <f t="shared" si="7"/>
        <v>2.7000000000000001E-3</v>
      </c>
      <c r="H59" s="281">
        <f t="shared" si="7"/>
        <v>2.7000000000000001E-3</v>
      </c>
      <c r="I59" s="281">
        <f t="shared" si="7"/>
        <v>2.7000000000000001E-3</v>
      </c>
      <c r="J59" s="281">
        <f t="shared" si="7"/>
        <v>2.7000000000000001E-3</v>
      </c>
      <c r="K59" s="281">
        <f t="shared" si="7"/>
        <v>2.7000000000000001E-3</v>
      </c>
      <c r="L59" s="281">
        <f t="shared" si="7"/>
        <v>2.7000000000000001E-3</v>
      </c>
      <c r="M59" s="281">
        <f t="shared" si="7"/>
        <v>2.7000000000000001E-3</v>
      </c>
      <c r="N59" s="281">
        <f t="shared" si="7"/>
        <v>2.7000000000000001E-3</v>
      </c>
      <c r="O59" s="281">
        <f t="shared" si="7"/>
        <v>3.0000000000000009E-3</v>
      </c>
      <c r="P59" s="282">
        <f t="shared" si="6"/>
        <v>3.0000000000000006E-2</v>
      </c>
      <c r="AE59" s="139"/>
      <c r="AF59" s="139"/>
    </row>
    <row r="60" spans="1:32" s="283" customFormat="1" ht="13.35" hidden="1" customHeight="1">
      <c r="A60" s="479"/>
      <c r="B60" s="479"/>
      <c r="C60" s="284" t="s">
        <v>75</v>
      </c>
      <c r="D60" s="285">
        <f t="shared" ref="D60:O60" si="8">+D39*$B$38/$P$38</f>
        <v>0</v>
      </c>
      <c r="E60" s="285">
        <f t="shared" si="8"/>
        <v>2.7000000000000001E-3</v>
      </c>
      <c r="F60" s="285">
        <f t="shared" si="8"/>
        <v>2.7000000000000001E-3</v>
      </c>
      <c r="G60" s="285">
        <f t="shared" si="8"/>
        <v>2.7000000000000001E-3</v>
      </c>
      <c r="H60" s="285">
        <f t="shared" si="8"/>
        <v>2.7000000000000001E-3</v>
      </c>
      <c r="I60" s="285">
        <f t="shared" si="8"/>
        <v>2.7000000000000001E-3</v>
      </c>
      <c r="J60" s="285">
        <f t="shared" si="8"/>
        <v>2.7000000000000001E-3</v>
      </c>
      <c r="K60" s="285">
        <f t="shared" si="8"/>
        <v>2.7000000000000001E-3</v>
      </c>
      <c r="L60" s="285">
        <f t="shared" si="8"/>
        <v>2.7000000000000001E-3</v>
      </c>
      <c r="M60" s="285">
        <f t="shared" si="8"/>
        <v>2.7000000000000001E-3</v>
      </c>
      <c r="N60" s="285">
        <f t="shared" si="8"/>
        <v>2.7000000000000001E-3</v>
      </c>
      <c r="O60" s="285">
        <f t="shared" si="8"/>
        <v>3.0000000000000009E-3</v>
      </c>
      <c r="P60" s="286">
        <f t="shared" si="6"/>
        <v>3.0000000000000006E-2</v>
      </c>
      <c r="AE60" s="139"/>
      <c r="AF60" s="139"/>
    </row>
    <row r="61" spans="1:32" s="283" customFormat="1" ht="13.35" hidden="1" customHeight="1">
      <c r="A61" s="478" t="str">
        <f>+A41</f>
        <v>Implementación del componente de amplificación [Red de Alianzas del Cuidado]</v>
      </c>
      <c r="B61" s="478">
        <f>+B41</f>
        <v>0.03</v>
      </c>
      <c r="C61" s="280" t="s">
        <v>74</v>
      </c>
      <c r="D61" s="281">
        <f>+D41*$B$41/$P$41</f>
        <v>0</v>
      </c>
      <c r="E61" s="281">
        <f t="shared" ref="E61:O61" si="9">+E41*$B$41/$P$41</f>
        <v>2.7000000000000001E-3</v>
      </c>
      <c r="F61" s="281">
        <f t="shared" si="9"/>
        <v>2.7000000000000001E-3</v>
      </c>
      <c r="G61" s="281">
        <f t="shared" si="9"/>
        <v>2.7000000000000001E-3</v>
      </c>
      <c r="H61" s="281">
        <f t="shared" si="9"/>
        <v>2.7000000000000001E-3</v>
      </c>
      <c r="I61" s="281">
        <f t="shared" si="9"/>
        <v>2.7000000000000001E-3</v>
      </c>
      <c r="J61" s="281">
        <f t="shared" si="9"/>
        <v>3.0000000000000009E-3</v>
      </c>
      <c r="K61" s="281">
        <f t="shared" si="9"/>
        <v>2.7000000000000001E-3</v>
      </c>
      <c r="L61" s="281">
        <f t="shared" si="9"/>
        <v>2.7000000000000001E-3</v>
      </c>
      <c r="M61" s="281">
        <f t="shared" si="9"/>
        <v>2.7000000000000001E-3</v>
      </c>
      <c r="N61" s="281">
        <f t="shared" si="9"/>
        <v>2.7000000000000001E-3</v>
      </c>
      <c r="O61" s="281">
        <f t="shared" si="9"/>
        <v>2.7000000000000001E-3</v>
      </c>
      <c r="P61" s="282">
        <f t="shared" si="6"/>
        <v>3.0000000000000006E-2</v>
      </c>
      <c r="AE61" s="139"/>
      <c r="AF61" s="139"/>
    </row>
    <row r="62" spans="1:32" s="283" customFormat="1" ht="13.35" hidden="1" customHeight="1">
      <c r="A62" s="479"/>
      <c r="B62" s="479"/>
      <c r="C62" s="284" t="s">
        <v>75</v>
      </c>
      <c r="D62" s="285">
        <f t="shared" ref="D62:O62" si="10">+D42*$B$41/$P$41</f>
        <v>0</v>
      </c>
      <c r="E62" s="285">
        <f t="shared" si="10"/>
        <v>2.7000000000000001E-3</v>
      </c>
      <c r="F62" s="285">
        <f t="shared" si="10"/>
        <v>2.7000000000000001E-3</v>
      </c>
      <c r="G62" s="285">
        <f t="shared" si="10"/>
        <v>2.7000000000000001E-3</v>
      </c>
      <c r="H62" s="285">
        <f t="shared" si="10"/>
        <v>2.7000000000000001E-3</v>
      </c>
      <c r="I62" s="285">
        <f t="shared" si="10"/>
        <v>2.7000000000000001E-3</v>
      </c>
      <c r="J62" s="285">
        <f t="shared" si="10"/>
        <v>3.0000000000000009E-3</v>
      </c>
      <c r="K62" s="285">
        <f t="shared" si="10"/>
        <v>2.7000000000000001E-3</v>
      </c>
      <c r="L62" s="285">
        <f t="shared" si="10"/>
        <v>2.7000000000000001E-3</v>
      </c>
      <c r="M62" s="285">
        <f t="shared" si="10"/>
        <v>2.7000000000000001E-3</v>
      </c>
      <c r="N62" s="285">
        <f t="shared" si="10"/>
        <v>2.7000000000000001E-3</v>
      </c>
      <c r="O62" s="285">
        <f t="shared" si="10"/>
        <v>2.7000000000000001E-3</v>
      </c>
      <c r="P62" s="286">
        <f t="shared" si="6"/>
        <v>3.0000000000000006E-2</v>
      </c>
      <c r="AE62" s="139"/>
      <c r="AF62" s="139"/>
    </row>
    <row r="63" spans="1:32" s="283" customFormat="1" ht="13.35" hidden="1" customHeight="1">
      <c r="A63" s="478" t="str">
        <f>+A44</f>
        <v>Monitoreo y seguimiento a acciones intersectoriales</v>
      </c>
      <c r="B63" s="478">
        <f>+B44</f>
        <v>0.03</v>
      </c>
      <c r="C63" s="280" t="s">
        <v>74</v>
      </c>
      <c r="D63" s="281">
        <f>+D44*$B$44/$P$44</f>
        <v>1.5000000000000002E-3</v>
      </c>
      <c r="E63" s="281">
        <f t="shared" ref="E63:O63" si="11">+E44*$B$44/$P$44</f>
        <v>2.7000000000000001E-3</v>
      </c>
      <c r="F63" s="281">
        <f t="shared" si="11"/>
        <v>2.7000000000000001E-3</v>
      </c>
      <c r="G63" s="281">
        <f t="shared" si="11"/>
        <v>2.7000000000000001E-3</v>
      </c>
      <c r="H63" s="281">
        <f t="shared" si="11"/>
        <v>2.7000000000000001E-3</v>
      </c>
      <c r="I63" s="281">
        <f t="shared" si="11"/>
        <v>2.7000000000000001E-3</v>
      </c>
      <c r="J63" s="281">
        <f t="shared" si="11"/>
        <v>2.7000000000000001E-3</v>
      </c>
      <c r="K63" s="281">
        <f t="shared" si="11"/>
        <v>2.7000000000000001E-3</v>
      </c>
      <c r="L63" s="281">
        <f t="shared" si="11"/>
        <v>2.7000000000000001E-3</v>
      </c>
      <c r="M63" s="281">
        <f t="shared" si="11"/>
        <v>2.7000000000000001E-3</v>
      </c>
      <c r="N63" s="281">
        <f t="shared" si="11"/>
        <v>2.7000000000000001E-3</v>
      </c>
      <c r="O63" s="281">
        <f t="shared" si="11"/>
        <v>1.5000000000000002E-3</v>
      </c>
      <c r="P63" s="282">
        <f t="shared" si="6"/>
        <v>3.0000000000000009E-2</v>
      </c>
      <c r="AE63" s="139"/>
      <c r="AF63" s="139"/>
    </row>
    <row r="64" spans="1:32" s="283" customFormat="1" ht="13.35" hidden="1" customHeight="1">
      <c r="A64" s="479"/>
      <c r="B64" s="479"/>
      <c r="C64" s="284" t="s">
        <v>75</v>
      </c>
      <c r="D64" s="285">
        <f t="shared" ref="D64:O64" si="12">+D45*$B$44/$P$44</f>
        <v>0</v>
      </c>
      <c r="E64" s="285">
        <f t="shared" si="12"/>
        <v>4.2000000000000015E-3</v>
      </c>
      <c r="F64" s="285">
        <f t="shared" si="12"/>
        <v>2.7000000000000001E-3</v>
      </c>
      <c r="G64" s="285">
        <f t="shared" si="12"/>
        <v>2.7000000000000001E-3</v>
      </c>
      <c r="H64" s="285">
        <f t="shared" si="12"/>
        <v>2.7000000000000001E-3</v>
      </c>
      <c r="I64" s="285">
        <f t="shared" si="12"/>
        <v>2.7000000000000001E-3</v>
      </c>
      <c r="J64" s="285">
        <f t="shared" si="12"/>
        <v>2.7000000000000001E-3</v>
      </c>
      <c r="K64" s="285">
        <f t="shared" si="12"/>
        <v>2.7000000000000001E-3</v>
      </c>
      <c r="L64" s="285">
        <f t="shared" si="12"/>
        <v>2.7000000000000001E-3</v>
      </c>
      <c r="M64" s="285">
        <f t="shared" si="12"/>
        <v>2.7000000000000001E-3</v>
      </c>
      <c r="N64" s="285">
        <f t="shared" si="12"/>
        <v>2.7000000000000001E-3</v>
      </c>
      <c r="O64" s="285">
        <f t="shared" si="12"/>
        <v>1.5000000000000002E-3</v>
      </c>
      <c r="P64" s="286">
        <f t="shared" si="6"/>
        <v>3.0000000000000009E-2</v>
      </c>
      <c r="AE64" s="139"/>
      <c r="AF64" s="139"/>
    </row>
    <row r="65" spans="3:32" s="283" customFormat="1" ht="11.25" hidden="1">
      <c r="C65" s="287"/>
      <c r="D65" s="288">
        <f>+D58+D60+D62+D64</f>
        <v>0</v>
      </c>
      <c r="E65" s="288">
        <f t="shared" ref="E65:O65" si="13">+E58+E60+E62+E64</f>
        <v>1.2300000000000002E-2</v>
      </c>
      <c r="F65" s="288">
        <f t="shared" si="13"/>
        <v>1.0800000000000001E-2</v>
      </c>
      <c r="G65" s="288">
        <f t="shared" si="13"/>
        <v>1.0800000000000001E-2</v>
      </c>
      <c r="H65" s="288">
        <f t="shared" si="13"/>
        <v>1.0800000000000001E-2</v>
      </c>
      <c r="I65" s="288">
        <f t="shared" si="13"/>
        <v>1.0800000000000001E-2</v>
      </c>
      <c r="J65" s="288">
        <f t="shared" si="13"/>
        <v>1.1100000000000002E-2</v>
      </c>
      <c r="K65" s="288">
        <f t="shared" si="13"/>
        <v>1.0800000000000001E-2</v>
      </c>
      <c r="L65" s="288">
        <f t="shared" si="13"/>
        <v>1.0800000000000001E-2</v>
      </c>
      <c r="M65" s="288">
        <f t="shared" si="13"/>
        <v>1.0800000000000001E-2</v>
      </c>
      <c r="N65" s="288">
        <f t="shared" si="13"/>
        <v>1.0800000000000001E-2</v>
      </c>
      <c r="O65" s="288">
        <f t="shared" si="13"/>
        <v>1.0200000000000002E-2</v>
      </c>
      <c r="P65" s="288">
        <f>+P58+P60+P62+P64</f>
        <v>0.12000000000000004</v>
      </c>
      <c r="AE65" s="139"/>
      <c r="AF65" s="139"/>
    </row>
    <row r="66" spans="3:32" s="289" customFormat="1" ht="12.75" hidden="1">
      <c r="C66" s="290" t="s">
        <v>111</v>
      </c>
      <c r="D66" s="291">
        <f>+D65*$C$30/$B$30</f>
        <v>0</v>
      </c>
      <c r="E66" s="291">
        <f t="shared" ref="E66:O66" si="14">+E65*$C$30/$B$30</f>
        <v>7.1750000000000008E-2</v>
      </c>
      <c r="F66" s="291">
        <f t="shared" si="14"/>
        <v>6.3E-2</v>
      </c>
      <c r="G66" s="291">
        <f t="shared" si="14"/>
        <v>6.3E-2</v>
      </c>
      <c r="H66" s="291">
        <f t="shared" si="14"/>
        <v>6.3E-2</v>
      </c>
      <c r="I66" s="291">
        <f t="shared" si="14"/>
        <v>6.3E-2</v>
      </c>
      <c r="J66" s="291">
        <f t="shared" si="14"/>
        <v>6.4750000000000016E-2</v>
      </c>
      <c r="K66" s="291">
        <f t="shared" si="14"/>
        <v>6.3E-2</v>
      </c>
      <c r="L66" s="291">
        <f t="shared" si="14"/>
        <v>6.3E-2</v>
      </c>
      <c r="M66" s="291">
        <f t="shared" si="14"/>
        <v>6.3E-2</v>
      </c>
      <c r="N66" s="291">
        <f t="shared" si="14"/>
        <v>6.3E-2</v>
      </c>
      <c r="O66" s="291">
        <f t="shared" si="14"/>
        <v>5.9500000000000011E-2</v>
      </c>
      <c r="P66" s="292">
        <f>SUM(D66:O66)</f>
        <v>0.70000000000000007</v>
      </c>
      <c r="Q66" s="293"/>
      <c r="AE66" s="431"/>
      <c r="AF66" s="431"/>
    </row>
    <row r="67" spans="3:32" customFormat="1" hidden="1">
      <c r="C67" s="283" t="s">
        <v>112</v>
      </c>
      <c r="D67" s="393">
        <f>+(D66/1.75)+0.3</f>
        <v>0.3</v>
      </c>
      <c r="E67" s="139">
        <f>+((+D66+E66)/1.75)+0.3</f>
        <v>0.34099999999999997</v>
      </c>
      <c r="F67" s="139">
        <f>+((+D66+E66+F66)/1.75)+0.3</f>
        <v>0.377</v>
      </c>
      <c r="G67" s="139">
        <f>+((D66+E66+F66+G66)/1.75)+0.3</f>
        <v>0.41299999999999998</v>
      </c>
      <c r="H67" s="139">
        <f>+((D66+E66+F66+G66+H66)/1.75)+0.3</f>
        <v>0.44900000000000001</v>
      </c>
      <c r="I67" s="139">
        <f>+((D66+E66+F66+G66+H66+I66)/1.75)+0.3</f>
        <v>0.48499999999999999</v>
      </c>
      <c r="J67" s="139">
        <f>+((D66+E66+F66+G66+H66+I66+J66)/1.75)+0.3</f>
        <v>0.52200000000000002</v>
      </c>
      <c r="K67" s="139">
        <f>+((D66+E66+F66+G66+H66+I66+J66+K66)/1.75)+0.3</f>
        <v>0.55800000000000005</v>
      </c>
      <c r="L67" s="139">
        <f>+((D66+E66+F66+G66+H66+I66+J66+K66+L66)/1.75)+0.3</f>
        <v>0.59400000000000008</v>
      </c>
      <c r="M67" s="139">
        <f>+((D66+E66+F66+G66+H66+I66+J66+K66+L66+M66)/1.75)+0.3</f>
        <v>0.63000000000000012</v>
      </c>
      <c r="N67" s="139">
        <f>+((D66+E66+F66+G66+H66+I66+J66+K66+L66+M66+N66)/1.75)+0.3</f>
        <v>0.66600000000000004</v>
      </c>
      <c r="O67" s="139">
        <f>+((D66+E66+F66+G66+H66+I66+J66+K66+L66+M66+N66+O66)/1.75)+0.3</f>
        <v>0.7</v>
      </c>
      <c r="P67" s="283">
        <f>+O67</f>
        <v>0.7</v>
      </c>
      <c r="AE67" s="433"/>
      <c r="AF67" s="433"/>
    </row>
    <row r="68" spans="3:32" hidden="1"/>
  </sheetData>
  <mergeCells count="125">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B44:B45"/>
    <mergeCell ref="Q44:AB46"/>
    <mergeCell ref="A46:B46"/>
    <mergeCell ref="B49:G49"/>
    <mergeCell ref="N49:S49"/>
    <mergeCell ref="A32:AB32"/>
    <mergeCell ref="A33:A34"/>
    <mergeCell ref="B33:B34"/>
    <mergeCell ref="C33:P33"/>
    <mergeCell ref="Q33:AB33"/>
    <mergeCell ref="Q34:AB34"/>
    <mergeCell ref="X49:AB49"/>
    <mergeCell ref="B41:B42"/>
    <mergeCell ref="Q41:AB43"/>
    <mergeCell ref="A43:B43"/>
    <mergeCell ref="A44:A45"/>
    <mergeCell ref="A31:C31"/>
    <mergeCell ref="Q30:T31"/>
    <mergeCell ref="U30:X31"/>
    <mergeCell ref="Y30:AB31"/>
    <mergeCell ref="A63:A64"/>
    <mergeCell ref="B63:B64"/>
    <mergeCell ref="B50:G50"/>
    <mergeCell ref="N50:S50"/>
    <mergeCell ref="X50:AB50"/>
    <mergeCell ref="A35:A36"/>
    <mergeCell ref="B35:B36"/>
    <mergeCell ref="Q35:AB37"/>
    <mergeCell ref="A37:B37"/>
    <mergeCell ref="A48:A50"/>
    <mergeCell ref="B48:G48"/>
    <mergeCell ref="H48:M50"/>
    <mergeCell ref="N48:S48"/>
    <mergeCell ref="T48:W50"/>
    <mergeCell ref="X48:AB48"/>
    <mergeCell ref="A38:A39"/>
    <mergeCell ref="B38:B39"/>
    <mergeCell ref="Q38:AB40"/>
    <mergeCell ref="A40:B40"/>
    <mergeCell ref="A41:A42"/>
    <mergeCell ref="A55:A56"/>
    <mergeCell ref="B55:B56"/>
    <mergeCell ref="C55:P55"/>
    <mergeCell ref="A57:A58"/>
    <mergeCell ref="B57:B58"/>
    <mergeCell ref="A59:A60"/>
    <mergeCell ref="B59:B60"/>
    <mergeCell ref="A61:A62"/>
    <mergeCell ref="B61:B62"/>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AD30:AD31 Q30 Q38:AB46">
      <formula1>2000</formula1>
    </dataValidation>
    <dataValidation type="textLength" operator="lessThanOrEqual" allowBlank="1" showInputMessage="1" showErrorMessage="1" errorTitle="Máximo 1.000 caracteres" error="Máximo 1.000 caracteres" sqref="U30">
      <formula1>1000</formula1>
    </dataValidation>
  </dataValidations>
  <printOptions horizontalCentered="1"/>
  <pageMargins left="0.19685039370078741" right="0.19685039370078741" top="0.39370078740157483" bottom="0.39370078740157483" header="0" footer="0"/>
  <pageSetup scale="28" orientation="landscape" r:id="rId1"/>
  <rowBreaks count="2" manualBreakCount="2">
    <brk id="46" max="27" man="1"/>
    <brk id="50" max="2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64"/>
  <sheetViews>
    <sheetView topLeftCell="N11" zoomScale="86" zoomScaleNormal="90" workbookViewId="0">
      <selection activeCell="Z18" sqref="Z18:AB18"/>
    </sheetView>
  </sheetViews>
  <sheetFormatPr baseColWidth="10" defaultColWidth="11.42578125" defaultRowHeight="15"/>
  <cols>
    <col min="1" max="1" width="38.42578125" style="119" customWidth="1"/>
    <col min="2" max="2" width="18.28515625" style="119" customWidth="1"/>
    <col min="3" max="3" width="17.42578125" style="119" customWidth="1"/>
    <col min="4" max="6" width="7" style="119" customWidth="1"/>
    <col min="7" max="15" width="7.7109375" style="119" customWidth="1"/>
    <col min="16" max="16" width="13.7109375" style="119" customWidth="1"/>
    <col min="17" max="20" width="19.7109375" style="119" customWidth="1"/>
    <col min="21" max="24" width="13.140625" style="119" customWidth="1"/>
    <col min="25" max="28" width="13" style="119" customWidth="1"/>
    <col min="29" max="29" width="6.28515625" style="119" bestFit="1" customWidth="1"/>
    <col min="30" max="30" width="11.7109375" style="119" customWidth="1"/>
    <col min="31" max="31" width="9.140625" style="119" bestFit="1" customWidth="1"/>
    <col min="32" max="32" width="41.42578125" style="119" customWidth="1"/>
    <col min="33" max="33" width="18.42578125" style="119" bestFit="1" customWidth="1"/>
    <col min="34" max="34" width="5.7109375" style="119" customWidth="1"/>
    <col min="35" max="35" width="18.42578125" style="119" bestFit="1" customWidth="1"/>
    <col min="36" max="36" width="4.7109375" style="119" customWidth="1"/>
    <col min="37" max="37" width="23" style="119" bestFit="1" customWidth="1"/>
    <col min="38" max="38" width="11.42578125" style="119"/>
    <col min="39" max="39" width="18.42578125" style="119" bestFit="1" customWidth="1"/>
    <col min="40" max="40" width="16.140625" style="119" customWidth="1"/>
    <col min="41" max="16384" width="11.42578125" style="119"/>
  </cols>
  <sheetData>
    <row r="1" spans="1:28" ht="32.25" customHeight="1">
      <c r="A1" s="670"/>
      <c r="B1" s="673" t="s">
        <v>0</v>
      </c>
      <c r="C1" s="674"/>
      <c r="D1" s="674"/>
      <c r="E1" s="674"/>
      <c r="F1" s="674"/>
      <c r="G1" s="674"/>
      <c r="H1" s="674"/>
      <c r="I1" s="674"/>
      <c r="J1" s="674"/>
      <c r="K1" s="674"/>
      <c r="L1" s="674"/>
      <c r="M1" s="674"/>
      <c r="N1" s="674"/>
      <c r="O1" s="674"/>
      <c r="P1" s="674"/>
      <c r="Q1" s="674"/>
      <c r="R1" s="674"/>
      <c r="S1" s="674"/>
      <c r="T1" s="674"/>
      <c r="U1" s="674"/>
      <c r="V1" s="674"/>
      <c r="W1" s="674"/>
      <c r="X1" s="674"/>
      <c r="Y1" s="675"/>
      <c r="Z1" s="676" t="s">
        <v>1</v>
      </c>
      <c r="AA1" s="677"/>
      <c r="AB1" s="678"/>
    </row>
    <row r="2" spans="1:28" ht="30.75" customHeight="1">
      <c r="A2" s="671"/>
      <c r="B2" s="679" t="s">
        <v>2</v>
      </c>
      <c r="C2" s="680"/>
      <c r="D2" s="680"/>
      <c r="E2" s="680"/>
      <c r="F2" s="680"/>
      <c r="G2" s="680"/>
      <c r="H2" s="680"/>
      <c r="I2" s="680"/>
      <c r="J2" s="680"/>
      <c r="K2" s="680"/>
      <c r="L2" s="680"/>
      <c r="M2" s="680"/>
      <c r="N2" s="680"/>
      <c r="O2" s="680"/>
      <c r="P2" s="680"/>
      <c r="Q2" s="680"/>
      <c r="R2" s="680"/>
      <c r="S2" s="680"/>
      <c r="T2" s="680"/>
      <c r="U2" s="680"/>
      <c r="V2" s="680"/>
      <c r="W2" s="680"/>
      <c r="X2" s="680"/>
      <c r="Y2" s="681"/>
      <c r="Z2" s="682" t="s">
        <v>3</v>
      </c>
      <c r="AA2" s="683"/>
      <c r="AB2" s="684"/>
    </row>
    <row r="3" spans="1:28" ht="24" customHeight="1">
      <c r="A3" s="671"/>
      <c r="B3" s="685" t="s">
        <v>4</v>
      </c>
      <c r="C3" s="686"/>
      <c r="D3" s="686"/>
      <c r="E3" s="686"/>
      <c r="F3" s="686"/>
      <c r="G3" s="686"/>
      <c r="H3" s="686"/>
      <c r="I3" s="686"/>
      <c r="J3" s="686"/>
      <c r="K3" s="686"/>
      <c r="L3" s="686"/>
      <c r="M3" s="686"/>
      <c r="N3" s="686"/>
      <c r="O3" s="686"/>
      <c r="P3" s="686"/>
      <c r="Q3" s="686"/>
      <c r="R3" s="686"/>
      <c r="S3" s="686"/>
      <c r="T3" s="686"/>
      <c r="U3" s="686"/>
      <c r="V3" s="686"/>
      <c r="W3" s="686"/>
      <c r="X3" s="686"/>
      <c r="Y3" s="687"/>
      <c r="Z3" s="682" t="s">
        <v>5</v>
      </c>
      <c r="AA3" s="683"/>
      <c r="AB3" s="684"/>
    </row>
    <row r="4" spans="1:28" ht="15.75" customHeight="1" thickBot="1">
      <c r="A4" s="672"/>
      <c r="B4" s="688"/>
      <c r="C4" s="689"/>
      <c r="D4" s="689"/>
      <c r="E4" s="689"/>
      <c r="F4" s="689"/>
      <c r="G4" s="689"/>
      <c r="H4" s="689"/>
      <c r="I4" s="689"/>
      <c r="J4" s="689"/>
      <c r="K4" s="689"/>
      <c r="L4" s="689"/>
      <c r="M4" s="689"/>
      <c r="N4" s="689"/>
      <c r="O4" s="689"/>
      <c r="P4" s="689"/>
      <c r="Q4" s="689"/>
      <c r="R4" s="689"/>
      <c r="S4" s="689"/>
      <c r="T4" s="689"/>
      <c r="U4" s="689"/>
      <c r="V4" s="689"/>
      <c r="W4" s="689"/>
      <c r="X4" s="689"/>
      <c r="Y4" s="690"/>
      <c r="Z4" s="691" t="s">
        <v>6</v>
      </c>
      <c r="AA4" s="692"/>
      <c r="AB4" s="693"/>
    </row>
    <row r="5" spans="1:28" ht="9" customHeight="1" thickBot="1">
      <c r="A5" s="69"/>
      <c r="B5" s="67"/>
      <c r="C5" s="68"/>
      <c r="D5" s="6"/>
      <c r="E5" s="6"/>
      <c r="F5" s="6"/>
      <c r="G5" s="6"/>
      <c r="H5" s="6"/>
      <c r="I5" s="6"/>
      <c r="J5" s="6"/>
      <c r="K5" s="6"/>
      <c r="L5" s="6"/>
      <c r="M5" s="6"/>
      <c r="N5" s="6"/>
      <c r="O5" s="6"/>
      <c r="P5" s="6"/>
      <c r="Q5" s="6"/>
      <c r="R5" s="6"/>
      <c r="S5" s="6"/>
      <c r="T5" s="6"/>
      <c r="U5" s="6"/>
      <c r="V5" s="6"/>
      <c r="W5" s="6"/>
      <c r="X5" s="6"/>
      <c r="Y5" s="6"/>
      <c r="Z5" s="7"/>
      <c r="AA5" s="1"/>
      <c r="AB5" s="70"/>
    </row>
    <row r="6" spans="1:28" ht="9" customHeight="1" thickBot="1">
      <c r="A6" s="5"/>
      <c r="B6" s="6"/>
      <c r="C6" s="6"/>
      <c r="D6" s="6"/>
      <c r="E6" s="6"/>
      <c r="F6" s="6"/>
      <c r="G6" s="6"/>
      <c r="H6" s="6"/>
      <c r="I6" s="6"/>
      <c r="J6" s="6"/>
      <c r="K6" s="6"/>
      <c r="L6" s="6"/>
      <c r="M6" s="6"/>
      <c r="N6" s="6"/>
      <c r="O6" s="6"/>
      <c r="P6" s="6"/>
      <c r="Q6" s="6"/>
      <c r="R6" s="6"/>
      <c r="S6" s="6"/>
      <c r="T6" s="6"/>
      <c r="U6" s="6"/>
      <c r="V6" s="6"/>
      <c r="W6" s="6"/>
      <c r="X6" s="6"/>
      <c r="Y6" s="6"/>
      <c r="Z6" s="6"/>
      <c r="AA6" s="3"/>
      <c r="AB6" s="71"/>
    </row>
    <row r="7" spans="1:28" ht="15" customHeight="1">
      <c r="A7" s="607" t="s">
        <v>7</v>
      </c>
      <c r="B7" s="608"/>
      <c r="C7" s="649" t="s">
        <v>8</v>
      </c>
      <c r="D7" s="506"/>
      <c r="E7" s="506"/>
      <c r="F7" s="506"/>
      <c r="G7" s="506"/>
      <c r="H7" s="506"/>
      <c r="I7" s="506"/>
      <c r="J7" s="506"/>
      <c r="K7" s="650"/>
      <c r="L7" s="120"/>
      <c r="M7" s="121"/>
      <c r="N7" s="121"/>
      <c r="O7" s="121"/>
      <c r="P7" s="121"/>
      <c r="Q7" s="122"/>
      <c r="R7" s="655" t="s">
        <v>9</v>
      </c>
      <c r="S7" s="656"/>
      <c r="T7" s="657"/>
      <c r="U7" s="664">
        <v>44561</v>
      </c>
      <c r="V7" s="665"/>
      <c r="W7" s="655" t="s">
        <v>11</v>
      </c>
      <c r="X7" s="657"/>
      <c r="Y7" s="625" t="s">
        <v>12</v>
      </c>
      <c r="Z7" s="626"/>
      <c r="AA7" s="705"/>
      <c r="AB7" s="706"/>
    </row>
    <row r="8" spans="1:28" ht="15" customHeight="1">
      <c r="A8" s="647"/>
      <c r="B8" s="648"/>
      <c r="C8" s="651"/>
      <c r="D8" s="508"/>
      <c r="E8" s="508"/>
      <c r="F8" s="508"/>
      <c r="G8" s="508"/>
      <c r="H8" s="508"/>
      <c r="I8" s="508"/>
      <c r="J8" s="508"/>
      <c r="K8" s="652"/>
      <c r="L8" s="120"/>
      <c r="M8" s="121"/>
      <c r="N8" s="121"/>
      <c r="O8" s="121"/>
      <c r="P8" s="121"/>
      <c r="Q8" s="122"/>
      <c r="R8" s="658"/>
      <c r="S8" s="659"/>
      <c r="T8" s="660"/>
      <c r="U8" s="666"/>
      <c r="V8" s="667"/>
      <c r="W8" s="658"/>
      <c r="X8" s="660"/>
      <c r="Y8" s="707" t="s">
        <v>13</v>
      </c>
      <c r="Z8" s="708"/>
      <c r="AA8" s="709"/>
      <c r="AB8" s="710"/>
    </row>
    <row r="9" spans="1:28" ht="15" customHeight="1" thickBot="1">
      <c r="A9" s="609"/>
      <c r="B9" s="610"/>
      <c r="C9" s="653"/>
      <c r="D9" s="510"/>
      <c r="E9" s="510"/>
      <c r="F9" s="510"/>
      <c r="G9" s="510"/>
      <c r="H9" s="510"/>
      <c r="I9" s="510"/>
      <c r="J9" s="510"/>
      <c r="K9" s="654"/>
      <c r="L9" s="120"/>
      <c r="M9" s="121"/>
      <c r="N9" s="121"/>
      <c r="O9" s="121"/>
      <c r="P9" s="121"/>
      <c r="Q9" s="122"/>
      <c r="R9" s="661"/>
      <c r="S9" s="662"/>
      <c r="T9" s="663"/>
      <c r="U9" s="668"/>
      <c r="V9" s="669"/>
      <c r="W9" s="661"/>
      <c r="X9" s="663"/>
      <c r="Y9" s="711" t="s">
        <v>14</v>
      </c>
      <c r="Z9" s="712"/>
      <c r="AA9" s="713" t="s">
        <v>15</v>
      </c>
      <c r="AB9" s="714"/>
    </row>
    <row r="10" spans="1:28" ht="9" customHeight="1" thickBot="1">
      <c r="A10" s="66"/>
      <c r="B10" s="73"/>
      <c r="C10" s="9"/>
      <c r="D10" s="9"/>
      <c r="E10" s="9"/>
      <c r="F10" s="9"/>
      <c r="G10" s="9"/>
      <c r="H10" s="9"/>
      <c r="I10" s="9"/>
      <c r="J10" s="9"/>
      <c r="K10" s="9"/>
      <c r="L10" s="9"/>
      <c r="M10" s="413"/>
      <c r="N10" s="413"/>
      <c r="O10" s="413"/>
      <c r="P10" s="413"/>
      <c r="Q10" s="413"/>
      <c r="R10" s="76"/>
      <c r="S10" s="76"/>
      <c r="T10" s="76"/>
      <c r="U10" s="76"/>
      <c r="V10" s="76"/>
      <c r="W10" s="414"/>
      <c r="X10" s="414"/>
      <c r="Y10" s="414"/>
      <c r="Z10" s="414"/>
      <c r="AA10" s="414"/>
      <c r="AB10" s="415"/>
    </row>
    <row r="11" spans="1:28" ht="65.099999999999994" customHeight="1" thickBot="1">
      <c r="A11" s="637" t="s">
        <v>16</v>
      </c>
      <c r="B11" s="638"/>
      <c r="C11" s="639" t="s">
        <v>17</v>
      </c>
      <c r="D11" s="640"/>
      <c r="E11" s="640"/>
      <c r="F11" s="640"/>
      <c r="G11" s="640"/>
      <c r="H11" s="640"/>
      <c r="I11" s="640"/>
      <c r="J11" s="640"/>
      <c r="K11" s="641"/>
      <c r="L11" s="418"/>
      <c r="M11" s="642" t="s">
        <v>18</v>
      </c>
      <c r="N11" s="643"/>
      <c r="O11" s="643"/>
      <c r="P11" s="643"/>
      <c r="Q11" s="613"/>
      <c r="R11" s="644" t="s">
        <v>19</v>
      </c>
      <c r="S11" s="645"/>
      <c r="T11" s="645"/>
      <c r="U11" s="645"/>
      <c r="V11" s="646"/>
      <c r="W11" s="642" t="s">
        <v>20</v>
      </c>
      <c r="X11" s="613"/>
      <c r="Y11" s="694" t="s">
        <v>21</v>
      </c>
      <c r="Z11" s="695"/>
      <c r="AA11" s="695"/>
      <c r="AB11" s="696"/>
    </row>
    <row r="12" spans="1:28" ht="9" customHeight="1" thickBot="1">
      <c r="A12" s="61"/>
      <c r="B12" s="75"/>
      <c r="C12" s="697"/>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4"/>
      <c r="AB12" s="72"/>
    </row>
    <row r="13" spans="1:28" s="78" customFormat="1" ht="37.5" customHeight="1" thickBot="1">
      <c r="A13" s="637" t="s">
        <v>22</v>
      </c>
      <c r="B13" s="638"/>
      <c r="C13" s="699" t="s">
        <v>156</v>
      </c>
      <c r="D13" s="700"/>
      <c r="E13" s="700"/>
      <c r="F13" s="700"/>
      <c r="G13" s="700"/>
      <c r="H13" s="700"/>
      <c r="I13" s="700"/>
      <c r="J13" s="700"/>
      <c r="K13" s="700"/>
      <c r="L13" s="700"/>
      <c r="M13" s="700"/>
      <c r="N13" s="700"/>
      <c r="O13" s="700"/>
      <c r="P13" s="700"/>
      <c r="Q13" s="701"/>
      <c r="R13" s="6"/>
      <c r="S13" s="515" t="s">
        <v>24</v>
      </c>
      <c r="T13" s="515"/>
      <c r="U13" s="174">
        <f>+Ponderación!E107</f>
        <v>0.25</v>
      </c>
      <c r="V13" s="702" t="s">
        <v>25</v>
      </c>
      <c r="W13" s="515"/>
      <c r="X13" s="515"/>
      <c r="Y13" s="515"/>
      <c r="Z13" s="6"/>
      <c r="AA13" s="703">
        <f>B30</f>
        <v>0.21</v>
      </c>
      <c r="AB13" s="704"/>
    </row>
    <row r="14" spans="1:28" ht="16.5" customHeight="1" thickBot="1">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24" customHeight="1" thickBot="1">
      <c r="A15" s="607" t="s">
        <v>26</v>
      </c>
      <c r="B15" s="608"/>
      <c r="C15" s="416" t="s">
        <v>27</v>
      </c>
      <c r="D15" s="611" t="s">
        <v>28</v>
      </c>
      <c r="E15" s="612"/>
      <c r="F15" s="611" t="s">
        <v>29</v>
      </c>
      <c r="G15" s="612"/>
      <c r="H15" s="611" t="s">
        <v>30</v>
      </c>
      <c r="I15" s="613"/>
      <c r="J15" s="413"/>
      <c r="K15" s="126"/>
      <c r="L15" s="413"/>
      <c r="M15" s="3"/>
      <c r="N15" s="3"/>
      <c r="O15" s="3"/>
      <c r="P15" s="3"/>
      <c r="Q15" s="614" t="s">
        <v>31</v>
      </c>
      <c r="R15" s="615"/>
      <c r="S15" s="615"/>
      <c r="T15" s="615"/>
      <c r="U15" s="615"/>
      <c r="V15" s="615"/>
      <c r="W15" s="615"/>
      <c r="X15" s="615"/>
      <c r="Y15" s="615"/>
      <c r="Z15" s="615"/>
      <c r="AA15" s="615"/>
      <c r="AB15" s="616"/>
    </row>
    <row r="16" spans="1:28" ht="35.25" customHeight="1" thickBot="1">
      <c r="A16" s="609"/>
      <c r="B16" s="610"/>
      <c r="C16" s="74"/>
      <c r="D16" s="617"/>
      <c r="E16" s="519"/>
      <c r="F16" s="517"/>
      <c r="G16" s="519"/>
      <c r="H16" s="517" t="s">
        <v>32</v>
      </c>
      <c r="I16" s="619"/>
      <c r="J16" s="413"/>
      <c r="K16" s="413"/>
      <c r="L16" s="413"/>
      <c r="M16" s="3"/>
      <c r="N16" s="3"/>
      <c r="O16" s="3"/>
      <c r="P16" s="3"/>
      <c r="Q16" s="733" t="s">
        <v>33</v>
      </c>
      <c r="R16" s="734"/>
      <c r="S16" s="734"/>
      <c r="T16" s="734"/>
      <c r="U16" s="734"/>
      <c r="V16" s="735"/>
      <c r="W16" s="736" t="s">
        <v>34</v>
      </c>
      <c r="X16" s="734"/>
      <c r="Y16" s="734"/>
      <c r="Z16" s="734"/>
      <c r="AA16" s="734"/>
      <c r="AB16" s="737"/>
    </row>
    <row r="17" spans="1:40" ht="27" customHeight="1">
      <c r="A17" s="2"/>
      <c r="B17" s="3"/>
      <c r="C17" s="3"/>
      <c r="D17" s="8"/>
      <c r="E17" s="8"/>
      <c r="F17" s="8"/>
      <c r="G17" s="8"/>
      <c r="H17" s="8"/>
      <c r="I17" s="8"/>
      <c r="J17" s="8"/>
      <c r="K17" s="8"/>
      <c r="L17" s="8"/>
      <c r="M17" s="3"/>
      <c r="N17" s="3"/>
      <c r="O17" s="3"/>
      <c r="P17" s="3"/>
      <c r="Q17" s="738" t="s">
        <v>35</v>
      </c>
      <c r="R17" s="739"/>
      <c r="S17" s="740"/>
      <c r="T17" s="741" t="s">
        <v>36</v>
      </c>
      <c r="U17" s="739"/>
      <c r="V17" s="740"/>
      <c r="W17" s="741" t="s">
        <v>35</v>
      </c>
      <c r="X17" s="739"/>
      <c r="Y17" s="740"/>
      <c r="Z17" s="741" t="s">
        <v>36</v>
      </c>
      <c r="AA17" s="739"/>
      <c r="AB17" s="742"/>
      <c r="AC17" s="127"/>
      <c r="AD17" s="127"/>
    </row>
    <row r="18" spans="1:40" ht="20.100000000000001" customHeight="1" thickBot="1">
      <c r="A18" s="5"/>
      <c r="B18" s="6"/>
      <c r="C18" s="8"/>
      <c r="D18" s="8"/>
      <c r="E18" s="8"/>
      <c r="F18" s="8"/>
      <c r="G18" s="128"/>
      <c r="H18" s="128"/>
      <c r="I18" s="128"/>
      <c r="J18" s="128"/>
      <c r="K18" s="128"/>
      <c r="L18" s="128"/>
      <c r="M18" s="8"/>
      <c r="N18" s="8"/>
      <c r="O18" s="8"/>
      <c r="P18" s="8"/>
      <c r="Q18" s="632">
        <v>0</v>
      </c>
      <c r="R18" s="633"/>
      <c r="S18" s="634"/>
      <c r="T18" s="635">
        <v>0</v>
      </c>
      <c r="U18" s="633"/>
      <c r="V18" s="634"/>
      <c r="W18" s="635">
        <f>+Ponderación!E16</f>
        <v>406002330.28000003</v>
      </c>
      <c r="X18" s="633"/>
      <c r="Y18" s="634"/>
      <c r="Z18" s="635">
        <v>373932330</v>
      </c>
      <c r="AA18" s="633"/>
      <c r="AB18" s="636"/>
      <c r="AC18" s="129"/>
      <c r="AD18" s="129"/>
    </row>
    <row r="19" spans="1:40" ht="7.5" customHeight="1" thickBot="1">
      <c r="A19" s="5"/>
      <c r="B19" s="6"/>
      <c r="C19" s="8"/>
      <c r="D19" s="8"/>
      <c r="E19" s="8"/>
      <c r="F19" s="8"/>
      <c r="G19" s="8"/>
      <c r="H19" s="8"/>
      <c r="I19" s="8"/>
      <c r="J19" s="8"/>
      <c r="K19" s="8"/>
      <c r="L19" s="8"/>
      <c r="M19" s="8"/>
      <c r="N19" s="8"/>
      <c r="O19" s="8"/>
      <c r="P19" s="8"/>
      <c r="Q19" s="8"/>
      <c r="R19" s="8"/>
      <c r="S19" s="8"/>
      <c r="T19" s="8"/>
      <c r="U19" s="8"/>
      <c r="V19" s="8"/>
      <c r="W19" s="8"/>
      <c r="X19" s="8"/>
      <c r="Y19" s="8"/>
      <c r="Z19" s="8"/>
      <c r="AA19" s="3"/>
      <c r="AB19" s="71"/>
    </row>
    <row r="20" spans="1:40" ht="17.25" customHeight="1">
      <c r="A20" s="597" t="s">
        <v>37</v>
      </c>
      <c r="B20" s="598"/>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600"/>
    </row>
    <row r="21" spans="1:40" ht="15" customHeight="1">
      <c r="A21" s="541" t="s">
        <v>38</v>
      </c>
      <c r="B21" s="602" t="s">
        <v>39</v>
      </c>
      <c r="C21" s="603"/>
      <c r="D21" s="604" t="s">
        <v>40</v>
      </c>
      <c r="E21" s="605"/>
      <c r="F21" s="605"/>
      <c r="G21" s="605"/>
      <c r="H21" s="605"/>
      <c r="I21" s="605"/>
      <c r="J21" s="605"/>
      <c r="K21" s="605"/>
      <c r="L21" s="605"/>
      <c r="M21" s="605"/>
      <c r="N21" s="605"/>
      <c r="O21" s="606"/>
      <c r="P21" s="542" t="s">
        <v>41</v>
      </c>
      <c r="Q21" s="542" t="s">
        <v>42</v>
      </c>
      <c r="R21" s="542"/>
      <c r="S21" s="542"/>
      <c r="T21" s="542"/>
      <c r="U21" s="542"/>
      <c r="V21" s="542"/>
      <c r="W21" s="542"/>
      <c r="X21" s="542"/>
      <c r="Y21" s="542"/>
      <c r="Z21" s="542"/>
      <c r="AA21" s="542"/>
      <c r="AB21" s="543"/>
    </row>
    <row r="22" spans="1:40" ht="27" customHeight="1">
      <c r="A22" s="601"/>
      <c r="B22" s="534"/>
      <c r="C22" s="538"/>
      <c r="D22" s="604" t="s">
        <v>27</v>
      </c>
      <c r="E22" s="605"/>
      <c r="F22" s="606"/>
      <c r="G22" s="604" t="s">
        <v>28</v>
      </c>
      <c r="H22" s="605"/>
      <c r="I22" s="606"/>
      <c r="J22" s="604" t="s">
        <v>29</v>
      </c>
      <c r="K22" s="605"/>
      <c r="L22" s="606"/>
      <c r="M22" s="604" t="s">
        <v>30</v>
      </c>
      <c r="N22" s="605"/>
      <c r="O22" s="606"/>
      <c r="P22" s="606"/>
      <c r="Q22" s="542"/>
      <c r="R22" s="542"/>
      <c r="S22" s="542"/>
      <c r="T22" s="542"/>
      <c r="U22" s="542"/>
      <c r="V22" s="542"/>
      <c r="W22" s="542"/>
      <c r="X22" s="542"/>
      <c r="Y22" s="542"/>
      <c r="Z22" s="542"/>
      <c r="AA22" s="542"/>
      <c r="AB22" s="543"/>
    </row>
    <row r="23" spans="1:40" ht="15" customHeight="1">
      <c r="A23" s="731"/>
      <c r="B23" s="575" t="s">
        <v>43</v>
      </c>
      <c r="C23" s="576"/>
      <c r="D23" s="591"/>
      <c r="E23" s="592"/>
      <c r="F23" s="593"/>
      <c r="G23" s="591"/>
      <c r="H23" s="592"/>
      <c r="I23" s="593"/>
      <c r="J23" s="591"/>
      <c r="K23" s="592"/>
      <c r="L23" s="593"/>
      <c r="M23" s="591" t="s">
        <v>32</v>
      </c>
      <c r="N23" s="592"/>
      <c r="O23" s="593"/>
      <c r="P23" s="563"/>
      <c r="Q23" s="780"/>
      <c r="R23" s="780"/>
      <c r="S23" s="780"/>
      <c r="T23" s="780"/>
      <c r="U23" s="780"/>
      <c r="V23" s="780"/>
      <c r="W23" s="780"/>
      <c r="X23" s="780"/>
      <c r="Y23" s="780"/>
      <c r="Z23" s="780"/>
      <c r="AA23" s="780"/>
      <c r="AB23" s="781"/>
    </row>
    <row r="24" spans="1:40" ht="15" customHeight="1">
      <c r="A24" s="731"/>
      <c r="B24" s="577"/>
      <c r="C24" s="578"/>
      <c r="D24" s="594"/>
      <c r="E24" s="595"/>
      <c r="F24" s="596"/>
      <c r="G24" s="594"/>
      <c r="H24" s="595"/>
      <c r="I24" s="596"/>
      <c r="J24" s="594"/>
      <c r="K24" s="595"/>
      <c r="L24" s="596"/>
      <c r="M24" s="594"/>
      <c r="N24" s="595"/>
      <c r="O24" s="596"/>
      <c r="P24" s="564"/>
      <c r="Q24" s="780"/>
      <c r="R24" s="780"/>
      <c r="S24" s="780"/>
      <c r="T24" s="780"/>
      <c r="U24" s="780"/>
      <c r="V24" s="780"/>
      <c r="W24" s="780"/>
      <c r="X24" s="780"/>
      <c r="Y24" s="780"/>
      <c r="Z24" s="780"/>
      <c r="AA24" s="780"/>
      <c r="AB24" s="781"/>
    </row>
    <row r="25" spans="1:40" ht="15" customHeight="1">
      <c r="A25" s="731"/>
      <c r="B25" s="577"/>
      <c r="C25" s="578"/>
      <c r="D25" s="594"/>
      <c r="E25" s="595"/>
      <c r="F25" s="596"/>
      <c r="G25" s="594"/>
      <c r="H25" s="595"/>
      <c r="I25" s="596"/>
      <c r="J25" s="594"/>
      <c r="K25" s="595"/>
      <c r="L25" s="596"/>
      <c r="M25" s="594"/>
      <c r="N25" s="595"/>
      <c r="O25" s="596"/>
      <c r="P25" s="564"/>
      <c r="Q25" s="780"/>
      <c r="R25" s="780"/>
      <c r="S25" s="780"/>
      <c r="T25" s="780"/>
      <c r="U25" s="780"/>
      <c r="V25" s="780"/>
      <c r="W25" s="780"/>
      <c r="X25" s="780"/>
      <c r="Y25" s="780"/>
      <c r="Z25" s="780"/>
      <c r="AA25" s="780"/>
      <c r="AB25" s="781"/>
    </row>
    <row r="26" spans="1:40" ht="15" customHeight="1" thickBot="1">
      <c r="A26" s="732"/>
      <c r="B26" s="577"/>
      <c r="C26" s="578"/>
      <c r="D26" s="594"/>
      <c r="E26" s="595"/>
      <c r="F26" s="596"/>
      <c r="G26" s="594"/>
      <c r="H26" s="595"/>
      <c r="I26" s="596"/>
      <c r="J26" s="594"/>
      <c r="K26" s="595"/>
      <c r="L26" s="596"/>
      <c r="M26" s="594"/>
      <c r="N26" s="595"/>
      <c r="O26" s="596"/>
      <c r="P26" s="564"/>
      <c r="Q26" s="782"/>
      <c r="R26" s="782"/>
      <c r="S26" s="782"/>
      <c r="T26" s="782"/>
      <c r="U26" s="782"/>
      <c r="V26" s="782"/>
      <c r="W26" s="782"/>
      <c r="X26" s="782"/>
      <c r="Y26" s="782"/>
      <c r="Z26" s="782"/>
      <c r="AA26" s="782"/>
      <c r="AB26" s="783"/>
    </row>
    <row r="27" spans="1:40" ht="51.75" customHeight="1">
      <c r="A27" s="569"/>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1"/>
    </row>
    <row r="28" spans="1:40" ht="36.75" customHeight="1">
      <c r="A28" s="541" t="s">
        <v>38</v>
      </c>
      <c r="B28" s="542" t="s">
        <v>45</v>
      </c>
      <c r="C28" s="542" t="s">
        <v>39</v>
      </c>
      <c r="D28" s="542" t="s">
        <v>46</v>
      </c>
      <c r="E28" s="542"/>
      <c r="F28" s="542"/>
      <c r="G28" s="542"/>
      <c r="H28" s="542"/>
      <c r="I28" s="542"/>
      <c r="J28" s="542"/>
      <c r="K28" s="542"/>
      <c r="L28" s="542"/>
      <c r="M28" s="542"/>
      <c r="N28" s="542"/>
      <c r="O28" s="542"/>
      <c r="P28" s="542"/>
      <c r="Q28" s="542" t="s">
        <v>47</v>
      </c>
      <c r="R28" s="542"/>
      <c r="S28" s="542"/>
      <c r="T28" s="542"/>
      <c r="U28" s="542"/>
      <c r="V28" s="542"/>
      <c r="W28" s="542"/>
      <c r="X28" s="542"/>
      <c r="Y28" s="542"/>
      <c r="Z28" s="542"/>
      <c r="AA28" s="542"/>
      <c r="AB28" s="543"/>
      <c r="AE28" s="130"/>
      <c r="AF28" s="130"/>
      <c r="AG28" s="130"/>
      <c r="AH28" s="130"/>
      <c r="AI28" s="130"/>
      <c r="AJ28" s="130"/>
      <c r="AK28" s="130"/>
      <c r="AL28" s="130"/>
      <c r="AM28" s="130"/>
      <c r="AN28" s="131"/>
    </row>
    <row r="29" spans="1:40" ht="25.5" customHeight="1">
      <c r="A29" s="541"/>
      <c r="B29" s="542"/>
      <c r="C29" s="572"/>
      <c r="D29" s="417" t="s">
        <v>48</v>
      </c>
      <c r="E29" s="417" t="s">
        <v>49</v>
      </c>
      <c r="F29" s="417" t="s">
        <v>50</v>
      </c>
      <c r="G29" s="417" t="s">
        <v>51</v>
      </c>
      <c r="H29" s="417" t="s">
        <v>52</v>
      </c>
      <c r="I29" s="417" t="s">
        <v>53</v>
      </c>
      <c r="J29" s="417" t="s">
        <v>54</v>
      </c>
      <c r="K29" s="417" t="s">
        <v>55</v>
      </c>
      <c r="L29" s="417" t="s">
        <v>56</v>
      </c>
      <c r="M29" s="417" t="s">
        <v>57</v>
      </c>
      <c r="N29" s="417" t="s">
        <v>58</v>
      </c>
      <c r="O29" s="417" t="s">
        <v>59</v>
      </c>
      <c r="P29" s="417" t="s">
        <v>41</v>
      </c>
      <c r="Q29" s="534" t="s">
        <v>60</v>
      </c>
      <c r="R29" s="535"/>
      <c r="S29" s="535"/>
      <c r="T29" s="538"/>
      <c r="U29" s="534" t="s">
        <v>61</v>
      </c>
      <c r="V29" s="535"/>
      <c r="W29" s="535"/>
      <c r="X29" s="538"/>
      <c r="Y29" s="534" t="s">
        <v>62</v>
      </c>
      <c r="Z29" s="535"/>
      <c r="AA29" s="535"/>
      <c r="AB29" s="536"/>
      <c r="AE29" s="130"/>
      <c r="AF29" s="130"/>
      <c r="AG29" s="130"/>
      <c r="AH29" s="130"/>
      <c r="AI29" s="130"/>
      <c r="AJ29" s="130"/>
      <c r="AK29" s="130"/>
      <c r="AL29" s="130"/>
      <c r="AM29" s="130"/>
      <c r="AN29" s="131"/>
    </row>
    <row r="30" spans="1:40" ht="304.5" customHeight="1">
      <c r="A30" s="405" t="str">
        <f>+C13</f>
        <v>Gestionar la implementación de una estrategia unidades móviles.  (Objetivo 2)</v>
      </c>
      <c r="B30" s="406">
        <f>B34+B37+B40</f>
        <v>0.21</v>
      </c>
      <c r="C30" s="411">
        <v>0.25</v>
      </c>
      <c r="D30" s="408">
        <f>+D63</f>
        <v>8.9285714285714281E-3</v>
      </c>
      <c r="E30" s="411">
        <f t="shared" ref="E30:O30" si="0">+E63</f>
        <v>1.1785714285714285E-2</v>
      </c>
      <c r="F30" s="411">
        <f t="shared" si="0"/>
        <v>2.4285714285714289E-2</v>
      </c>
      <c r="G30" s="411">
        <f t="shared" si="0"/>
        <v>2.4285714285714289E-2</v>
      </c>
      <c r="H30" s="411">
        <f t="shared" si="0"/>
        <v>2.4285714285714289E-2</v>
      </c>
      <c r="I30" s="411">
        <f t="shared" si="0"/>
        <v>2.4285714285714289E-2</v>
      </c>
      <c r="J30" s="411">
        <f t="shared" si="0"/>
        <v>2.4285714285714289E-2</v>
      </c>
      <c r="K30" s="411">
        <f t="shared" si="0"/>
        <v>2.4285714285714289E-2</v>
      </c>
      <c r="L30" s="411">
        <f t="shared" si="0"/>
        <v>2.4285714285714289E-2</v>
      </c>
      <c r="M30" s="411">
        <f t="shared" si="0"/>
        <v>2.4285714285714289E-2</v>
      </c>
      <c r="N30" s="411">
        <f t="shared" si="0"/>
        <v>2.4285714285714289E-2</v>
      </c>
      <c r="O30" s="411">
        <f t="shared" si="0"/>
        <v>1.0714285714285716E-2</v>
      </c>
      <c r="P30" s="412">
        <f>SUM(D30:O30)</f>
        <v>0.25000000000000006</v>
      </c>
      <c r="Q30" s="724" t="s">
        <v>427</v>
      </c>
      <c r="R30" s="725"/>
      <c r="S30" s="725"/>
      <c r="T30" s="726"/>
      <c r="U30" s="851"/>
      <c r="V30" s="852"/>
      <c r="W30" s="852"/>
      <c r="X30" s="853"/>
      <c r="Y30" s="760" t="s">
        <v>157</v>
      </c>
      <c r="Z30" s="761"/>
      <c r="AA30" s="761"/>
      <c r="AB30" s="762"/>
      <c r="AC30" s="132"/>
      <c r="AD30" s="355">
        <f>LEN(Q30)</f>
        <v>1383</v>
      </c>
      <c r="AE30" s="277"/>
      <c r="AF30" s="363" t="s">
        <v>429</v>
      </c>
      <c r="AG30" s="363">
        <f>+LEN(AF30)</f>
        <v>155</v>
      </c>
      <c r="AH30" s="130"/>
      <c r="AI30" s="130"/>
      <c r="AJ30" s="130"/>
      <c r="AK30" s="130"/>
      <c r="AL30" s="130"/>
      <c r="AM30" s="130"/>
      <c r="AN30" s="131"/>
    </row>
    <row r="31" spans="1:40" ht="18.75">
      <c r="A31" s="849"/>
      <c r="B31" s="850"/>
      <c r="C31" s="828"/>
      <c r="D31" s="828"/>
      <c r="E31" s="828"/>
      <c r="F31" s="828"/>
      <c r="G31" s="828"/>
      <c r="H31" s="828"/>
      <c r="I31" s="828"/>
      <c r="J31" s="828"/>
      <c r="K31" s="828"/>
      <c r="L31" s="828"/>
      <c r="M31" s="828"/>
      <c r="N31" s="828"/>
      <c r="O31" s="828"/>
      <c r="P31" s="828"/>
      <c r="Q31" s="828"/>
      <c r="R31" s="828"/>
      <c r="S31" s="828"/>
      <c r="T31" s="828"/>
      <c r="U31" s="828"/>
      <c r="V31" s="828"/>
      <c r="W31" s="828"/>
      <c r="X31" s="828"/>
      <c r="Y31" s="828"/>
      <c r="Z31" s="828"/>
      <c r="AA31" s="828"/>
      <c r="AB31" s="829"/>
      <c r="AD31" s="356"/>
      <c r="AE31" s="130"/>
      <c r="AF31" s="130"/>
      <c r="AG31" s="130"/>
      <c r="AH31" s="130"/>
      <c r="AI31" s="130"/>
      <c r="AJ31" s="130"/>
      <c r="AK31" s="130"/>
      <c r="AL31" s="130"/>
      <c r="AM31" s="130"/>
      <c r="AN31" s="131"/>
    </row>
    <row r="32" spans="1:40" ht="15" customHeight="1">
      <c r="A32" s="541" t="s">
        <v>66</v>
      </c>
      <c r="B32" s="729" t="s">
        <v>67</v>
      </c>
      <c r="C32" s="542" t="s">
        <v>68</v>
      </c>
      <c r="D32" s="542"/>
      <c r="E32" s="542"/>
      <c r="F32" s="542"/>
      <c r="G32" s="542"/>
      <c r="H32" s="542"/>
      <c r="I32" s="542"/>
      <c r="J32" s="542"/>
      <c r="K32" s="542"/>
      <c r="L32" s="542"/>
      <c r="M32" s="542"/>
      <c r="N32" s="542"/>
      <c r="O32" s="542"/>
      <c r="P32" s="542"/>
      <c r="Q32" s="604" t="s">
        <v>69</v>
      </c>
      <c r="R32" s="605"/>
      <c r="S32" s="605"/>
      <c r="T32" s="605"/>
      <c r="U32" s="605"/>
      <c r="V32" s="605"/>
      <c r="W32" s="605"/>
      <c r="X32" s="605"/>
      <c r="Y32" s="605"/>
      <c r="Z32" s="605"/>
      <c r="AA32" s="605"/>
      <c r="AB32" s="730"/>
      <c r="AD32" s="350"/>
      <c r="AE32" s="130"/>
      <c r="AF32" s="130"/>
      <c r="AG32" s="130"/>
      <c r="AH32" s="130"/>
      <c r="AI32" s="130"/>
      <c r="AJ32" s="130"/>
      <c r="AK32" s="130"/>
      <c r="AL32" s="130"/>
      <c r="AM32" s="130"/>
      <c r="AN32" s="131"/>
    </row>
    <row r="33" spans="1:40" ht="25.5" customHeight="1">
      <c r="A33" s="541"/>
      <c r="B33" s="539"/>
      <c r="C33" s="417" t="s">
        <v>70</v>
      </c>
      <c r="D33" s="417" t="s">
        <v>48</v>
      </c>
      <c r="E33" s="417" t="s">
        <v>49</v>
      </c>
      <c r="F33" s="417" t="s">
        <v>50</v>
      </c>
      <c r="G33" s="417" t="s">
        <v>51</v>
      </c>
      <c r="H33" s="417" t="s">
        <v>52</v>
      </c>
      <c r="I33" s="417" t="s">
        <v>53</v>
      </c>
      <c r="J33" s="417" t="s">
        <v>54</v>
      </c>
      <c r="K33" s="417" t="s">
        <v>55</v>
      </c>
      <c r="L33" s="417" t="s">
        <v>56</v>
      </c>
      <c r="M33" s="417" t="s">
        <v>57</v>
      </c>
      <c r="N33" s="417" t="s">
        <v>58</v>
      </c>
      <c r="O33" s="417" t="s">
        <v>59</v>
      </c>
      <c r="P33" s="107" t="s">
        <v>71</v>
      </c>
      <c r="Q33" s="604" t="s">
        <v>72</v>
      </c>
      <c r="R33" s="605"/>
      <c r="S33" s="605"/>
      <c r="T33" s="605"/>
      <c r="U33" s="605"/>
      <c r="V33" s="605"/>
      <c r="W33" s="605"/>
      <c r="X33" s="605"/>
      <c r="Y33" s="605"/>
      <c r="Z33" s="605"/>
      <c r="AA33" s="605"/>
      <c r="AB33" s="730"/>
      <c r="AD33" s="350"/>
      <c r="AE33" s="135"/>
      <c r="AF33" s="135"/>
      <c r="AG33" s="135"/>
      <c r="AH33" s="135"/>
      <c r="AI33" s="135"/>
      <c r="AJ33" s="135"/>
      <c r="AK33" s="135"/>
      <c r="AL33" s="135"/>
      <c r="AM33" s="135"/>
      <c r="AN33" s="131"/>
    </row>
    <row r="34" spans="1:40" ht="78.75" customHeight="1">
      <c r="A34" s="719" t="s">
        <v>158</v>
      </c>
      <c r="B34" s="767">
        <v>0.09</v>
      </c>
      <c r="C34" s="62" t="s">
        <v>74</v>
      </c>
      <c r="D34" s="63">
        <v>0.05</v>
      </c>
      <c r="E34" s="63">
        <v>0.05</v>
      </c>
      <c r="F34" s="63">
        <v>0.1</v>
      </c>
      <c r="G34" s="63">
        <v>0.1</v>
      </c>
      <c r="H34" s="63">
        <v>0.1</v>
      </c>
      <c r="I34" s="63">
        <v>0.1</v>
      </c>
      <c r="J34" s="63">
        <v>0.1</v>
      </c>
      <c r="K34" s="63">
        <v>0.1</v>
      </c>
      <c r="L34" s="63">
        <v>0.1</v>
      </c>
      <c r="M34" s="63">
        <v>0.1</v>
      </c>
      <c r="N34" s="63">
        <v>0.05</v>
      </c>
      <c r="O34" s="63">
        <v>0.05</v>
      </c>
      <c r="P34" s="64">
        <f>SUM(D34:O34)</f>
        <v>1</v>
      </c>
      <c r="Q34" s="525" t="s">
        <v>411</v>
      </c>
      <c r="R34" s="526"/>
      <c r="S34" s="526"/>
      <c r="T34" s="526"/>
      <c r="U34" s="526"/>
      <c r="V34" s="526"/>
      <c r="W34" s="526"/>
      <c r="X34" s="526"/>
      <c r="Y34" s="526"/>
      <c r="Z34" s="526"/>
      <c r="AA34" s="526"/>
      <c r="AB34" s="527"/>
      <c r="AC34" s="56"/>
      <c r="AD34" s="350"/>
      <c r="AE34" s="136"/>
      <c r="AF34" s="136"/>
      <c r="AG34" s="136"/>
      <c r="AH34" s="136"/>
      <c r="AI34" s="136"/>
      <c r="AJ34" s="136"/>
      <c r="AK34" s="136"/>
      <c r="AL34" s="136"/>
      <c r="AM34" s="136"/>
      <c r="AN34" s="131"/>
    </row>
    <row r="35" spans="1:40" ht="78.75" customHeight="1">
      <c r="A35" s="493"/>
      <c r="B35" s="721"/>
      <c r="C35" s="58" t="s">
        <v>75</v>
      </c>
      <c r="D35" s="10">
        <v>0.05</v>
      </c>
      <c r="E35" s="10">
        <v>0.05</v>
      </c>
      <c r="F35" s="10">
        <v>0.1</v>
      </c>
      <c r="G35" s="10">
        <v>0.1</v>
      </c>
      <c r="H35" s="10">
        <v>0.1</v>
      </c>
      <c r="I35" s="10">
        <v>0.1</v>
      </c>
      <c r="J35" s="10">
        <v>0.1</v>
      </c>
      <c r="K35" s="10">
        <v>0.1</v>
      </c>
      <c r="L35" s="10">
        <v>0.1</v>
      </c>
      <c r="M35" s="10">
        <v>0.1</v>
      </c>
      <c r="N35" s="10">
        <v>0.1</v>
      </c>
      <c r="O35" s="10"/>
      <c r="P35" s="11">
        <f t="shared" ref="P35:P41" si="1">SUM(D35:O35)</f>
        <v>0.99999999999999989</v>
      </c>
      <c r="Q35" s="528"/>
      <c r="R35" s="529"/>
      <c r="S35" s="529"/>
      <c r="T35" s="529"/>
      <c r="U35" s="529"/>
      <c r="V35" s="529"/>
      <c r="W35" s="529"/>
      <c r="X35" s="529"/>
      <c r="Y35" s="529"/>
      <c r="Z35" s="529"/>
      <c r="AA35" s="529"/>
      <c r="AB35" s="530"/>
      <c r="AC35" s="56"/>
      <c r="AD35" s="350"/>
      <c r="AE35" s="131"/>
      <c r="AF35" s="131"/>
      <c r="AG35" s="131"/>
      <c r="AH35" s="131"/>
      <c r="AI35" s="131"/>
      <c r="AJ35" s="131"/>
      <c r="AK35" s="131"/>
      <c r="AL35" s="131"/>
      <c r="AM35" s="131"/>
      <c r="AN35" s="131"/>
    </row>
    <row r="36" spans="1:40" ht="24.75" customHeight="1">
      <c r="A36" s="722"/>
      <c r="B36" s="723"/>
      <c r="C36" s="60"/>
      <c r="D36" s="60"/>
      <c r="E36" s="65"/>
      <c r="F36" s="60"/>
      <c r="G36" s="60"/>
      <c r="H36" s="60"/>
      <c r="I36" s="60"/>
      <c r="J36" s="60"/>
      <c r="K36" s="60"/>
      <c r="L36" s="60"/>
      <c r="M36" s="60"/>
      <c r="N36" s="60"/>
      <c r="O36" s="60"/>
      <c r="P36" s="137">
        <f>SUM(D36:O36)</f>
        <v>0</v>
      </c>
      <c r="Q36" s="531"/>
      <c r="R36" s="532"/>
      <c r="S36" s="532"/>
      <c r="T36" s="532"/>
      <c r="U36" s="532"/>
      <c r="V36" s="532"/>
      <c r="W36" s="532"/>
      <c r="X36" s="532"/>
      <c r="Y36" s="532"/>
      <c r="Z36" s="532"/>
      <c r="AA36" s="532"/>
      <c r="AB36" s="533"/>
      <c r="AC36" s="56"/>
      <c r="AD36" s="350">
        <f>LEN(Q34)</f>
        <v>1544</v>
      </c>
      <c r="AE36" s="131"/>
      <c r="AF36" s="131"/>
      <c r="AG36" s="131"/>
      <c r="AH36" s="131"/>
      <c r="AI36" s="131"/>
      <c r="AJ36" s="131"/>
      <c r="AK36" s="131"/>
      <c r="AL36" s="131"/>
      <c r="AM36" s="131"/>
      <c r="AN36" s="131"/>
    </row>
    <row r="37" spans="1:40" ht="39.950000000000003" customHeight="1">
      <c r="A37" s="719" t="s">
        <v>159</v>
      </c>
      <c r="B37" s="767">
        <v>0.06</v>
      </c>
      <c r="C37" s="57" t="s">
        <v>74</v>
      </c>
      <c r="D37" s="59">
        <v>0.05</v>
      </c>
      <c r="E37" s="439">
        <v>0.09</v>
      </c>
      <c r="F37" s="439">
        <v>0.09</v>
      </c>
      <c r="G37" s="439">
        <v>0.09</v>
      </c>
      <c r="H37" s="439">
        <v>0.09</v>
      </c>
      <c r="I37" s="439">
        <v>0.09</v>
      </c>
      <c r="J37" s="439">
        <v>0.09</v>
      </c>
      <c r="K37" s="439">
        <v>0.09</v>
      </c>
      <c r="L37" s="439">
        <v>0.09</v>
      </c>
      <c r="M37" s="439">
        <v>0.09</v>
      </c>
      <c r="N37" s="439">
        <v>0.09</v>
      </c>
      <c r="O37" s="439">
        <v>0.05</v>
      </c>
      <c r="P37" s="11">
        <f t="shared" si="1"/>
        <v>0.99999999999999989</v>
      </c>
      <c r="Q37" s="525" t="s">
        <v>160</v>
      </c>
      <c r="R37" s="526"/>
      <c r="S37" s="526"/>
      <c r="T37" s="526"/>
      <c r="U37" s="526"/>
      <c r="V37" s="526"/>
      <c r="W37" s="526"/>
      <c r="X37" s="526"/>
      <c r="Y37" s="526"/>
      <c r="Z37" s="526"/>
      <c r="AA37" s="526"/>
      <c r="AB37" s="527"/>
      <c r="AC37" s="56"/>
      <c r="AD37" s="350"/>
      <c r="AM37" s="131"/>
      <c r="AN37" s="131"/>
    </row>
    <row r="38" spans="1:40" ht="39.950000000000003" customHeight="1">
      <c r="A38" s="493"/>
      <c r="B38" s="721"/>
      <c r="C38" s="58" t="s">
        <v>75</v>
      </c>
      <c r="D38" s="10">
        <v>0.05</v>
      </c>
      <c r="E38" s="10">
        <v>0.09</v>
      </c>
      <c r="F38" s="10">
        <v>0.09</v>
      </c>
      <c r="G38" s="10">
        <v>0.09</v>
      </c>
      <c r="H38" s="10">
        <v>0.09</v>
      </c>
      <c r="I38" s="10">
        <v>0.09</v>
      </c>
      <c r="J38" s="10">
        <v>0.09</v>
      </c>
      <c r="K38" s="10">
        <v>0.09</v>
      </c>
      <c r="L38" s="440">
        <v>0.09</v>
      </c>
      <c r="M38" s="440">
        <v>0.09</v>
      </c>
      <c r="N38" s="440">
        <v>0.09</v>
      </c>
      <c r="O38" s="440">
        <v>0.05</v>
      </c>
      <c r="P38" s="11">
        <f t="shared" si="1"/>
        <v>0.99999999999999989</v>
      </c>
      <c r="Q38" s="528"/>
      <c r="R38" s="529"/>
      <c r="S38" s="529"/>
      <c r="T38" s="529"/>
      <c r="U38" s="529"/>
      <c r="V38" s="529"/>
      <c r="W38" s="529"/>
      <c r="X38" s="529"/>
      <c r="Y38" s="529"/>
      <c r="Z38" s="529"/>
      <c r="AA38" s="529"/>
      <c r="AB38" s="530"/>
      <c r="AC38" s="56"/>
      <c r="AD38" s="378"/>
      <c r="AM38" s="131"/>
      <c r="AN38" s="131"/>
    </row>
    <row r="39" spans="1:40" ht="25.35" customHeight="1">
      <c r="A39" s="722"/>
      <c r="B39" s="723"/>
      <c r="C39" s="60"/>
      <c r="D39" s="60"/>
      <c r="E39" s="60"/>
      <c r="F39" s="60"/>
      <c r="G39" s="60"/>
      <c r="H39" s="60"/>
      <c r="I39" s="60"/>
      <c r="J39" s="60"/>
      <c r="K39" s="60"/>
      <c r="L39" s="60"/>
      <c r="M39" s="60"/>
      <c r="N39" s="60"/>
      <c r="O39" s="60"/>
      <c r="P39" s="141">
        <f t="shared" si="1"/>
        <v>0</v>
      </c>
      <c r="Q39" s="531"/>
      <c r="R39" s="532"/>
      <c r="S39" s="532"/>
      <c r="T39" s="532"/>
      <c r="U39" s="532"/>
      <c r="V39" s="532"/>
      <c r="W39" s="532"/>
      <c r="X39" s="532"/>
      <c r="Y39" s="532"/>
      <c r="Z39" s="532"/>
      <c r="AA39" s="532"/>
      <c r="AB39" s="533"/>
      <c r="AC39" s="56"/>
      <c r="AD39" s="350">
        <f>LEN(Q37)</f>
        <v>773</v>
      </c>
      <c r="AM39" s="136"/>
      <c r="AN39" s="131"/>
    </row>
    <row r="40" spans="1:40" ht="41.1" customHeight="1">
      <c r="A40" s="719" t="s">
        <v>161</v>
      </c>
      <c r="B40" s="767">
        <v>0.06</v>
      </c>
      <c r="C40" s="57" t="s">
        <v>74</v>
      </c>
      <c r="D40" s="59">
        <v>0</v>
      </c>
      <c r="E40" s="59">
        <v>0</v>
      </c>
      <c r="F40" s="59">
        <v>0.1</v>
      </c>
      <c r="G40" s="59">
        <v>0.1</v>
      </c>
      <c r="H40" s="59">
        <v>0.1</v>
      </c>
      <c r="I40" s="59">
        <v>0.1</v>
      </c>
      <c r="J40" s="59">
        <v>0.1</v>
      </c>
      <c r="K40" s="59">
        <v>0.1</v>
      </c>
      <c r="L40" s="59">
        <v>0.1</v>
      </c>
      <c r="M40" s="59">
        <v>0.1</v>
      </c>
      <c r="N40" s="59">
        <v>0.1</v>
      </c>
      <c r="O40" s="59">
        <v>0.1</v>
      </c>
      <c r="P40" s="11">
        <f t="shared" si="1"/>
        <v>0.99999999999999989</v>
      </c>
      <c r="Q40" s="525" t="s">
        <v>426</v>
      </c>
      <c r="R40" s="526"/>
      <c r="S40" s="526"/>
      <c r="T40" s="526"/>
      <c r="U40" s="526"/>
      <c r="V40" s="526"/>
      <c r="W40" s="526"/>
      <c r="X40" s="526"/>
      <c r="Y40" s="526"/>
      <c r="Z40" s="526"/>
      <c r="AA40" s="526"/>
      <c r="AB40" s="527"/>
      <c r="AC40" s="56"/>
      <c r="AD40" s="350"/>
    </row>
    <row r="41" spans="1:40" ht="41.1" customHeight="1">
      <c r="A41" s="493"/>
      <c r="B41" s="721"/>
      <c r="C41" s="58" t="s">
        <v>75</v>
      </c>
      <c r="D41" s="10">
        <v>0</v>
      </c>
      <c r="E41" s="10">
        <v>0</v>
      </c>
      <c r="F41" s="10">
        <v>0.1</v>
      </c>
      <c r="G41" s="10">
        <v>0.1</v>
      </c>
      <c r="H41" s="10">
        <v>0.1</v>
      </c>
      <c r="I41" s="10">
        <v>0.1</v>
      </c>
      <c r="J41" s="10">
        <v>0.1</v>
      </c>
      <c r="K41" s="10">
        <v>0.1</v>
      </c>
      <c r="L41" s="440">
        <v>0.1</v>
      </c>
      <c r="M41" s="440">
        <v>0.1</v>
      </c>
      <c r="N41" s="440">
        <v>0.1</v>
      </c>
      <c r="O41" s="440">
        <v>0.1</v>
      </c>
      <c r="P41" s="11">
        <f t="shared" si="1"/>
        <v>0.99999999999999989</v>
      </c>
      <c r="Q41" s="528"/>
      <c r="R41" s="529"/>
      <c r="S41" s="529"/>
      <c r="T41" s="529"/>
      <c r="U41" s="529"/>
      <c r="V41" s="529"/>
      <c r="W41" s="529"/>
      <c r="X41" s="529"/>
      <c r="Y41" s="529"/>
      <c r="Z41" s="529"/>
      <c r="AA41" s="529"/>
      <c r="AB41" s="530"/>
      <c r="AC41" s="56"/>
      <c r="AD41" s="350"/>
      <c r="AN41" s="131"/>
    </row>
    <row r="42" spans="1:40" ht="25.35" customHeight="1">
      <c r="A42" s="722"/>
      <c r="B42" s="723"/>
      <c r="C42" s="60"/>
      <c r="D42" s="60"/>
      <c r="E42" s="60"/>
      <c r="F42" s="60"/>
      <c r="G42" s="60"/>
      <c r="H42" s="60"/>
      <c r="I42" s="60"/>
      <c r="J42" s="60"/>
      <c r="K42" s="60"/>
      <c r="L42" s="60"/>
      <c r="M42" s="60"/>
      <c r="N42" s="60"/>
      <c r="O42" s="60"/>
      <c r="P42" s="141">
        <f>SUM(D42:O42)</f>
        <v>0</v>
      </c>
      <c r="Q42" s="531"/>
      <c r="R42" s="532"/>
      <c r="S42" s="532"/>
      <c r="T42" s="532"/>
      <c r="U42" s="532"/>
      <c r="V42" s="532"/>
      <c r="W42" s="532"/>
      <c r="X42" s="532"/>
      <c r="Y42" s="532"/>
      <c r="Z42" s="532"/>
      <c r="AA42" s="532"/>
      <c r="AB42" s="533"/>
      <c r="AC42" s="56"/>
      <c r="AD42" s="350">
        <f>LEN(Q40)</f>
        <v>411</v>
      </c>
    </row>
    <row r="43" spans="1:40" ht="15.75" thickBot="1">
      <c r="A43" s="143"/>
      <c r="AB43" s="144"/>
    </row>
    <row r="44" spans="1:40" ht="68.099999999999994" customHeight="1">
      <c r="A44" s="499" t="s">
        <v>88</v>
      </c>
      <c r="B44" s="502" t="s">
        <v>89</v>
      </c>
      <c r="C44" s="503"/>
      <c r="D44" s="503"/>
      <c r="E44" s="503"/>
      <c r="F44" s="503"/>
      <c r="G44" s="504"/>
      <c r="H44" s="505" t="s">
        <v>90</v>
      </c>
      <c r="I44" s="506"/>
      <c r="J44" s="506"/>
      <c r="K44" s="506"/>
      <c r="L44" s="506"/>
      <c r="M44" s="506"/>
      <c r="N44" s="502" t="s">
        <v>89</v>
      </c>
      <c r="O44" s="503"/>
      <c r="P44" s="503"/>
      <c r="Q44" s="503"/>
      <c r="R44" s="503"/>
      <c r="S44" s="504"/>
      <c r="T44" s="511" t="s">
        <v>91</v>
      </c>
      <c r="U44" s="512"/>
      <c r="V44" s="512"/>
      <c r="W44" s="513"/>
      <c r="X44" s="502" t="s">
        <v>92</v>
      </c>
      <c r="Y44" s="503"/>
      <c r="Z44" s="503"/>
      <c r="AA44" s="503"/>
      <c r="AB44" s="520"/>
      <c r="AD44" s="131"/>
    </row>
    <row r="45" spans="1:40" ht="27" customHeight="1">
      <c r="A45" s="500"/>
      <c r="B45" s="485" t="s">
        <v>162</v>
      </c>
      <c r="C45" s="486"/>
      <c r="D45" s="486"/>
      <c r="E45" s="486"/>
      <c r="F45" s="486"/>
      <c r="G45" s="487"/>
      <c r="H45" s="507"/>
      <c r="I45" s="508"/>
      <c r="J45" s="508"/>
      <c r="K45" s="508"/>
      <c r="L45" s="508"/>
      <c r="M45" s="508"/>
      <c r="N45" s="485" t="s">
        <v>163</v>
      </c>
      <c r="O45" s="486"/>
      <c r="P45" s="486"/>
      <c r="Q45" s="486"/>
      <c r="R45" s="486"/>
      <c r="S45" s="487"/>
      <c r="T45" s="514"/>
      <c r="U45" s="515"/>
      <c r="V45" s="515"/>
      <c r="W45" s="516"/>
      <c r="X45" s="485" t="s">
        <v>136</v>
      </c>
      <c r="Y45" s="486"/>
      <c r="Z45" s="486"/>
      <c r="AA45" s="486"/>
      <c r="AB45" s="488"/>
      <c r="AD45" s="350"/>
    </row>
    <row r="46" spans="1:40" ht="27" customHeight="1" thickBot="1">
      <c r="A46" s="501"/>
      <c r="B46" s="489" t="s">
        <v>96</v>
      </c>
      <c r="C46" s="490"/>
      <c r="D46" s="490"/>
      <c r="E46" s="490"/>
      <c r="F46" s="490"/>
      <c r="G46" s="491"/>
      <c r="H46" s="509"/>
      <c r="I46" s="510"/>
      <c r="J46" s="510"/>
      <c r="K46" s="510"/>
      <c r="L46" s="510"/>
      <c r="M46" s="510"/>
      <c r="N46" s="489" t="s">
        <v>97</v>
      </c>
      <c r="O46" s="490"/>
      <c r="P46" s="490"/>
      <c r="Q46" s="490"/>
      <c r="R46" s="490"/>
      <c r="S46" s="491"/>
      <c r="T46" s="517"/>
      <c r="U46" s="518"/>
      <c r="V46" s="518"/>
      <c r="W46" s="519"/>
      <c r="X46" s="489" t="s">
        <v>98</v>
      </c>
      <c r="Y46" s="490"/>
      <c r="Z46" s="490"/>
      <c r="AA46" s="490"/>
      <c r="AB46" s="492"/>
    </row>
    <row r="53" spans="1:35" hidden="1"/>
    <row r="54" spans="1:35" s="278" customFormat="1" ht="22.35" hidden="1" customHeight="1">
      <c r="A54" s="480" t="s">
        <v>66</v>
      </c>
      <c r="B54" s="480" t="s">
        <v>67</v>
      </c>
      <c r="C54" s="482" t="s">
        <v>68</v>
      </c>
      <c r="D54" s="483"/>
      <c r="E54" s="483"/>
      <c r="F54" s="483"/>
      <c r="G54" s="483"/>
      <c r="H54" s="483"/>
      <c r="I54" s="483"/>
      <c r="J54" s="483"/>
      <c r="K54" s="483"/>
      <c r="L54" s="483"/>
      <c r="M54" s="483"/>
      <c r="N54" s="483"/>
      <c r="O54" s="483"/>
      <c r="P54" s="484"/>
      <c r="AF54" s="138"/>
      <c r="AG54" s="138"/>
      <c r="AH54" s="138"/>
      <c r="AI54" s="138"/>
    </row>
    <row r="55" spans="1:35" s="278" customFormat="1" ht="22.35" hidden="1" customHeight="1">
      <c r="A55" s="481"/>
      <c r="B55" s="481"/>
      <c r="C55" s="279" t="s">
        <v>70</v>
      </c>
      <c r="D55" s="279" t="s">
        <v>99</v>
      </c>
      <c r="E55" s="279" t="s">
        <v>100</v>
      </c>
      <c r="F55" s="279" t="s">
        <v>101</v>
      </c>
      <c r="G55" s="279" t="s">
        <v>102</v>
      </c>
      <c r="H55" s="279" t="s">
        <v>103</v>
      </c>
      <c r="I55" s="279" t="s">
        <v>104</v>
      </c>
      <c r="J55" s="279" t="s">
        <v>105</v>
      </c>
      <c r="K55" s="279" t="s">
        <v>106</v>
      </c>
      <c r="L55" s="279" t="s">
        <v>107</v>
      </c>
      <c r="M55" s="279" t="s">
        <v>108</v>
      </c>
      <c r="N55" s="279" t="s">
        <v>109</v>
      </c>
      <c r="O55" s="279" t="s">
        <v>110</v>
      </c>
      <c r="P55" s="279" t="s">
        <v>71</v>
      </c>
      <c r="AF55" s="138"/>
      <c r="AG55" s="138"/>
      <c r="AH55" s="138"/>
      <c r="AI55" s="138"/>
    </row>
    <row r="56" spans="1:35" s="283" customFormat="1" ht="13.35" hidden="1" customHeight="1">
      <c r="A56" s="478" t="str">
        <f>+A34</f>
        <v>Definir y poner en marcha dos unidades móviles de servicios de cuidado (Urbana y Rural)</v>
      </c>
      <c r="B56" s="478">
        <f>+B34</f>
        <v>0.09</v>
      </c>
      <c r="C56" s="280" t="s">
        <v>74</v>
      </c>
      <c r="D56" s="281">
        <f>+D34*$B$34/$P$34</f>
        <v>4.4999999999999997E-3</v>
      </c>
      <c r="E56" s="281">
        <f t="shared" ref="E56:O56" si="2">+E34*$B$34/$P$34</f>
        <v>4.4999999999999997E-3</v>
      </c>
      <c r="F56" s="281">
        <f t="shared" si="2"/>
        <v>8.9999999999999993E-3</v>
      </c>
      <c r="G56" s="281">
        <f t="shared" si="2"/>
        <v>8.9999999999999993E-3</v>
      </c>
      <c r="H56" s="281">
        <f t="shared" si="2"/>
        <v>8.9999999999999993E-3</v>
      </c>
      <c r="I56" s="281">
        <f t="shared" si="2"/>
        <v>8.9999999999999993E-3</v>
      </c>
      <c r="J56" s="281">
        <f t="shared" si="2"/>
        <v>8.9999999999999993E-3</v>
      </c>
      <c r="K56" s="281">
        <f t="shared" si="2"/>
        <v>8.9999999999999993E-3</v>
      </c>
      <c r="L56" s="281">
        <f t="shared" si="2"/>
        <v>8.9999999999999993E-3</v>
      </c>
      <c r="M56" s="281">
        <f t="shared" si="2"/>
        <v>8.9999999999999993E-3</v>
      </c>
      <c r="N56" s="281">
        <f t="shared" si="2"/>
        <v>4.4999999999999997E-3</v>
      </c>
      <c r="O56" s="281">
        <f t="shared" si="2"/>
        <v>4.4999999999999997E-3</v>
      </c>
      <c r="P56" s="282">
        <f t="shared" ref="P56:P61" si="3">SUM(D56:O56)</f>
        <v>0.09</v>
      </c>
      <c r="AF56" s="139"/>
      <c r="AG56" s="139"/>
      <c r="AH56" s="139"/>
      <c r="AI56" s="139"/>
    </row>
    <row r="57" spans="1:35" s="283" customFormat="1" ht="13.35" hidden="1" customHeight="1">
      <c r="A57" s="479"/>
      <c r="B57" s="479"/>
      <c r="C57" s="284" t="s">
        <v>75</v>
      </c>
      <c r="D57" s="285">
        <f t="shared" ref="D57:O57" si="4">+D35*$B$34/$P$34</f>
        <v>4.4999999999999997E-3</v>
      </c>
      <c r="E57" s="285">
        <f t="shared" si="4"/>
        <v>4.4999999999999997E-3</v>
      </c>
      <c r="F57" s="285">
        <f t="shared" si="4"/>
        <v>8.9999999999999993E-3</v>
      </c>
      <c r="G57" s="285">
        <f t="shared" si="4"/>
        <v>8.9999999999999993E-3</v>
      </c>
      <c r="H57" s="285">
        <f t="shared" si="4"/>
        <v>8.9999999999999993E-3</v>
      </c>
      <c r="I57" s="285">
        <f t="shared" si="4"/>
        <v>8.9999999999999993E-3</v>
      </c>
      <c r="J57" s="285">
        <f t="shared" si="4"/>
        <v>8.9999999999999993E-3</v>
      </c>
      <c r="K57" s="285">
        <f t="shared" si="4"/>
        <v>8.9999999999999993E-3</v>
      </c>
      <c r="L57" s="285">
        <f t="shared" si="4"/>
        <v>8.9999999999999993E-3</v>
      </c>
      <c r="M57" s="285">
        <f t="shared" si="4"/>
        <v>8.9999999999999993E-3</v>
      </c>
      <c r="N57" s="285">
        <f t="shared" si="4"/>
        <v>8.9999999999999993E-3</v>
      </c>
      <c r="O57" s="285">
        <f t="shared" si="4"/>
        <v>0</v>
      </c>
      <c r="P57" s="286">
        <f t="shared" si="3"/>
        <v>8.9999999999999983E-2</v>
      </c>
      <c r="AF57" s="139"/>
      <c r="AG57" s="139"/>
      <c r="AH57" s="139"/>
      <c r="AI57" s="139"/>
    </row>
    <row r="58" spans="1:35" s="283" customFormat="1" ht="13.35" hidden="1" customHeight="1">
      <c r="A58" s="478" t="str">
        <f>+A37</f>
        <v>Articular las acciones intersectoriales para la puesta en operación de 2 unidades moviles de servicios de cuidado (Urbana y Rural)</v>
      </c>
      <c r="B58" s="478">
        <f>+B37</f>
        <v>0.06</v>
      </c>
      <c r="C58" s="280" t="s">
        <v>74</v>
      </c>
      <c r="D58" s="281">
        <f>+D37*$B$37/$P$37</f>
        <v>3.0000000000000005E-3</v>
      </c>
      <c r="E58" s="281">
        <f t="shared" ref="E58:O58" si="5">+E37*$B$37/$P$37</f>
        <v>5.4000000000000003E-3</v>
      </c>
      <c r="F58" s="281">
        <f t="shared" si="5"/>
        <v>5.4000000000000003E-3</v>
      </c>
      <c r="G58" s="281">
        <f t="shared" si="5"/>
        <v>5.4000000000000003E-3</v>
      </c>
      <c r="H58" s="281">
        <f t="shared" si="5"/>
        <v>5.4000000000000003E-3</v>
      </c>
      <c r="I58" s="281">
        <f t="shared" si="5"/>
        <v>5.4000000000000003E-3</v>
      </c>
      <c r="J58" s="281">
        <f t="shared" si="5"/>
        <v>5.4000000000000003E-3</v>
      </c>
      <c r="K58" s="281">
        <f t="shared" si="5"/>
        <v>5.4000000000000003E-3</v>
      </c>
      <c r="L58" s="281">
        <f t="shared" si="5"/>
        <v>5.4000000000000003E-3</v>
      </c>
      <c r="M58" s="281">
        <f t="shared" si="5"/>
        <v>5.4000000000000003E-3</v>
      </c>
      <c r="N58" s="281">
        <f t="shared" si="5"/>
        <v>5.4000000000000003E-3</v>
      </c>
      <c r="O58" s="281">
        <f t="shared" si="5"/>
        <v>3.0000000000000005E-3</v>
      </c>
      <c r="P58" s="282">
        <f t="shared" si="3"/>
        <v>6.0000000000000019E-2</v>
      </c>
      <c r="AF58" s="139"/>
      <c r="AG58" s="139"/>
      <c r="AH58" s="139"/>
      <c r="AI58" s="139"/>
    </row>
    <row r="59" spans="1:35" s="283" customFormat="1" ht="13.35" hidden="1" customHeight="1">
      <c r="A59" s="479"/>
      <c r="B59" s="479"/>
      <c r="C59" s="284" t="s">
        <v>75</v>
      </c>
      <c r="D59" s="285">
        <f t="shared" ref="D59:O59" si="6">+D38*$B$37/$P$37</f>
        <v>3.0000000000000005E-3</v>
      </c>
      <c r="E59" s="285">
        <f t="shared" si="6"/>
        <v>5.4000000000000003E-3</v>
      </c>
      <c r="F59" s="285">
        <f t="shared" si="6"/>
        <v>5.4000000000000003E-3</v>
      </c>
      <c r="G59" s="285">
        <f t="shared" si="6"/>
        <v>5.4000000000000003E-3</v>
      </c>
      <c r="H59" s="285">
        <f t="shared" si="6"/>
        <v>5.4000000000000003E-3</v>
      </c>
      <c r="I59" s="285">
        <f t="shared" si="6"/>
        <v>5.4000000000000003E-3</v>
      </c>
      <c r="J59" s="285">
        <f t="shared" si="6"/>
        <v>5.4000000000000003E-3</v>
      </c>
      <c r="K59" s="285">
        <f t="shared" si="6"/>
        <v>5.4000000000000003E-3</v>
      </c>
      <c r="L59" s="285">
        <f t="shared" si="6"/>
        <v>5.4000000000000003E-3</v>
      </c>
      <c r="M59" s="285">
        <f t="shared" si="6"/>
        <v>5.4000000000000003E-3</v>
      </c>
      <c r="N59" s="285">
        <f t="shared" si="6"/>
        <v>5.4000000000000003E-3</v>
      </c>
      <c r="O59" s="285">
        <f t="shared" si="6"/>
        <v>3.0000000000000005E-3</v>
      </c>
      <c r="P59" s="286">
        <f t="shared" si="3"/>
        <v>6.0000000000000019E-2</v>
      </c>
      <c r="AF59" s="139"/>
      <c r="AG59" s="139"/>
      <c r="AH59" s="139"/>
      <c r="AI59" s="139"/>
    </row>
    <row r="60" spans="1:35" s="283" customFormat="1" ht="13.35" hidden="1" customHeight="1">
      <c r="A60" s="478" t="str">
        <f>+A40</f>
        <v>Monitorear las acciones intersectoriales de las 2 unidades móviles de servicios de cuidado (urbana y rural)</v>
      </c>
      <c r="B60" s="478">
        <f>+B40</f>
        <v>0.06</v>
      </c>
      <c r="C60" s="280" t="s">
        <v>74</v>
      </c>
      <c r="D60" s="281">
        <f>+D40*$B$40/$P$40</f>
        <v>0</v>
      </c>
      <c r="E60" s="281">
        <f t="shared" ref="E60:O60" si="7">+E40*$B$40/$P$40</f>
        <v>0</v>
      </c>
      <c r="F60" s="281">
        <f t="shared" si="7"/>
        <v>6.000000000000001E-3</v>
      </c>
      <c r="G60" s="281">
        <f t="shared" si="7"/>
        <v>6.000000000000001E-3</v>
      </c>
      <c r="H60" s="281">
        <f t="shared" si="7"/>
        <v>6.000000000000001E-3</v>
      </c>
      <c r="I60" s="281">
        <f t="shared" si="7"/>
        <v>6.000000000000001E-3</v>
      </c>
      <c r="J60" s="281">
        <f t="shared" si="7"/>
        <v>6.000000000000001E-3</v>
      </c>
      <c r="K60" s="281">
        <f t="shared" si="7"/>
        <v>6.000000000000001E-3</v>
      </c>
      <c r="L60" s="281">
        <f t="shared" si="7"/>
        <v>6.000000000000001E-3</v>
      </c>
      <c r="M60" s="281">
        <f t="shared" si="7"/>
        <v>6.000000000000001E-3</v>
      </c>
      <c r="N60" s="281">
        <f t="shared" si="7"/>
        <v>6.000000000000001E-3</v>
      </c>
      <c r="O60" s="281">
        <f t="shared" si="7"/>
        <v>6.000000000000001E-3</v>
      </c>
      <c r="P60" s="282">
        <f t="shared" si="3"/>
        <v>0.06</v>
      </c>
      <c r="AF60" s="139"/>
      <c r="AG60" s="139"/>
      <c r="AH60" s="139"/>
      <c r="AI60" s="139"/>
    </row>
    <row r="61" spans="1:35" s="283" customFormat="1" ht="13.35" hidden="1" customHeight="1">
      <c r="A61" s="479"/>
      <c r="B61" s="479"/>
      <c r="C61" s="284" t="s">
        <v>75</v>
      </c>
      <c r="D61" s="285">
        <f t="shared" ref="D61:O61" si="8">+D41*$B$40/$P$40</f>
        <v>0</v>
      </c>
      <c r="E61" s="285">
        <f t="shared" si="8"/>
        <v>0</v>
      </c>
      <c r="F61" s="285">
        <f t="shared" si="8"/>
        <v>6.000000000000001E-3</v>
      </c>
      <c r="G61" s="285">
        <f t="shared" si="8"/>
        <v>6.000000000000001E-3</v>
      </c>
      <c r="H61" s="285">
        <f t="shared" si="8"/>
        <v>6.000000000000001E-3</v>
      </c>
      <c r="I61" s="285">
        <f t="shared" si="8"/>
        <v>6.000000000000001E-3</v>
      </c>
      <c r="J61" s="285">
        <f t="shared" si="8"/>
        <v>6.000000000000001E-3</v>
      </c>
      <c r="K61" s="285">
        <f t="shared" si="8"/>
        <v>6.000000000000001E-3</v>
      </c>
      <c r="L61" s="285">
        <f t="shared" si="8"/>
        <v>6.000000000000001E-3</v>
      </c>
      <c r="M61" s="285">
        <f t="shared" si="8"/>
        <v>6.000000000000001E-3</v>
      </c>
      <c r="N61" s="285">
        <f t="shared" si="8"/>
        <v>6.000000000000001E-3</v>
      </c>
      <c r="O61" s="285">
        <f t="shared" si="8"/>
        <v>6.000000000000001E-3</v>
      </c>
      <c r="P61" s="286">
        <f t="shared" si="3"/>
        <v>0.06</v>
      </c>
      <c r="AF61" s="139"/>
      <c r="AG61" s="139"/>
      <c r="AH61" s="139"/>
      <c r="AI61" s="139"/>
    </row>
    <row r="62" spans="1:35" s="283" customFormat="1" ht="11.25" hidden="1">
      <c r="C62" s="287"/>
      <c r="D62" s="288">
        <f>+D57+D59+D61</f>
        <v>7.4999999999999997E-3</v>
      </c>
      <c r="E62" s="288">
        <f t="shared" ref="E62:P62" si="9">+E57+E59+E61</f>
        <v>9.8999999999999991E-3</v>
      </c>
      <c r="F62" s="288">
        <f t="shared" si="9"/>
        <v>2.0400000000000001E-2</v>
      </c>
      <c r="G62" s="288">
        <f t="shared" si="9"/>
        <v>2.0400000000000001E-2</v>
      </c>
      <c r="H62" s="288">
        <f t="shared" si="9"/>
        <v>2.0400000000000001E-2</v>
      </c>
      <c r="I62" s="288">
        <f t="shared" si="9"/>
        <v>2.0400000000000001E-2</v>
      </c>
      <c r="J62" s="288">
        <f t="shared" si="9"/>
        <v>2.0400000000000001E-2</v>
      </c>
      <c r="K62" s="288">
        <f t="shared" si="9"/>
        <v>2.0400000000000001E-2</v>
      </c>
      <c r="L62" s="288">
        <f t="shared" si="9"/>
        <v>2.0400000000000001E-2</v>
      </c>
      <c r="M62" s="288">
        <f t="shared" si="9"/>
        <v>2.0400000000000001E-2</v>
      </c>
      <c r="N62" s="288">
        <f t="shared" si="9"/>
        <v>2.0400000000000001E-2</v>
      </c>
      <c r="O62" s="288">
        <f t="shared" si="9"/>
        <v>9.0000000000000011E-3</v>
      </c>
      <c r="P62" s="288">
        <f t="shared" si="9"/>
        <v>0.21</v>
      </c>
      <c r="AF62" s="139"/>
      <c r="AG62" s="139"/>
      <c r="AH62" s="139"/>
      <c r="AI62" s="139"/>
    </row>
    <row r="63" spans="1:35" s="289" customFormat="1" ht="12.75" hidden="1">
      <c r="C63" s="290" t="s">
        <v>111</v>
      </c>
      <c r="D63" s="291">
        <f>+D62*$C$30/$B$30</f>
        <v>8.9285714285714281E-3</v>
      </c>
      <c r="E63" s="291">
        <f t="shared" ref="E63:O63" si="10">+E62*$C$30/$B$30</f>
        <v>1.1785714285714285E-2</v>
      </c>
      <c r="F63" s="291">
        <f t="shared" si="10"/>
        <v>2.4285714285714289E-2</v>
      </c>
      <c r="G63" s="291">
        <f t="shared" si="10"/>
        <v>2.4285714285714289E-2</v>
      </c>
      <c r="H63" s="291">
        <f t="shared" si="10"/>
        <v>2.4285714285714289E-2</v>
      </c>
      <c r="I63" s="291">
        <f t="shared" si="10"/>
        <v>2.4285714285714289E-2</v>
      </c>
      <c r="J63" s="291">
        <f t="shared" si="10"/>
        <v>2.4285714285714289E-2</v>
      </c>
      <c r="K63" s="291">
        <f t="shared" si="10"/>
        <v>2.4285714285714289E-2</v>
      </c>
      <c r="L63" s="291">
        <f t="shared" si="10"/>
        <v>2.4285714285714289E-2</v>
      </c>
      <c r="M63" s="291">
        <f t="shared" si="10"/>
        <v>2.4285714285714289E-2</v>
      </c>
      <c r="N63" s="291">
        <f t="shared" si="10"/>
        <v>2.4285714285714289E-2</v>
      </c>
      <c r="O63" s="291">
        <f t="shared" si="10"/>
        <v>1.0714285714285716E-2</v>
      </c>
      <c r="P63" s="292">
        <f>SUM(D63:O63)</f>
        <v>0.25000000000000006</v>
      </c>
      <c r="Q63" s="293"/>
      <c r="AF63" s="431"/>
      <c r="AG63" s="431"/>
      <c r="AH63" s="431"/>
      <c r="AI63" s="431"/>
    </row>
    <row r="64" spans="1:35" customFormat="1" hidden="1">
      <c r="AF64" s="433"/>
      <c r="AG64" s="433"/>
      <c r="AH64" s="433"/>
      <c r="AI64" s="433"/>
    </row>
  </sheetData>
  <mergeCells count="118">
    <mergeCell ref="C28:C29"/>
    <mergeCell ref="H44:M46"/>
    <mergeCell ref="N44:S44"/>
    <mergeCell ref="T44:W46"/>
    <mergeCell ref="X44:AB44"/>
    <mergeCell ref="B45:G45"/>
    <mergeCell ref="N45:S45"/>
    <mergeCell ref="N46:S46"/>
    <mergeCell ref="X46:AB46"/>
    <mergeCell ref="X45:AB45"/>
    <mergeCell ref="B46:G46"/>
    <mergeCell ref="B34:B35"/>
    <mergeCell ref="B32:B33"/>
    <mergeCell ref="B37:B38"/>
    <mergeCell ref="A1:A4"/>
    <mergeCell ref="B1:Y1"/>
    <mergeCell ref="Y8:Z8"/>
    <mergeCell ref="H16:I16"/>
    <mergeCell ref="S13:T13"/>
    <mergeCell ref="B3:Y4"/>
    <mergeCell ref="A7:B9"/>
    <mergeCell ref="A15:B16"/>
    <mergeCell ref="H15:I15"/>
    <mergeCell ref="Q15:AB15"/>
    <mergeCell ref="Z1:AB1"/>
    <mergeCell ref="AA8:AB8"/>
    <mergeCell ref="AA9:AB9"/>
    <mergeCell ref="Q16:V16"/>
    <mergeCell ref="M11:Q11"/>
    <mergeCell ref="B2:Y2"/>
    <mergeCell ref="A11:B11"/>
    <mergeCell ref="A13:B13"/>
    <mergeCell ref="R7:T9"/>
    <mergeCell ref="D16:E16"/>
    <mergeCell ref="V13:Y13"/>
    <mergeCell ref="D15:E15"/>
    <mergeCell ref="AA13:AB13"/>
    <mergeCell ref="C12:Z12"/>
    <mergeCell ref="A44:A46"/>
    <mergeCell ref="B44:G44"/>
    <mergeCell ref="Q17:S17"/>
    <mergeCell ref="Z18:AB18"/>
    <mergeCell ref="W16:AB16"/>
    <mergeCell ref="W11:X11"/>
    <mergeCell ref="C13:Q13"/>
    <mergeCell ref="Z2:AB2"/>
    <mergeCell ref="Z4:AB4"/>
    <mergeCell ref="C7:K9"/>
    <mergeCell ref="U7:V9"/>
    <mergeCell ref="Y7:Z7"/>
    <mergeCell ref="W7:X9"/>
    <mergeCell ref="C11:K11"/>
    <mergeCell ref="Z3:AB3"/>
    <mergeCell ref="A20:AB20"/>
    <mergeCell ref="P21:P22"/>
    <mergeCell ref="B40:B41"/>
    <mergeCell ref="C32:P32"/>
    <mergeCell ref="Q40:AB42"/>
    <mergeCell ref="Q32:AB32"/>
    <mergeCell ref="U30:X30"/>
    <mergeCell ref="A42:B42"/>
    <mergeCell ref="A40:A41"/>
    <mergeCell ref="A37:A38"/>
    <mergeCell ref="Q33:AB33"/>
    <mergeCell ref="A34:A35"/>
    <mergeCell ref="A36:B36"/>
    <mergeCell ref="A39:B39"/>
    <mergeCell ref="Q34:AB36"/>
    <mergeCell ref="Q37:AB39"/>
    <mergeCell ref="B21:C22"/>
    <mergeCell ref="B23:C26"/>
    <mergeCell ref="G22:I22"/>
    <mergeCell ref="A23:A26"/>
    <mergeCell ref="B28:B29"/>
    <mergeCell ref="A32:A33"/>
    <mergeCell ref="A21:A22"/>
    <mergeCell ref="D28:P28"/>
    <mergeCell ref="A27:AB27"/>
    <mergeCell ref="U29:X29"/>
    <mergeCell ref="Y29:AB29"/>
    <mergeCell ref="Y30:AB30"/>
    <mergeCell ref="Q30:T30"/>
    <mergeCell ref="Q28:AB28"/>
    <mergeCell ref="A31:AB31"/>
    <mergeCell ref="A28:A29"/>
    <mergeCell ref="Q29:T29"/>
    <mergeCell ref="F16:G16"/>
    <mergeCell ref="D23:F26"/>
    <mergeCell ref="AA7:AB7"/>
    <mergeCell ref="T17:V17"/>
    <mergeCell ref="W17:Y17"/>
    <mergeCell ref="Y11:AB11"/>
    <mergeCell ref="F15:G15"/>
    <mergeCell ref="T18:V18"/>
    <mergeCell ref="R11:V11"/>
    <mergeCell ref="Y9:Z9"/>
    <mergeCell ref="W18:Y18"/>
    <mergeCell ref="Z17:AB17"/>
    <mergeCell ref="Q18:S18"/>
    <mergeCell ref="M23:O26"/>
    <mergeCell ref="P23:P26"/>
    <mergeCell ref="Q23:AB26"/>
    <mergeCell ref="Q21:AB22"/>
    <mergeCell ref="J23:L26"/>
    <mergeCell ref="D21:O21"/>
    <mergeCell ref="J22:L22"/>
    <mergeCell ref="M22:O22"/>
    <mergeCell ref="G23:I26"/>
    <mergeCell ref="D22:F22"/>
    <mergeCell ref="A54:A55"/>
    <mergeCell ref="B54:B55"/>
    <mergeCell ref="C54:P54"/>
    <mergeCell ref="A56:A57"/>
    <mergeCell ref="B56:B57"/>
    <mergeCell ref="A58:A59"/>
    <mergeCell ref="B58:B59"/>
    <mergeCell ref="A60:A61"/>
    <mergeCell ref="B60:B61"/>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AD30 Q30:T30 Q34:AB42">
      <formula1>2000</formula1>
    </dataValidation>
    <dataValidation type="textLength" operator="lessThanOrEqual" allowBlank="1" showInputMessage="1" showErrorMessage="1" errorTitle="Máximo 1.000 caracteres" error="Máximo 1.000 caracteres" sqref="U30:X30">
      <formula1>1000</formula1>
    </dataValidation>
  </dataValidations>
  <printOptions horizontalCentered="1"/>
  <pageMargins left="0.19685039370078741" right="0.19685039370078741" top="0.39370078740157483" bottom="0.39370078740157483" header="0" footer="0"/>
  <pageSetup scale="37" orientation="landscape" r:id="rId1"/>
  <colBreaks count="1" manualBreakCount="1">
    <brk id="2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9"/>
  <sheetViews>
    <sheetView zoomScaleNormal="100" zoomScaleSheetLayoutView="100" workbookViewId="0">
      <selection activeCell="L9" sqref="L9"/>
    </sheetView>
  </sheetViews>
  <sheetFormatPr baseColWidth="10" defaultColWidth="11.42578125" defaultRowHeight="15"/>
  <cols>
    <col min="1" max="1" width="6.7109375" style="146" customWidth="1"/>
    <col min="2" max="2" width="7" style="146" customWidth="1"/>
    <col min="3" max="3" width="15.140625" style="146" customWidth="1"/>
    <col min="4" max="4" width="16.140625" style="146" customWidth="1"/>
    <col min="5" max="5" width="11.42578125" style="146" customWidth="1"/>
    <col min="6" max="6" width="13.28515625" style="146" customWidth="1"/>
    <col min="7" max="11" width="7" style="146" customWidth="1"/>
    <col min="12" max="12" width="13.140625" style="146" customWidth="1"/>
    <col min="13" max="16" width="9.7109375" style="146" customWidth="1"/>
    <col min="17" max="18" width="12.42578125" style="146" customWidth="1"/>
    <col min="19" max="19" width="148.7109375" style="146" customWidth="1"/>
    <col min="20" max="16384" width="11.42578125" style="146"/>
  </cols>
  <sheetData>
    <row r="1" spans="1:21" ht="15.75" customHeight="1">
      <c r="A1" s="864" t="s">
        <v>0</v>
      </c>
      <c r="B1" s="864"/>
      <c r="C1" s="864"/>
      <c r="D1" s="864"/>
      <c r="E1" s="864"/>
      <c r="F1" s="864"/>
      <c r="G1" s="864"/>
      <c r="H1" s="864"/>
      <c r="I1" s="864"/>
      <c r="J1" s="864"/>
      <c r="K1" s="864"/>
      <c r="L1" s="864"/>
      <c r="M1" s="864"/>
      <c r="N1" s="864"/>
      <c r="O1" s="864"/>
      <c r="P1" s="864"/>
      <c r="Q1" s="676" t="s">
        <v>1</v>
      </c>
      <c r="R1" s="677"/>
      <c r="S1" s="678"/>
    </row>
    <row r="2" spans="1:21" ht="15.75">
      <c r="A2" s="864" t="s">
        <v>2</v>
      </c>
      <c r="B2" s="864"/>
      <c r="C2" s="864"/>
      <c r="D2" s="864"/>
      <c r="E2" s="864"/>
      <c r="F2" s="864"/>
      <c r="G2" s="864"/>
      <c r="H2" s="864"/>
      <c r="I2" s="864"/>
      <c r="J2" s="864"/>
      <c r="K2" s="864"/>
      <c r="L2" s="864"/>
      <c r="M2" s="864"/>
      <c r="N2" s="864"/>
      <c r="O2" s="864"/>
      <c r="P2" s="864"/>
      <c r="Q2" s="682" t="s">
        <v>3</v>
      </c>
      <c r="R2" s="683"/>
      <c r="S2" s="684"/>
    </row>
    <row r="3" spans="1:21" ht="15" customHeight="1">
      <c r="A3" s="865" t="s">
        <v>4</v>
      </c>
      <c r="B3" s="865"/>
      <c r="C3" s="865"/>
      <c r="D3" s="865"/>
      <c r="E3" s="865"/>
      <c r="F3" s="865"/>
      <c r="G3" s="865"/>
      <c r="H3" s="865"/>
      <c r="I3" s="865"/>
      <c r="J3" s="865"/>
      <c r="K3" s="865"/>
      <c r="L3" s="865"/>
      <c r="M3" s="865"/>
      <c r="N3" s="865"/>
      <c r="O3" s="865"/>
      <c r="P3" s="865"/>
      <c r="Q3" s="682" t="s">
        <v>5</v>
      </c>
      <c r="R3" s="683"/>
      <c r="S3" s="684"/>
    </row>
    <row r="4" spans="1:21" ht="16.350000000000001" customHeight="1">
      <c r="A4" s="865"/>
      <c r="B4" s="865"/>
      <c r="C4" s="865"/>
      <c r="D4" s="865"/>
      <c r="E4" s="865"/>
      <c r="F4" s="865"/>
      <c r="G4" s="865"/>
      <c r="H4" s="865"/>
      <c r="I4" s="865"/>
      <c r="J4" s="865"/>
      <c r="K4" s="865"/>
      <c r="L4" s="865"/>
      <c r="M4" s="865"/>
      <c r="N4" s="865"/>
      <c r="O4" s="865"/>
      <c r="P4" s="865"/>
      <c r="Q4" s="866" t="s">
        <v>164</v>
      </c>
      <c r="R4" s="867"/>
      <c r="S4" s="868"/>
    </row>
    <row r="5" spans="1:21" ht="15" customHeight="1">
      <c r="A5" s="857" t="s">
        <v>165</v>
      </c>
      <c r="B5" s="857"/>
      <c r="C5" s="857"/>
      <c r="D5" s="857"/>
      <c r="E5" s="857"/>
      <c r="F5" s="857"/>
      <c r="G5" s="857"/>
      <c r="H5" s="857"/>
      <c r="I5" s="857"/>
      <c r="J5" s="857"/>
      <c r="K5" s="857"/>
      <c r="L5" s="857"/>
      <c r="M5" s="857"/>
      <c r="N5" s="857"/>
      <c r="O5" s="857"/>
      <c r="P5" s="857"/>
      <c r="Q5" s="857"/>
      <c r="R5" s="857"/>
      <c r="S5" s="857"/>
    </row>
    <row r="6" spans="1:21" ht="15" customHeight="1">
      <c r="A6" s="858" t="s">
        <v>166</v>
      </c>
      <c r="B6" s="858"/>
      <c r="C6" s="858"/>
      <c r="D6" s="858"/>
      <c r="E6" s="858"/>
      <c r="F6" s="858"/>
      <c r="G6" s="858"/>
      <c r="H6" s="858"/>
      <c r="I6" s="858"/>
      <c r="J6" s="858"/>
      <c r="K6" s="858"/>
      <c r="L6" s="859"/>
      <c r="M6" s="860" t="s">
        <v>167</v>
      </c>
      <c r="N6" s="860"/>
      <c r="O6" s="860"/>
      <c r="P6" s="860"/>
      <c r="Q6" s="860"/>
      <c r="R6" s="860"/>
      <c r="S6" s="860"/>
    </row>
    <row r="7" spans="1:21" s="145" customFormat="1" ht="28.35" customHeight="1">
      <c r="A7" s="854" t="s">
        <v>168</v>
      </c>
      <c r="B7" s="854" t="s">
        <v>169</v>
      </c>
      <c r="C7" s="854" t="s">
        <v>38</v>
      </c>
      <c r="D7" s="854" t="s">
        <v>170</v>
      </c>
      <c r="E7" s="854" t="s">
        <v>171</v>
      </c>
      <c r="F7" s="854" t="s">
        <v>172</v>
      </c>
      <c r="G7" s="861" t="s">
        <v>173</v>
      </c>
      <c r="H7" s="862"/>
      <c r="I7" s="862"/>
      <c r="J7" s="862"/>
      <c r="K7" s="863"/>
      <c r="L7" s="854" t="s">
        <v>174</v>
      </c>
      <c r="M7" s="854" t="s">
        <v>175</v>
      </c>
      <c r="N7" s="854"/>
      <c r="O7" s="854"/>
      <c r="P7" s="854"/>
      <c r="Q7" s="855" t="s">
        <v>41</v>
      </c>
      <c r="R7" s="856"/>
      <c r="S7" s="854" t="s">
        <v>47</v>
      </c>
      <c r="U7" s="145" t="s">
        <v>10</v>
      </c>
    </row>
    <row r="8" spans="1:21" s="145" customFormat="1" ht="28.35" customHeight="1">
      <c r="A8" s="854"/>
      <c r="B8" s="854"/>
      <c r="C8" s="854"/>
      <c r="D8" s="854"/>
      <c r="E8" s="854"/>
      <c r="F8" s="854"/>
      <c r="G8" s="420">
        <v>2020</v>
      </c>
      <c r="H8" s="420">
        <v>2021</v>
      </c>
      <c r="I8" s="420">
        <v>2022</v>
      </c>
      <c r="J8" s="420">
        <v>2023</v>
      </c>
      <c r="K8" s="420">
        <v>2024</v>
      </c>
      <c r="L8" s="854"/>
      <c r="M8" s="420" t="s">
        <v>27</v>
      </c>
      <c r="N8" s="420" t="s">
        <v>28</v>
      </c>
      <c r="O8" s="420" t="s">
        <v>29</v>
      </c>
      <c r="P8" s="420" t="s">
        <v>30</v>
      </c>
      <c r="Q8" s="175" t="s">
        <v>176</v>
      </c>
      <c r="R8" s="420" t="s">
        <v>177</v>
      </c>
      <c r="S8" s="854"/>
    </row>
    <row r="9" spans="1:21" s="145" customFormat="1" ht="305.10000000000002" customHeight="1">
      <c r="A9" s="147"/>
      <c r="B9" s="148">
        <v>52</v>
      </c>
      <c r="C9" s="149" t="s">
        <v>178</v>
      </c>
      <c r="D9" s="149" t="s">
        <v>179</v>
      </c>
      <c r="E9" s="150" t="s">
        <v>180</v>
      </c>
      <c r="F9" s="151">
        <v>1</v>
      </c>
      <c r="G9" s="152">
        <v>0.3</v>
      </c>
      <c r="H9" s="312">
        <v>0.7</v>
      </c>
      <c r="I9" s="153">
        <v>1</v>
      </c>
      <c r="J9" s="153">
        <v>1</v>
      </c>
      <c r="K9" s="153">
        <v>1</v>
      </c>
      <c r="L9" s="149" t="s">
        <v>181</v>
      </c>
      <c r="M9" s="397">
        <v>0.13800000000000001</v>
      </c>
      <c r="N9" s="397">
        <v>0.19159999999999999</v>
      </c>
      <c r="O9" s="397">
        <f>+Ponderación!AF76</f>
        <v>0.60550000000000004</v>
      </c>
      <c r="P9" s="398">
        <f>+Ponderación!AI76</f>
        <v>0.7</v>
      </c>
      <c r="Q9" s="397">
        <f>+P9</f>
        <v>0.7</v>
      </c>
      <c r="R9" s="399">
        <f>+Q9/H9</f>
        <v>1</v>
      </c>
      <c r="S9" s="99" t="s">
        <v>406</v>
      </c>
    </row>
    <row r="10" spans="1:21" s="145" customFormat="1" ht="357" customHeight="1">
      <c r="A10" s="147"/>
      <c r="B10" s="148">
        <v>53</v>
      </c>
      <c r="C10" s="149" t="s">
        <v>182</v>
      </c>
      <c r="D10" s="149" t="s">
        <v>183</v>
      </c>
      <c r="E10" s="150" t="s">
        <v>184</v>
      </c>
      <c r="F10" s="154">
        <f>SUM(G10:K10)</f>
        <v>1</v>
      </c>
      <c r="G10" s="155">
        <v>7.0000000000000007E-2</v>
      </c>
      <c r="H10" s="313">
        <v>0.18</v>
      </c>
      <c r="I10" s="155">
        <v>0.25</v>
      </c>
      <c r="J10" s="155">
        <v>0.25</v>
      </c>
      <c r="K10" s="155">
        <v>0.25</v>
      </c>
      <c r="L10" s="149" t="s">
        <v>185</v>
      </c>
      <c r="M10" s="156">
        <v>0.1132</v>
      </c>
      <c r="N10" s="446">
        <v>0.1479</v>
      </c>
      <c r="O10" s="156">
        <f>+Ponderación!AF66</f>
        <v>0.17099999999999999</v>
      </c>
      <c r="P10" s="446">
        <f>+Ponderación!AI66</f>
        <v>0.17907428571428571</v>
      </c>
      <c r="Q10" s="368">
        <f>+P10</f>
        <v>0.17907428571428571</v>
      </c>
      <c r="R10" s="155">
        <f>+Q10/H10</f>
        <v>0.99485714285714288</v>
      </c>
      <c r="S10" s="83" t="s">
        <v>408</v>
      </c>
    </row>
    <row r="11" spans="1:21" s="145" customFormat="1" ht="347.1" customHeight="1">
      <c r="A11" s="147"/>
      <c r="B11" s="148">
        <v>56</v>
      </c>
      <c r="C11" s="149" t="s">
        <v>186</v>
      </c>
      <c r="D11" s="149" t="s">
        <v>187</v>
      </c>
      <c r="E11" s="150" t="s">
        <v>184</v>
      </c>
      <c r="F11" s="151">
        <f>SUM(G11:K11)</f>
        <v>2</v>
      </c>
      <c r="G11" s="152">
        <v>0.1</v>
      </c>
      <c r="H11" s="312">
        <v>0.5</v>
      </c>
      <c r="I11" s="152">
        <v>0.5</v>
      </c>
      <c r="J11" s="152">
        <v>0.5</v>
      </c>
      <c r="K11" s="152">
        <v>0.4</v>
      </c>
      <c r="L11" s="149" t="s">
        <v>188</v>
      </c>
      <c r="M11" s="167">
        <f>+Ponderación!Z77</f>
        <v>8.3938285714285715E-2</v>
      </c>
      <c r="N11" s="167">
        <f>+Ponderación!AC77</f>
        <v>0.14016400000000001</v>
      </c>
      <c r="O11" s="167">
        <f>+Ponderación!AF77</f>
        <v>0.14912400000000003</v>
      </c>
      <c r="P11" s="167">
        <f>+Ponderación!AI77</f>
        <v>0.11249714285714288</v>
      </c>
      <c r="Q11" s="450">
        <f>+M11+N11+O11+P11</f>
        <v>0.48572342857142858</v>
      </c>
      <c r="R11" s="155">
        <f>+Q11/H11</f>
        <v>0.97144685714285717</v>
      </c>
      <c r="S11" s="110" t="s">
        <v>436</v>
      </c>
    </row>
    <row r="13" spans="1:21">
      <c r="Q13" s="168"/>
    </row>
    <row r="14" spans="1:21">
      <c r="Q14" s="168"/>
    </row>
    <row r="16" spans="1:21" ht="18">
      <c r="S16" s="169"/>
    </row>
    <row r="19" spans="19:19">
      <c r="S19" s="170"/>
    </row>
  </sheetData>
  <mergeCells count="21">
    <mergeCell ref="A1:P1"/>
    <mergeCell ref="Q1:S1"/>
    <mergeCell ref="A2:P2"/>
    <mergeCell ref="Q2:S2"/>
    <mergeCell ref="A3:P4"/>
    <mergeCell ref="Q3:S3"/>
    <mergeCell ref="Q4:S4"/>
    <mergeCell ref="M7:P7"/>
    <mergeCell ref="Q7:R7"/>
    <mergeCell ref="S7:S8"/>
    <mergeCell ref="A5:S5"/>
    <mergeCell ref="A6:L6"/>
    <mergeCell ref="M6:S6"/>
    <mergeCell ref="A7:A8"/>
    <mergeCell ref="B7:B8"/>
    <mergeCell ref="C7:C8"/>
    <mergeCell ref="D7:D8"/>
    <mergeCell ref="E7:E8"/>
    <mergeCell ref="F7:F8"/>
    <mergeCell ref="G7:K7"/>
    <mergeCell ref="L7:L8"/>
  </mergeCells>
  <printOptions horizontalCentered="1"/>
  <pageMargins left="0.19685039370078741" right="0.19685039370078741" top="0.39370078740157483" bottom="0.39370078740157483" header="0" footer="0"/>
  <pageSetup scale="4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VALIDACION</vt:lpstr>
      <vt:lpstr>Meta 1 </vt:lpstr>
      <vt:lpstr>Meta 2</vt:lpstr>
      <vt:lpstr>Meta 3</vt:lpstr>
      <vt:lpstr>Meta 4</vt:lpstr>
      <vt:lpstr>Meta 5</vt:lpstr>
      <vt:lpstr>Meta 6 </vt:lpstr>
      <vt:lpstr>Meta 7</vt:lpstr>
      <vt:lpstr>Seguimiento.PDD</vt:lpstr>
      <vt:lpstr>Ponderación</vt:lpstr>
      <vt:lpstr>Indic Gestión SPI</vt:lpstr>
      <vt:lpstr>Hoja2</vt:lpstr>
      <vt:lpstr>Ponderación </vt:lpstr>
      <vt:lpstr>Hoja13</vt:lpstr>
      <vt:lpstr>Hoja1</vt:lpstr>
      <vt:lpstr>'Meta 1 '!Área_de_impresión</vt:lpstr>
      <vt:lpstr>'Meta 2'!Área_de_impresión</vt:lpstr>
      <vt:lpstr>'Meta 3'!Área_de_impresión</vt:lpstr>
      <vt:lpstr>'Meta 4'!Área_de_impresión</vt:lpstr>
      <vt:lpstr>'Meta 5'!Área_de_impresión</vt:lpstr>
      <vt:lpstr>'Meta 6 '!Área_de_impresión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Luz Angela Andrade</cp:lastModifiedBy>
  <cp:revision/>
  <dcterms:created xsi:type="dcterms:W3CDTF">2011-04-26T22:16:52Z</dcterms:created>
  <dcterms:modified xsi:type="dcterms:W3CDTF">2023-10-03T12:56:33Z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