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d.docs.live.net/4741d8437d87abd1/Documentos/SDMujer/Proyectos/7671/Plan de acción/Septiembre/"/>
    </mc:Choice>
  </mc:AlternateContent>
  <xr:revisionPtr revIDLastSave="21" documentId="8_{81D4A1D4-AD86-46A8-B107-C95B6F3EE5CE}" xr6:coauthVersionLast="47" xr6:coauthVersionMax="47" xr10:uidLastSave="{6021EE16-C307-4EBF-B12E-EFFEFA7E8AF3}"/>
  <bookViews>
    <workbookView xWindow="-108" yWindow="-108" windowWidth="23256" windowHeight="12456" tabRatio="734" activeTab="7" xr2:uid="{00000000-000D-0000-FFFF-FFFF00000000}"/>
  </bookViews>
  <sheets>
    <sheet name="Meta 1" sheetId="40" r:id="rId1"/>
    <sheet name="Meta 1..n" sheetId="1" state="hidden" r:id="rId2"/>
    <sheet name="Meta 2" sheetId="41" r:id="rId3"/>
    <sheet name="Meta 3" sheetId="42" r:id="rId4"/>
    <sheet name="Meta 4" sheetId="43" r:id="rId5"/>
    <sheet name="Meta 5" sheetId="47" r:id="rId6"/>
    <sheet name="Meta 6" sheetId="48" r:id="rId7"/>
    <sheet name="Meta 7" sheetId="46"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'Indicadores PA'!$A$12:$AY$23</definedName>
    <definedName name="_xlnm.Print_Area" localSheetId="8">'Indicadores PA'!$A$1:$AY$23</definedName>
    <definedName name="_xlnm.Print_Area" localSheetId="0">'Meta 1'!$A$1:$AD$49</definedName>
    <definedName name="_xlnm.Print_Area" localSheetId="2">'Meta 2'!$A$1:$AD$57</definedName>
    <definedName name="_xlnm.Print_Area" localSheetId="3">'Meta 3'!$A$1:$AD$45</definedName>
    <definedName name="_xlnm.Print_Area" localSheetId="4">'Meta 4'!$A$1:$AD$43</definedName>
    <definedName name="_xlnm.Print_Area" localSheetId="5">'Meta 5'!$A$1:$AD$39</definedName>
    <definedName name="_xlnm.Print_Area" localSheetId="6">'Meta 6'!$A$1:$AD$51</definedName>
    <definedName name="_xlnm.Print_Area" localSheetId="7">'Meta 7'!$A$1:$AD$41</definedName>
    <definedName name="_xlnm.Print_Area" localSheetId="9">'Territorialización PA'!$A$1:$BK$58</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38" i="46" l="1"/>
  <c r="D58" i="46"/>
  <c r="P40" i="46"/>
  <c r="D60" i="46"/>
  <c r="D65" i="46"/>
  <c r="D66" i="46"/>
  <c r="D35" i="46"/>
  <c r="E58" i="46"/>
  <c r="E60" i="46"/>
  <c r="E65" i="46"/>
  <c r="E66" i="46"/>
  <c r="E35" i="46"/>
  <c r="F58" i="46"/>
  <c r="F60" i="46"/>
  <c r="F65" i="46"/>
  <c r="F66" i="46"/>
  <c r="F35" i="46"/>
  <c r="G58" i="46"/>
  <c r="G60" i="46"/>
  <c r="G65" i="46"/>
  <c r="G66" i="46"/>
  <c r="G35" i="46"/>
  <c r="H58" i="46"/>
  <c r="H60" i="46"/>
  <c r="H65" i="46"/>
  <c r="H66" i="46"/>
  <c r="H35" i="46"/>
  <c r="I58" i="46"/>
  <c r="I60" i="46"/>
  <c r="I65" i="46"/>
  <c r="I66" i="46"/>
  <c r="I35" i="46"/>
  <c r="J58" i="46"/>
  <c r="J60" i="46"/>
  <c r="J65" i="46"/>
  <c r="J66" i="46"/>
  <c r="J35" i="46"/>
  <c r="K58" i="46"/>
  <c r="K60" i="46"/>
  <c r="K65" i="46"/>
  <c r="K66" i="46"/>
  <c r="K35" i="46"/>
  <c r="L58" i="46"/>
  <c r="L60" i="46"/>
  <c r="L65" i="46"/>
  <c r="L66" i="46"/>
  <c r="L35" i="46"/>
  <c r="P35" i="46"/>
  <c r="R25" i="46"/>
  <c r="S25" i="46"/>
  <c r="T25" i="46"/>
  <c r="U25" i="46"/>
  <c r="V25" i="46"/>
  <c r="W25" i="46"/>
  <c r="X25" i="46"/>
  <c r="Y25" i="46"/>
  <c r="R25" i="48"/>
  <c r="S25" i="48"/>
  <c r="T25" i="48"/>
  <c r="U25" i="48"/>
  <c r="V25" i="48"/>
  <c r="W25" i="48"/>
  <c r="X25" i="48"/>
  <c r="Y25" i="48"/>
  <c r="R25" i="43"/>
  <c r="S25" i="43"/>
  <c r="T25" i="43"/>
  <c r="U25" i="43"/>
  <c r="V25" i="43"/>
  <c r="W25" i="43"/>
  <c r="X25" i="43"/>
  <c r="Y25" i="43"/>
  <c r="Q25" i="42"/>
  <c r="R25" i="42"/>
  <c r="S25" i="42"/>
  <c r="T25" i="42"/>
  <c r="U25" i="42"/>
  <c r="V25" i="42"/>
  <c r="W25" i="42"/>
  <c r="X25" i="42"/>
  <c r="Y25" i="42"/>
  <c r="R25" i="41"/>
  <c r="S25" i="41"/>
  <c r="T25" i="41"/>
  <c r="U25" i="41"/>
  <c r="V25" i="41"/>
  <c r="W25" i="41"/>
  <c r="X25" i="41"/>
  <c r="Y25" i="41"/>
  <c r="R25" i="40"/>
  <c r="S25" i="40"/>
  <c r="T25" i="40"/>
  <c r="U25" i="40"/>
  <c r="V25" i="40"/>
  <c r="W25" i="40"/>
  <c r="X25" i="40"/>
  <c r="Y25" i="40"/>
  <c r="AB24" i="47"/>
  <c r="AA24" i="47"/>
  <c r="Z24" i="47"/>
  <c r="Y24" i="47"/>
  <c r="X24" i="47"/>
  <c r="AB24" i="42"/>
  <c r="AA24" i="42"/>
  <c r="Z24" i="42"/>
  <c r="Y24" i="42"/>
  <c r="X24" i="42"/>
  <c r="AB24" i="41"/>
  <c r="AA24" i="41"/>
  <c r="Z24" i="41"/>
  <c r="Y24" i="41"/>
  <c r="X24" i="41"/>
  <c r="C25" i="42"/>
  <c r="R23" i="46"/>
  <c r="S23" i="46"/>
  <c r="Q23" i="43"/>
  <c r="R23" i="42"/>
  <c r="Q23" i="41"/>
  <c r="R23" i="41"/>
  <c r="S23" i="41"/>
  <c r="T23" i="41"/>
  <c r="Q23" i="40"/>
  <c r="P41" i="41"/>
  <c r="AC24" i="48"/>
  <c r="Q23" i="47"/>
  <c r="G24" i="42"/>
  <c r="C25" i="40"/>
  <c r="D25" i="40"/>
  <c r="D25" i="41"/>
  <c r="C24" i="41"/>
  <c r="AC22" i="46"/>
  <c r="AC22" i="42"/>
  <c r="D25" i="46"/>
  <c r="E25" i="46"/>
  <c r="R25" i="47"/>
  <c r="B69" i="48"/>
  <c r="A69" i="48"/>
  <c r="B67" i="48"/>
  <c r="A67" i="48"/>
  <c r="B65" i="48"/>
  <c r="A65" i="48"/>
  <c r="B63" i="48"/>
  <c r="A63" i="48"/>
  <c r="B61" i="48"/>
  <c r="A61" i="48"/>
  <c r="B59" i="48"/>
  <c r="A59" i="48"/>
  <c r="B57" i="48"/>
  <c r="A57" i="48"/>
  <c r="P51" i="48"/>
  <c r="P50" i="48"/>
  <c r="P49" i="48"/>
  <c r="P48" i="48"/>
  <c r="P47" i="48"/>
  <c r="P46" i="48"/>
  <c r="P45" i="48"/>
  <c r="P44" i="48"/>
  <c r="K63" i="48"/>
  <c r="P38" i="48"/>
  <c r="P40" i="48"/>
  <c r="P42" i="48"/>
  <c r="K61" i="48"/>
  <c r="P43" i="48"/>
  <c r="P41" i="48"/>
  <c r="P39" i="48"/>
  <c r="P39" i="47"/>
  <c r="P38" i="47"/>
  <c r="A34" i="47"/>
  <c r="P30" i="47"/>
  <c r="A30" i="47"/>
  <c r="O22" i="47"/>
  <c r="AC22" i="47"/>
  <c r="O23" i="47"/>
  <c r="P23" i="47"/>
  <c r="O24" i="47"/>
  <c r="AC24" i="47"/>
  <c r="O25" i="47"/>
  <c r="P25" i="47"/>
  <c r="A57" i="47"/>
  <c r="B57" i="47"/>
  <c r="C24" i="40"/>
  <c r="D24" i="40"/>
  <c r="Q24" i="42"/>
  <c r="R24" i="42"/>
  <c r="AC24" i="42"/>
  <c r="Q23" i="48"/>
  <c r="R23" i="48"/>
  <c r="AC22" i="40"/>
  <c r="F24" i="42"/>
  <c r="Q68" i="42"/>
  <c r="R68" i="42"/>
  <c r="R67" i="42"/>
  <c r="Q66" i="42"/>
  <c r="R66" i="42"/>
  <c r="R65" i="42"/>
  <c r="B63" i="42"/>
  <c r="A63" i="42"/>
  <c r="B61" i="42"/>
  <c r="A61" i="42"/>
  <c r="B59" i="42"/>
  <c r="A59" i="42"/>
  <c r="B57" i="42"/>
  <c r="A57" i="42"/>
  <c r="B61" i="43"/>
  <c r="A61" i="43"/>
  <c r="B59" i="43"/>
  <c r="A59" i="43"/>
  <c r="B57" i="43"/>
  <c r="A57" i="43"/>
  <c r="B59" i="46"/>
  <c r="A59" i="46"/>
  <c r="B57" i="46"/>
  <c r="A57" i="46"/>
  <c r="B67" i="40"/>
  <c r="A67" i="40"/>
  <c r="P46" i="40"/>
  <c r="L65" i="40"/>
  <c r="B65" i="40"/>
  <c r="A65" i="40"/>
  <c r="B63" i="40"/>
  <c r="A63" i="40"/>
  <c r="B61" i="40"/>
  <c r="A61" i="40"/>
  <c r="B59" i="40"/>
  <c r="A59" i="40"/>
  <c r="B57" i="40"/>
  <c r="A57" i="40"/>
  <c r="B82" i="41"/>
  <c r="A82" i="41"/>
  <c r="B80" i="41"/>
  <c r="A80" i="41"/>
  <c r="B78" i="41"/>
  <c r="A78" i="41"/>
  <c r="B76" i="41"/>
  <c r="A76" i="41"/>
  <c r="B74" i="41"/>
  <c r="A74" i="41"/>
  <c r="B72" i="41"/>
  <c r="A72" i="41"/>
  <c r="B70" i="41"/>
  <c r="A70" i="41"/>
  <c r="B68" i="41"/>
  <c r="A68" i="41"/>
  <c r="B66" i="41"/>
  <c r="A66" i="41"/>
  <c r="B64" i="41"/>
  <c r="A64" i="41"/>
  <c r="C24" i="46"/>
  <c r="O24" i="46"/>
  <c r="O24" i="41"/>
  <c r="P49" i="40"/>
  <c r="P48" i="40"/>
  <c r="P47" i="40"/>
  <c r="P45" i="40"/>
  <c r="P44" i="40"/>
  <c r="L64" i="40"/>
  <c r="O25" i="48"/>
  <c r="P25" i="48"/>
  <c r="O24" i="48"/>
  <c r="O23" i="48"/>
  <c r="P23" i="48"/>
  <c r="AC22" i="48"/>
  <c r="O22" i="48"/>
  <c r="A30" i="48"/>
  <c r="P30" i="48"/>
  <c r="P57" i="41"/>
  <c r="P56" i="41"/>
  <c r="H82" i="41"/>
  <c r="P55" i="41"/>
  <c r="P54" i="41"/>
  <c r="K80" i="41"/>
  <c r="P53" i="41"/>
  <c r="P52" i="41"/>
  <c r="P51" i="41"/>
  <c r="P50" i="41"/>
  <c r="N77" i="41"/>
  <c r="P49" i="41"/>
  <c r="P48" i="41"/>
  <c r="O74" i="41"/>
  <c r="P47" i="41"/>
  <c r="P46" i="41"/>
  <c r="H73" i="41"/>
  <c r="P41" i="46"/>
  <c r="P39" i="46"/>
  <c r="P30" i="46"/>
  <c r="AC24" i="46"/>
  <c r="O23" i="46"/>
  <c r="P23" i="46"/>
  <c r="O22" i="46"/>
  <c r="AC24" i="43"/>
  <c r="AC22" i="43"/>
  <c r="P43" i="43"/>
  <c r="P42" i="43"/>
  <c r="G62" i="43"/>
  <c r="P41" i="43"/>
  <c r="P40" i="43"/>
  <c r="P39" i="43"/>
  <c r="P38" i="43"/>
  <c r="J57" i="43"/>
  <c r="P30" i="43"/>
  <c r="O25" i="43"/>
  <c r="P25" i="43"/>
  <c r="O24" i="43"/>
  <c r="O23" i="43"/>
  <c r="P23" i="43"/>
  <c r="O22" i="43"/>
  <c r="D24" i="42"/>
  <c r="O24" i="42"/>
  <c r="P45" i="42"/>
  <c r="P44" i="42"/>
  <c r="P38" i="42"/>
  <c r="P40" i="42"/>
  <c r="J59" i="42"/>
  <c r="P42" i="42"/>
  <c r="J61" i="42"/>
  <c r="P43" i="42"/>
  <c r="P41" i="42"/>
  <c r="P39" i="42"/>
  <c r="P30" i="42"/>
  <c r="O23" i="42"/>
  <c r="P23" i="42"/>
  <c r="O22" i="42"/>
  <c r="W24" i="41"/>
  <c r="V24" i="41"/>
  <c r="U24" i="41"/>
  <c r="T24" i="41"/>
  <c r="S24" i="41"/>
  <c r="R24" i="41"/>
  <c r="P45" i="41"/>
  <c r="P44" i="41"/>
  <c r="P43" i="41"/>
  <c r="P42" i="41"/>
  <c r="H68" i="41"/>
  <c r="P40" i="41"/>
  <c r="E66" i="41"/>
  <c r="P39" i="41"/>
  <c r="P38" i="41"/>
  <c r="J65" i="41"/>
  <c r="P30" i="41"/>
  <c r="O23" i="41"/>
  <c r="P23" i="41"/>
  <c r="AC22" i="41"/>
  <c r="O22" i="41"/>
  <c r="AB24" i="40"/>
  <c r="AA24" i="40"/>
  <c r="Z24" i="40"/>
  <c r="Y24" i="40"/>
  <c r="X24" i="40"/>
  <c r="W24" i="40"/>
  <c r="V24" i="40"/>
  <c r="U24" i="40"/>
  <c r="R24" i="40"/>
  <c r="S24" i="40"/>
  <c r="T24"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S37" i="37"/>
  <c r="S38" i="37"/>
  <c r="S39" i="37"/>
  <c r="R40" i="37"/>
  <c r="R37" i="37"/>
  <c r="R38" i="37"/>
  <c r="R39" i="37"/>
  <c r="AY39" i="37"/>
  <c r="AX39" i="37"/>
  <c r="AY38" i="37"/>
  <c r="AX38" i="37"/>
  <c r="AX37" i="37"/>
  <c r="AY37" i="37"/>
  <c r="AW32" i="37"/>
  <c r="AV32" i="37"/>
  <c r="AU32" i="37"/>
  <c r="AT32" i="37"/>
  <c r="AS32" i="37"/>
  <c r="AR32" i="37"/>
  <c r="AQ32" i="37"/>
  <c r="AP32" i="37"/>
  <c r="AO32" i="37"/>
  <c r="AN32" i="37"/>
  <c r="AM32" i="37"/>
  <c r="AL32" i="37"/>
  <c r="AK32" i="37"/>
  <c r="AJ32" i="37"/>
  <c r="AI32" i="37"/>
  <c r="AH32" i="37"/>
  <c r="Q32" i="37"/>
  <c r="M32" i="37"/>
  <c r="I32" i="37"/>
  <c r="E32" i="37"/>
  <c r="AY12" i="37"/>
  <c r="AY11" i="37"/>
  <c r="AY13" i="37"/>
  <c r="AY14" i="37"/>
  <c r="AY15" i="37"/>
  <c r="AY16" i="37"/>
  <c r="AY17" i="37"/>
  <c r="AY18" i="37"/>
  <c r="AY19" i="37"/>
  <c r="AY20" i="37"/>
  <c r="AY21" i="37"/>
  <c r="AY22" i="37"/>
  <c r="AY23" i="37"/>
  <c r="AY24" i="37"/>
  <c r="AY25" i="37"/>
  <c r="AY26" i="37"/>
  <c r="AY27" i="37"/>
  <c r="AY28" i="37"/>
  <c r="AY29" i="37"/>
  <c r="AY30" i="37"/>
  <c r="AY31" i="37"/>
  <c r="S12" i="37"/>
  <c r="S11" i="37"/>
  <c r="S13" i="37"/>
  <c r="S14" i="37"/>
  <c r="S15" i="37"/>
  <c r="S16" i="37"/>
  <c r="S17" i="37"/>
  <c r="S18" i="37"/>
  <c r="S19" i="37"/>
  <c r="S20" i="37"/>
  <c r="S21" i="37"/>
  <c r="S22" i="37"/>
  <c r="S23" i="37"/>
  <c r="S24" i="37"/>
  <c r="S25" i="37"/>
  <c r="S26" i="37"/>
  <c r="S27" i="37"/>
  <c r="S28" i="37"/>
  <c r="S29" i="37"/>
  <c r="S30" i="37"/>
  <c r="S31" i="37"/>
  <c r="J32" i="37"/>
  <c r="K32" i="37"/>
  <c r="L32" i="37"/>
  <c r="AX14" i="37"/>
  <c r="AX15" i="37"/>
  <c r="AX16" i="37"/>
  <c r="AX17" i="37"/>
  <c r="AX18" i="37"/>
  <c r="AX19" i="37"/>
  <c r="AX20" i="37"/>
  <c r="AX21" i="37"/>
  <c r="AX22" i="37"/>
  <c r="AT14" i="36"/>
  <c r="AU14" i="36"/>
  <c r="AT15" i="36"/>
  <c r="AU15" i="36"/>
  <c r="AT16" i="36"/>
  <c r="AU16" i="36"/>
  <c r="AT17" i="36"/>
  <c r="AU17" i="36"/>
  <c r="AT18" i="36"/>
  <c r="AU18" i="36"/>
  <c r="AT19" i="36"/>
  <c r="AU19" i="36"/>
  <c r="AT13" i="36"/>
  <c r="AU13" i="36"/>
  <c r="O23" i="40"/>
  <c r="P23" i="40"/>
  <c r="T32" i="37"/>
  <c r="U32" i="37"/>
  <c r="V32" i="37"/>
  <c r="W32" i="37"/>
  <c r="X32" i="37"/>
  <c r="AZ32" i="37"/>
  <c r="BA32" i="37"/>
  <c r="BB32" i="37"/>
  <c r="BC32" i="37"/>
  <c r="BD32" i="37"/>
  <c r="BE32" i="37"/>
  <c r="O22" i="40"/>
  <c r="P43" i="40"/>
  <c r="P42" i="40"/>
  <c r="M62" i="40"/>
  <c r="P41" i="40"/>
  <c r="P40" i="40"/>
  <c r="F60" i="40"/>
  <c r="P39" i="40"/>
  <c r="P38" i="40"/>
  <c r="P30" i="40"/>
  <c r="P28" i="1"/>
  <c r="P24" i="1"/>
  <c r="AX12" i="37"/>
  <c r="AX11" i="37"/>
  <c r="AX13" i="37"/>
  <c r="AX23" i="37"/>
  <c r="AX24" i="37"/>
  <c r="AX25" i="37"/>
  <c r="AX26" i="37"/>
  <c r="AX27" i="37"/>
  <c r="AX28" i="37"/>
  <c r="AX29" i="37"/>
  <c r="AX30" i="37"/>
  <c r="AX31" i="37"/>
  <c r="R12" i="37"/>
  <c r="R13" i="37"/>
  <c r="R14" i="37"/>
  <c r="R15" i="37"/>
  <c r="R16" i="37"/>
  <c r="R17" i="37"/>
  <c r="R18" i="37"/>
  <c r="R19" i="37"/>
  <c r="R11"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G79" i="41"/>
  <c r="N68" i="40"/>
  <c r="O67" i="40"/>
  <c r="J67" i="40"/>
  <c r="M67" i="40"/>
  <c r="F68" i="40"/>
  <c r="M68" i="40"/>
  <c r="E62" i="42"/>
  <c r="N57" i="48"/>
  <c r="E57" i="48"/>
  <c r="F60" i="48"/>
  <c r="F64" i="48"/>
  <c r="F68" i="48"/>
  <c r="J61" i="48"/>
  <c r="M59" i="48"/>
  <c r="L66" i="48"/>
  <c r="O66" i="48"/>
  <c r="G70" i="48"/>
  <c r="K67" i="48"/>
  <c r="H65" i="48"/>
  <c r="F57" i="48"/>
  <c r="F67" i="48"/>
  <c r="L60" i="48"/>
  <c r="D68" i="48"/>
  <c r="O59" i="48"/>
  <c r="J59" i="43"/>
  <c r="O69" i="41"/>
  <c r="G60" i="48"/>
  <c r="M60" i="48"/>
  <c r="O60" i="48"/>
  <c r="I60" i="48"/>
  <c r="I68" i="48"/>
  <c r="K68" i="48"/>
  <c r="H59" i="48"/>
  <c r="I59" i="48"/>
  <c r="I67" i="48"/>
  <c r="K59" i="43"/>
  <c r="H59" i="43"/>
  <c r="E59" i="43"/>
  <c r="G59" i="43"/>
  <c r="L59" i="43"/>
  <c r="E60" i="43"/>
  <c r="E68" i="41"/>
  <c r="I69" i="41"/>
  <c r="L68" i="41"/>
  <c r="O68" i="41"/>
  <c r="N80" i="41"/>
  <c r="O78" i="41"/>
  <c r="H78" i="41"/>
  <c r="F78" i="41"/>
  <c r="E78" i="41"/>
  <c r="D79" i="41"/>
  <c r="K79" i="41"/>
  <c r="M79" i="41"/>
  <c r="J78" i="41"/>
  <c r="F71" i="41"/>
  <c r="F69" i="41"/>
  <c r="J58" i="43"/>
  <c r="E63" i="48"/>
  <c r="N64" i="48"/>
  <c r="I57" i="48"/>
  <c r="O58" i="48"/>
  <c r="L58" i="48"/>
  <c r="I75" i="41"/>
  <c r="M68" i="48"/>
  <c r="K60" i="43"/>
  <c r="L60" i="43"/>
  <c r="J60" i="43"/>
  <c r="F60" i="43"/>
  <c r="H83" i="41"/>
  <c r="N67" i="40"/>
  <c r="H67" i="40"/>
  <c r="E57" i="46"/>
  <c r="D57" i="46"/>
  <c r="D69" i="41"/>
  <c r="L69" i="41"/>
  <c r="N69" i="41"/>
  <c r="D60" i="43"/>
  <c r="M60" i="43"/>
  <c r="O60" i="43"/>
  <c r="I60" i="43"/>
  <c r="H60" i="43"/>
  <c r="I72" i="41"/>
  <c r="E65" i="41"/>
  <c r="G82" i="41"/>
  <c r="E60" i="48"/>
  <c r="E68" i="48"/>
  <c r="L68" i="48"/>
  <c r="G67" i="48"/>
  <c r="O67" i="48"/>
  <c r="J67" i="48"/>
  <c r="L67" i="48"/>
  <c r="G68" i="48"/>
  <c r="J68" i="48"/>
  <c r="E67" i="48"/>
  <c r="H67" i="48"/>
  <c r="N67" i="48"/>
  <c r="H57" i="47"/>
  <c r="H68" i="47"/>
  <c r="H69" i="47"/>
  <c r="H34" i="47"/>
  <c r="J57" i="47"/>
  <c r="J68" i="47"/>
  <c r="J69" i="47"/>
  <c r="J34" i="47"/>
  <c r="F57" i="47"/>
  <c r="F68" i="47"/>
  <c r="F69" i="47"/>
  <c r="F34" i="47"/>
  <c r="L57" i="47"/>
  <c r="L68" i="47"/>
  <c r="L69" i="47"/>
  <c r="L34" i="47"/>
  <c r="H58" i="47"/>
  <c r="H65" i="47"/>
  <c r="H66" i="47"/>
  <c r="H35" i="47"/>
  <c r="K57" i="47"/>
  <c r="K68" i="47"/>
  <c r="K69" i="47"/>
  <c r="K34" i="47"/>
  <c r="L58" i="47"/>
  <c r="L65" i="47"/>
  <c r="L66" i="47"/>
  <c r="L35" i="47"/>
  <c r="N69" i="48"/>
  <c r="L57" i="43"/>
  <c r="H60" i="48"/>
  <c r="H64" i="48"/>
  <c r="D60" i="48"/>
  <c r="N59" i="48"/>
  <c r="F66" i="40"/>
  <c r="E80" i="41"/>
  <c r="M81" i="41"/>
  <c r="H80" i="41"/>
  <c r="J59" i="48"/>
  <c r="J60" i="48"/>
  <c r="D67" i="48"/>
  <c r="E25" i="40"/>
  <c r="H64" i="40"/>
  <c r="G64" i="40"/>
  <c r="J64" i="40"/>
  <c r="E64" i="40"/>
  <c r="I64" i="40"/>
  <c r="K64" i="40"/>
  <c r="F63" i="40"/>
  <c r="H63" i="40"/>
  <c r="L63" i="40"/>
  <c r="O63" i="40"/>
  <c r="O64" i="41"/>
  <c r="K70" i="41"/>
  <c r="O81" i="41"/>
  <c r="D61" i="42"/>
  <c r="O62" i="42"/>
  <c r="M62" i="42"/>
  <c r="H63" i="48"/>
  <c r="D62" i="48"/>
  <c r="M64" i="48"/>
  <c r="I64" i="48"/>
  <c r="D64" i="48"/>
  <c r="E64" i="48"/>
  <c r="G64" i="48"/>
  <c r="J64" i="48"/>
  <c r="K64" i="48"/>
  <c r="L64" i="48"/>
  <c r="O64" i="48"/>
  <c r="F63" i="48"/>
  <c r="G62" i="48"/>
  <c r="M62" i="48"/>
  <c r="D76" i="41"/>
  <c r="E57" i="42"/>
  <c r="F73" i="41"/>
  <c r="I63" i="48"/>
  <c r="O61" i="48"/>
  <c r="G77" i="41"/>
  <c r="G63" i="48"/>
  <c r="M62" i="43"/>
  <c r="N63" i="48"/>
  <c r="O63" i="48"/>
  <c r="N76" i="41"/>
  <c r="M63" i="48"/>
  <c r="N62" i="43"/>
  <c r="O77" i="41"/>
  <c r="L63" i="48"/>
  <c r="D63" i="48"/>
  <c r="O65" i="40"/>
  <c r="I57" i="40"/>
  <c r="J63" i="48"/>
  <c r="O57" i="43"/>
  <c r="D61" i="43"/>
  <c r="H57" i="46"/>
  <c r="L77" i="41"/>
  <c r="F76" i="41"/>
  <c r="I77" i="41"/>
  <c r="I81" i="41"/>
  <c r="J63" i="40"/>
  <c r="E63" i="40"/>
  <c r="D63" i="40"/>
  <c r="I61" i="42"/>
  <c r="G66" i="40"/>
  <c r="M66" i="40"/>
  <c r="F68" i="41"/>
  <c r="K69" i="41"/>
  <c r="G69" i="41"/>
  <c r="N68" i="41"/>
  <c r="D68" i="41"/>
  <c r="K68" i="41"/>
  <c r="I64" i="41"/>
  <c r="F64" i="41"/>
  <c r="K67" i="40"/>
  <c r="I68" i="40"/>
  <c r="H68" i="40"/>
  <c r="D68" i="40"/>
  <c r="E68" i="40"/>
  <c r="L68" i="40"/>
  <c r="L67" i="40"/>
  <c r="D67" i="40"/>
  <c r="E67" i="40"/>
  <c r="E59" i="42"/>
  <c r="I61" i="48"/>
  <c r="O62" i="48"/>
  <c r="J62" i="48"/>
  <c r="H62" i="48"/>
  <c r="F59" i="48"/>
  <c r="E59" i="48"/>
  <c r="L69" i="48"/>
  <c r="G69" i="48"/>
  <c r="O57" i="42"/>
  <c r="D58" i="40"/>
  <c r="H61" i="48"/>
  <c r="N61" i="48"/>
  <c r="F59" i="42"/>
  <c r="H66" i="40"/>
  <c r="H58" i="48"/>
  <c r="J57" i="48"/>
  <c r="L58" i="40"/>
  <c r="D57" i="40"/>
  <c r="L62" i="48"/>
  <c r="G61" i="48"/>
  <c r="M68" i="41"/>
  <c r="I78" i="41"/>
  <c r="I63" i="40"/>
  <c r="N63" i="40"/>
  <c r="G63" i="40"/>
  <c r="D57" i="47"/>
  <c r="N57" i="47"/>
  <c r="N68" i="47"/>
  <c r="N69" i="47"/>
  <c r="N34" i="47"/>
  <c r="O57" i="47"/>
  <c r="O68" i="47"/>
  <c r="O69" i="47"/>
  <c r="O34" i="47"/>
  <c r="K60" i="42"/>
  <c r="L57" i="40"/>
  <c r="M58" i="42"/>
  <c r="E62" i="48"/>
  <c r="K62" i="48"/>
  <c r="F61" i="48"/>
  <c r="F62" i="48"/>
  <c r="G73" i="41"/>
  <c r="E57" i="40"/>
  <c r="I58" i="42"/>
  <c r="D61" i="48"/>
  <c r="E61" i="48"/>
  <c r="E81" i="41"/>
  <c r="F81" i="41"/>
  <c r="G66" i="48"/>
  <c r="H66" i="48"/>
  <c r="K58" i="40"/>
  <c r="N62" i="48"/>
  <c r="M61" i="48"/>
  <c r="N65" i="41"/>
  <c r="O71" i="41"/>
  <c r="J58" i="47"/>
  <c r="J65" i="47"/>
  <c r="J66" i="47"/>
  <c r="J35" i="47"/>
  <c r="I58" i="40"/>
  <c r="M57" i="40"/>
  <c r="G57" i="40"/>
  <c r="I62" i="48"/>
  <c r="L61" i="48"/>
  <c r="G62" i="42"/>
  <c r="H62" i="42"/>
  <c r="E61" i="42"/>
  <c r="O68" i="48"/>
  <c r="M67" i="48"/>
  <c r="N68" i="48"/>
  <c r="H68" i="48"/>
  <c r="K58" i="43"/>
  <c r="G58" i="43"/>
  <c r="J57" i="46"/>
  <c r="O57" i="46"/>
  <c r="F57" i="46"/>
  <c r="L57" i="46"/>
  <c r="N72" i="41"/>
  <c r="H72" i="41"/>
  <c r="M58" i="40"/>
  <c r="H57" i="40"/>
  <c r="E58" i="40"/>
  <c r="D59" i="43"/>
  <c r="I59" i="43"/>
  <c r="N60" i="43"/>
  <c r="G60" i="43"/>
  <c r="M59" i="43"/>
  <c r="N59" i="43"/>
  <c r="F59" i="43"/>
  <c r="O59" i="43"/>
  <c r="I59" i="46"/>
  <c r="E59" i="46"/>
  <c r="N59" i="46"/>
  <c r="K59" i="46"/>
  <c r="D68" i="47"/>
  <c r="D69" i="47"/>
  <c r="D34" i="47"/>
  <c r="O63" i="42"/>
  <c r="E64" i="42"/>
  <c r="E63" i="42"/>
  <c r="M64" i="42"/>
  <c r="K63" i="42"/>
  <c r="O64" i="42"/>
  <c r="D63" i="42"/>
  <c r="L59" i="46"/>
  <c r="O60" i="46"/>
  <c r="H59" i="46"/>
  <c r="O59" i="46"/>
  <c r="M60" i="46"/>
  <c r="D59" i="46"/>
  <c r="G59" i="46"/>
  <c r="H59" i="42"/>
  <c r="G59" i="42"/>
  <c r="E60" i="42"/>
  <c r="K59" i="42"/>
  <c r="N60" i="42"/>
  <c r="D62" i="43"/>
  <c r="K62" i="43"/>
  <c r="L61" i="43"/>
  <c r="H61" i="43"/>
  <c r="I62" i="43"/>
  <c r="G61" i="43"/>
  <c r="J62" i="43"/>
  <c r="L62" i="43"/>
  <c r="F61" i="43"/>
  <c r="J61" i="43"/>
  <c r="K61" i="43"/>
  <c r="N61" i="43"/>
  <c r="O61" i="43"/>
  <c r="O62" i="43"/>
  <c r="H62" i="43"/>
  <c r="E62" i="43"/>
  <c r="M77" i="41"/>
  <c r="G76" i="41"/>
  <c r="L76" i="41"/>
  <c r="I76" i="41"/>
  <c r="E76" i="41"/>
  <c r="J77" i="41"/>
  <c r="K77" i="41"/>
  <c r="M76" i="41"/>
  <c r="H77" i="41"/>
  <c r="N65" i="48"/>
  <c r="M65" i="48"/>
  <c r="E66" i="48"/>
  <c r="D66" i="48"/>
  <c r="K66" i="48"/>
  <c r="L65" i="48"/>
  <c r="O65" i="48"/>
  <c r="J65" i="48"/>
  <c r="J69" i="48"/>
  <c r="I65" i="48"/>
  <c r="J66" i="48"/>
  <c r="M66" i="48"/>
  <c r="G65" i="48"/>
  <c r="F65" i="48"/>
  <c r="F69" i="48"/>
  <c r="E65" i="48"/>
  <c r="D65" i="48"/>
  <c r="N66" i="48"/>
  <c r="I70" i="48"/>
  <c r="K70" i="48"/>
  <c r="O69" i="48"/>
  <c r="D69" i="48"/>
  <c r="F70" i="48"/>
  <c r="M69" i="48"/>
  <c r="K69" i="48"/>
  <c r="O70" i="48"/>
  <c r="E69" i="48"/>
  <c r="D70" i="48"/>
  <c r="E70" i="48"/>
  <c r="N70" i="48"/>
  <c r="L70" i="48"/>
  <c r="L71" i="48"/>
  <c r="L72" i="48"/>
  <c r="L35" i="48"/>
  <c r="M70" i="48"/>
  <c r="H69" i="48"/>
  <c r="S25" i="47"/>
  <c r="T25" i="47"/>
  <c r="F58" i="48"/>
  <c r="D58" i="48"/>
  <c r="H57" i="48"/>
  <c r="J58" i="48"/>
  <c r="I58" i="48"/>
  <c r="K58" i="48"/>
  <c r="D57" i="48"/>
  <c r="O57" i="48"/>
  <c r="L57" i="48"/>
  <c r="N58" i="48"/>
  <c r="G57" i="48"/>
  <c r="M57" i="48"/>
  <c r="K57" i="48"/>
  <c r="G58" i="48"/>
  <c r="M58" i="48"/>
  <c r="E58" i="48"/>
  <c r="E58" i="47"/>
  <c r="E65" i="47"/>
  <c r="E66" i="47"/>
  <c r="E35" i="47"/>
  <c r="G57" i="47"/>
  <c r="G68" i="47"/>
  <c r="G69" i="47"/>
  <c r="G34" i="47"/>
  <c r="D58" i="47"/>
  <c r="D65" i="47"/>
  <c r="D66" i="47"/>
  <c r="D35" i="47"/>
  <c r="N58" i="47"/>
  <c r="N65" i="47"/>
  <c r="N66" i="47"/>
  <c r="N35" i="47"/>
  <c r="F58" i="47"/>
  <c r="F65" i="47"/>
  <c r="F66" i="47"/>
  <c r="F35" i="47"/>
  <c r="M58" i="47"/>
  <c r="M65" i="47"/>
  <c r="M66" i="47"/>
  <c r="M35" i="47"/>
  <c r="I58" i="47"/>
  <c r="I65" i="47"/>
  <c r="I66" i="47"/>
  <c r="I35" i="47"/>
  <c r="O58" i="47"/>
  <c r="O65" i="47"/>
  <c r="O66" i="47"/>
  <c r="O35" i="47"/>
  <c r="K58" i="47"/>
  <c r="K65" i="47"/>
  <c r="K66" i="47"/>
  <c r="K35" i="47"/>
  <c r="G58" i="47"/>
  <c r="G65" i="47"/>
  <c r="G66" i="47"/>
  <c r="G35" i="47"/>
  <c r="M57" i="47"/>
  <c r="M68" i="47"/>
  <c r="M69" i="47"/>
  <c r="M34" i="47"/>
  <c r="I57" i="47"/>
  <c r="I68" i="47"/>
  <c r="I69" i="47"/>
  <c r="I34" i="47"/>
  <c r="E57" i="47"/>
  <c r="F65" i="40"/>
  <c r="K65" i="40"/>
  <c r="D65" i="40"/>
  <c r="I65" i="40"/>
  <c r="J65" i="40"/>
  <c r="E65" i="40"/>
  <c r="O66" i="40"/>
  <c r="N66" i="40"/>
  <c r="H65" i="40"/>
  <c r="E25" i="41"/>
  <c r="R23" i="47"/>
  <c r="S23" i="47"/>
  <c r="M82" i="41"/>
  <c r="N83" i="41"/>
  <c r="H76" i="41"/>
  <c r="L58" i="43"/>
  <c r="L65" i="43"/>
  <c r="L66" i="43"/>
  <c r="L35" i="43"/>
  <c r="H60" i="42"/>
  <c r="E64" i="41"/>
  <c r="L72" i="41"/>
  <c r="M73" i="41"/>
  <c r="I82" i="41"/>
  <c r="J74" i="41"/>
  <c r="H67" i="41"/>
  <c r="L74" i="41"/>
  <c r="E82" i="41"/>
  <c r="K82" i="41"/>
  <c r="N75" i="41"/>
  <c r="M75" i="41"/>
  <c r="J83" i="41"/>
  <c r="M83" i="41"/>
  <c r="E74" i="41"/>
  <c r="G57" i="43"/>
  <c r="G68" i="43"/>
  <c r="G69" i="43"/>
  <c r="G34" i="43"/>
  <c r="J76" i="41"/>
  <c r="K76" i="41"/>
  <c r="O76" i="41"/>
  <c r="P76" i="41"/>
  <c r="I60" i="42"/>
  <c r="N82" i="41"/>
  <c r="F77" i="41"/>
  <c r="M58" i="43"/>
  <c r="D82" i="41"/>
  <c r="E57" i="43"/>
  <c r="H75" i="41"/>
  <c r="H57" i="43"/>
  <c r="H68" i="43"/>
  <c r="H69" i="43"/>
  <c r="G83" i="41"/>
  <c r="D75" i="41"/>
  <c r="F75" i="41"/>
  <c r="O75" i="41"/>
  <c r="G74" i="41"/>
  <c r="L82" i="41"/>
  <c r="F67" i="41"/>
  <c r="I74" i="41"/>
  <c r="J68" i="43"/>
  <c r="J69" i="43"/>
  <c r="J34" i="43"/>
  <c r="K74" i="41"/>
  <c r="O82" i="41"/>
  <c r="O60" i="40"/>
  <c r="G59" i="40"/>
  <c r="O24" i="40"/>
  <c r="M71" i="48"/>
  <c r="M72" i="48"/>
  <c r="M35" i="48"/>
  <c r="F74" i="48"/>
  <c r="F75" i="48"/>
  <c r="F34" i="48"/>
  <c r="O68" i="43"/>
  <c r="O69" i="43"/>
  <c r="O34" i="43"/>
  <c r="E74" i="48"/>
  <c r="E75" i="48"/>
  <c r="E34" i="48"/>
  <c r="L59" i="40"/>
  <c r="O57" i="40"/>
  <c r="J58" i="40"/>
  <c r="F57" i="40"/>
  <c r="H58" i="40"/>
  <c r="N57" i="43"/>
  <c r="F58" i="40"/>
  <c r="J69" i="41"/>
  <c r="I68" i="41"/>
  <c r="E58" i="43"/>
  <c r="M61" i="43"/>
  <c r="E61" i="43"/>
  <c r="E68" i="43"/>
  <c r="E69" i="43"/>
  <c r="E34" i="43"/>
  <c r="M64" i="40"/>
  <c r="D64" i="40"/>
  <c r="F64" i="40"/>
  <c r="N64" i="40"/>
  <c r="O64" i="40"/>
  <c r="P64" i="40"/>
  <c r="Q64" i="40"/>
  <c r="F58" i="43"/>
  <c r="H69" i="41"/>
  <c r="J74" i="48"/>
  <c r="J75" i="48"/>
  <c r="J34" i="48"/>
  <c r="F66" i="41"/>
  <c r="N67" i="41"/>
  <c r="L67" i="41"/>
  <c r="F64" i="42"/>
  <c r="H63" i="42"/>
  <c r="M63" i="42"/>
  <c r="M59" i="46"/>
  <c r="J59" i="46"/>
  <c r="N60" i="46"/>
  <c r="P60" i="46"/>
  <c r="Q60" i="46"/>
  <c r="F59" i="46"/>
  <c r="F68" i="46"/>
  <c r="F69" i="46"/>
  <c r="F34" i="46"/>
  <c r="N74" i="41"/>
  <c r="D74" i="41"/>
  <c r="H74" i="41"/>
  <c r="M74" i="41"/>
  <c r="L75" i="41"/>
  <c r="E75" i="41"/>
  <c r="L79" i="41"/>
  <c r="D78" i="41"/>
  <c r="N79" i="41"/>
  <c r="F79" i="41"/>
  <c r="K78" i="41"/>
  <c r="J79" i="41"/>
  <c r="I79" i="41"/>
  <c r="I83" i="41"/>
  <c r="K83" i="41"/>
  <c r="O83" i="41"/>
  <c r="J82" i="41"/>
  <c r="E71" i="48"/>
  <c r="E72" i="48"/>
  <c r="E35" i="48"/>
  <c r="N60" i="40"/>
  <c r="F59" i="40"/>
  <c r="G60" i="40"/>
  <c r="G68" i="41"/>
  <c r="E69" i="41"/>
  <c r="J68" i="41"/>
  <c r="M69" i="41"/>
  <c r="J62" i="42"/>
  <c r="D62" i="42"/>
  <c r="L62" i="42"/>
  <c r="K62" i="42"/>
  <c r="H61" i="42"/>
  <c r="D58" i="43"/>
  <c r="H58" i="43"/>
  <c r="I58" i="43"/>
  <c r="N58" i="43"/>
  <c r="O58" i="43"/>
  <c r="P58" i="43"/>
  <c r="F57" i="43"/>
  <c r="F68" i="43"/>
  <c r="F69" i="43"/>
  <c r="F34" i="43"/>
  <c r="I65" i="43"/>
  <c r="I66" i="43"/>
  <c r="I35" i="43"/>
  <c r="G65" i="43"/>
  <c r="G66" i="43"/>
  <c r="G35" i="43"/>
  <c r="M63" i="40"/>
  <c r="K63" i="40"/>
  <c r="P63" i="40"/>
  <c r="R63" i="40"/>
  <c r="K59" i="48"/>
  <c r="K65" i="48"/>
  <c r="K74" i="48"/>
  <c r="K75" i="48"/>
  <c r="K34" i="48"/>
  <c r="D59" i="48"/>
  <c r="K60" i="48"/>
  <c r="L59" i="48"/>
  <c r="G59" i="48"/>
  <c r="N60" i="48"/>
  <c r="N71" i="48"/>
  <c r="N72" i="48"/>
  <c r="N35" i="48"/>
  <c r="F66" i="48"/>
  <c r="F71" i="48"/>
  <c r="F72" i="48"/>
  <c r="F35" i="48"/>
  <c r="I66" i="48"/>
  <c r="P65" i="48"/>
  <c r="R65" i="48"/>
  <c r="I69" i="48"/>
  <c r="I74" i="48"/>
  <c r="I75" i="48"/>
  <c r="I34" i="48"/>
  <c r="H70" i="48"/>
  <c r="J70" i="48"/>
  <c r="P70" i="48"/>
  <c r="Q70" i="48"/>
  <c r="R70" i="48"/>
  <c r="J71" i="48"/>
  <c r="J72" i="48"/>
  <c r="J35" i="48"/>
  <c r="O68" i="46"/>
  <c r="O69" i="46"/>
  <c r="O34" i="46"/>
  <c r="G74" i="48"/>
  <c r="G75" i="48"/>
  <c r="G34" i="48"/>
  <c r="P68" i="48"/>
  <c r="Q68" i="48"/>
  <c r="R68" i="48"/>
  <c r="D64" i="41"/>
  <c r="L64" i="41"/>
  <c r="O65" i="41"/>
  <c r="D60" i="42"/>
  <c r="O59" i="42"/>
  <c r="L73" i="41"/>
  <c r="N73" i="41"/>
  <c r="G72" i="41"/>
  <c r="J73" i="41"/>
  <c r="D72" i="41"/>
  <c r="J72" i="41"/>
  <c r="E77" i="41"/>
  <c r="D77" i="41"/>
  <c r="J81" i="41"/>
  <c r="M80" i="41"/>
  <c r="R23" i="40"/>
  <c r="S23" i="40"/>
  <c r="L68" i="46"/>
  <c r="L69" i="46"/>
  <c r="L34" i="46"/>
  <c r="R23" i="43"/>
  <c r="T23" i="46"/>
  <c r="D25" i="42"/>
  <c r="E25" i="42"/>
  <c r="E74" i="42"/>
  <c r="E75" i="42"/>
  <c r="E34" i="42"/>
  <c r="F25" i="40"/>
  <c r="G25" i="40"/>
  <c r="I25" i="40"/>
  <c r="P60" i="43"/>
  <c r="Q60" i="43"/>
  <c r="E65" i="43"/>
  <c r="E66" i="43"/>
  <c r="E35" i="43"/>
  <c r="S32" i="37"/>
  <c r="AY32" i="37"/>
  <c r="I70" i="41"/>
  <c r="M71" i="41"/>
  <c r="H71" i="41"/>
  <c r="K71" i="41"/>
  <c r="G71" i="41"/>
  <c r="J70" i="41"/>
  <c r="F70" i="41"/>
  <c r="N70" i="41"/>
  <c r="L70" i="41"/>
  <c r="H70" i="41"/>
  <c r="J58" i="42"/>
  <c r="D58" i="42"/>
  <c r="I57" i="42"/>
  <c r="F57" i="42"/>
  <c r="G58" i="42"/>
  <c r="F58" i="42"/>
  <c r="L58" i="42"/>
  <c r="N57" i="42"/>
  <c r="G57" i="42"/>
  <c r="H57" i="42"/>
  <c r="K57" i="42"/>
  <c r="M57" i="42"/>
  <c r="D57" i="42"/>
  <c r="N58" i="42"/>
  <c r="H58" i="42"/>
  <c r="K58" i="42"/>
  <c r="O58" i="42"/>
  <c r="O60" i="42"/>
  <c r="O71" i="42"/>
  <c r="O72" i="42"/>
  <c r="O35" i="42"/>
  <c r="J57" i="42"/>
  <c r="L57" i="42"/>
  <c r="E58" i="42"/>
  <c r="E71" i="42"/>
  <c r="E72" i="42"/>
  <c r="E35" i="42"/>
  <c r="P77" i="41"/>
  <c r="P63" i="48"/>
  <c r="R63" i="48"/>
  <c r="O71" i="48"/>
  <c r="O72" i="48"/>
  <c r="O35" i="48"/>
  <c r="R58" i="37"/>
  <c r="J68" i="46"/>
  <c r="J69" i="46"/>
  <c r="J34" i="46"/>
  <c r="N64" i="42"/>
  <c r="H64" i="42"/>
  <c r="M57" i="46"/>
  <c r="M68" i="46"/>
  <c r="M69" i="46"/>
  <c r="M34" i="46"/>
  <c r="N57" i="46"/>
  <c r="N68" i="46"/>
  <c r="N69" i="46"/>
  <c r="K81" i="41"/>
  <c r="D81" i="41"/>
  <c r="L80" i="41"/>
  <c r="N81" i="41"/>
  <c r="H81" i="41"/>
  <c r="J66" i="40"/>
  <c r="M65" i="40"/>
  <c r="I66" i="40"/>
  <c r="D66" i="40"/>
  <c r="U23" i="41"/>
  <c r="E66" i="40"/>
  <c r="L66" i="40"/>
  <c r="N65" i="40"/>
  <c r="L74" i="48"/>
  <c r="L75" i="48"/>
  <c r="L34" i="48"/>
  <c r="H74" i="48"/>
  <c r="H75" i="48"/>
  <c r="H34" i="48"/>
  <c r="M74" i="48"/>
  <c r="M75" i="48"/>
  <c r="M34" i="48"/>
  <c r="J65" i="43"/>
  <c r="J66" i="43"/>
  <c r="J35" i="43"/>
  <c r="H68" i="46"/>
  <c r="H69" i="46"/>
  <c r="H34" i="46"/>
  <c r="L64" i="42"/>
  <c r="I63" i="42"/>
  <c r="I64" i="42"/>
  <c r="G63" i="42"/>
  <c r="M60" i="40"/>
  <c r="M71" i="40"/>
  <c r="M72" i="40"/>
  <c r="M35" i="40"/>
  <c r="O58" i="46"/>
  <c r="O65" i="46"/>
  <c r="O66" i="46"/>
  <c r="O35" i="46"/>
  <c r="M65" i="43"/>
  <c r="M66" i="43"/>
  <c r="M35" i="43"/>
  <c r="G80" i="41"/>
  <c r="N66" i="41"/>
  <c r="F25" i="46"/>
  <c r="G25" i="46"/>
  <c r="H60" i="40"/>
  <c r="I66" i="41"/>
  <c r="G65" i="40"/>
  <c r="N58" i="46"/>
  <c r="N65" i="43"/>
  <c r="N66" i="43"/>
  <c r="N35" i="43"/>
  <c r="L81" i="41"/>
  <c r="G81" i="41"/>
  <c r="M58" i="46"/>
  <c r="M65" i="46"/>
  <c r="M66" i="46"/>
  <c r="M35" i="46"/>
  <c r="G57" i="46"/>
  <c r="G68" i="46"/>
  <c r="G69" i="46"/>
  <c r="G34" i="46"/>
  <c r="G75" i="41"/>
  <c r="F74" i="41"/>
  <c r="J75" i="41"/>
  <c r="K75" i="41"/>
  <c r="S23" i="48"/>
  <c r="T23" i="48"/>
  <c r="U23" i="48"/>
  <c r="K60" i="40"/>
  <c r="E59" i="40"/>
  <c r="H66" i="41"/>
  <c r="I67" i="41"/>
  <c r="D66" i="41"/>
  <c r="M66" i="41"/>
  <c r="J66" i="41"/>
  <c r="K67" i="41"/>
  <c r="M67" i="41"/>
  <c r="D68" i="46"/>
  <c r="D69" i="46"/>
  <c r="D34" i="46"/>
  <c r="G71" i="48"/>
  <c r="G72" i="48"/>
  <c r="G35" i="48"/>
  <c r="O74" i="48"/>
  <c r="O75" i="48"/>
  <c r="O34" i="48"/>
  <c r="I71" i="48"/>
  <c r="I72" i="48"/>
  <c r="I35" i="48"/>
  <c r="L63" i="42"/>
  <c r="D64" i="42"/>
  <c r="I57" i="46"/>
  <c r="I68" i="46"/>
  <c r="I69" i="46"/>
  <c r="I34" i="46"/>
  <c r="O66" i="41"/>
  <c r="J80" i="41"/>
  <c r="P62" i="48"/>
  <c r="Q62" i="48"/>
  <c r="R62" i="48"/>
  <c r="L60" i="40"/>
  <c r="D60" i="40"/>
  <c r="K66" i="40"/>
  <c r="F80" i="41"/>
  <c r="M59" i="40"/>
  <c r="J60" i="40"/>
  <c r="D80" i="41"/>
  <c r="O80" i="41"/>
  <c r="I80" i="41"/>
  <c r="K57" i="46"/>
  <c r="K68" i="46"/>
  <c r="K69" i="46"/>
  <c r="K34" i="46"/>
  <c r="G58" i="40"/>
  <c r="O58" i="40"/>
  <c r="K57" i="40"/>
  <c r="N57" i="40"/>
  <c r="N58" i="40"/>
  <c r="J57" i="40"/>
  <c r="S58" i="37"/>
  <c r="AC24" i="40"/>
  <c r="K64" i="41"/>
  <c r="K65" i="41"/>
  <c r="I59" i="42"/>
  <c r="J60" i="42"/>
  <c r="O65" i="43"/>
  <c r="O66" i="43"/>
  <c r="O35" i="43"/>
  <c r="M57" i="43"/>
  <c r="M68" i="43"/>
  <c r="M69" i="43"/>
  <c r="M34" i="43"/>
  <c r="H65" i="43"/>
  <c r="H66" i="43"/>
  <c r="H35" i="43"/>
  <c r="K57" i="43"/>
  <c r="K68" i="43"/>
  <c r="K69" i="43"/>
  <c r="K34" i="43"/>
  <c r="I57" i="43"/>
  <c r="D57" i="43"/>
  <c r="D68" i="43"/>
  <c r="D69" i="43"/>
  <c r="D34" i="43"/>
  <c r="I61" i="43"/>
  <c r="F62" i="43"/>
  <c r="F65" i="43"/>
  <c r="F66" i="43"/>
  <c r="F35" i="43"/>
  <c r="O79" i="41"/>
  <c r="E79" i="41"/>
  <c r="N78" i="41"/>
  <c r="L78" i="41"/>
  <c r="G78" i="41"/>
  <c r="H79" i="41"/>
  <c r="M78" i="41"/>
  <c r="F83" i="41"/>
  <c r="D83" i="41"/>
  <c r="E83" i="41"/>
  <c r="L83" i="41"/>
  <c r="F82" i="41"/>
  <c r="O68" i="40"/>
  <c r="I67" i="40"/>
  <c r="G68" i="40"/>
  <c r="F67" i="40"/>
  <c r="K68" i="40"/>
  <c r="J68" i="40"/>
  <c r="G67" i="40"/>
  <c r="AC24" i="41"/>
  <c r="R32" i="37"/>
  <c r="AX32" i="37"/>
  <c r="E68" i="47"/>
  <c r="E69" i="47"/>
  <c r="E34" i="47"/>
  <c r="P34" i="47"/>
  <c r="P57" i="47"/>
  <c r="P35" i="47"/>
  <c r="D74" i="48"/>
  <c r="P61" i="48"/>
  <c r="R61" i="48"/>
  <c r="P57" i="48"/>
  <c r="R57" i="48"/>
  <c r="P58" i="47"/>
  <c r="L68" i="43"/>
  <c r="L69" i="43"/>
  <c r="L34" i="43"/>
  <c r="U25" i="47"/>
  <c r="N74" i="48"/>
  <c r="N75" i="48"/>
  <c r="N34" i="48"/>
  <c r="F25" i="41"/>
  <c r="P58" i="48"/>
  <c r="D71" i="48"/>
  <c r="D72" i="48"/>
  <c r="D35" i="48"/>
  <c r="T23" i="47"/>
  <c r="P69" i="48"/>
  <c r="R69" i="48"/>
  <c r="N61" i="40"/>
  <c r="I62" i="40"/>
  <c r="H61" i="40"/>
  <c r="O62" i="40"/>
  <c r="K62" i="40"/>
  <c r="E61" i="40"/>
  <c r="F62" i="40"/>
  <c r="F71" i="40"/>
  <c r="F72" i="40"/>
  <c r="F35" i="40"/>
  <c r="D61" i="40"/>
  <c r="N62" i="40"/>
  <c r="L62" i="40"/>
  <c r="H62" i="40"/>
  <c r="J61" i="40"/>
  <c r="J62" i="40"/>
  <c r="AY58" i="37"/>
  <c r="N59" i="42"/>
  <c r="L59" i="42"/>
  <c r="G60" i="42"/>
  <c r="D59" i="42"/>
  <c r="M59" i="42"/>
  <c r="F60" i="42"/>
  <c r="L60" i="42"/>
  <c r="M60" i="42"/>
  <c r="M71" i="42"/>
  <c r="M72" i="42"/>
  <c r="M35" i="42"/>
  <c r="N71" i="41"/>
  <c r="N84" i="41"/>
  <c r="N85" i="41"/>
  <c r="N35" i="41"/>
  <c r="J71" i="41"/>
  <c r="L71" i="41"/>
  <c r="D71" i="41"/>
  <c r="O70" i="41"/>
  <c r="G70" i="41"/>
  <c r="D70" i="41"/>
  <c r="E70" i="41"/>
  <c r="E71" i="41"/>
  <c r="M70" i="41"/>
  <c r="I71" i="41"/>
  <c r="P67" i="48"/>
  <c r="R67" i="48"/>
  <c r="G62" i="40"/>
  <c r="D62" i="40"/>
  <c r="AX58" i="37"/>
  <c r="H71" i="48"/>
  <c r="H72" i="48"/>
  <c r="H35" i="48"/>
  <c r="O61" i="40"/>
  <c r="M61" i="40"/>
  <c r="K65" i="43"/>
  <c r="K66" i="43"/>
  <c r="K35" i="43"/>
  <c r="P59" i="43"/>
  <c r="R59" i="43"/>
  <c r="G61" i="40"/>
  <c r="E62" i="40"/>
  <c r="E68" i="46"/>
  <c r="E69" i="46"/>
  <c r="E34" i="46"/>
  <c r="I65" i="41"/>
  <c r="H64" i="41"/>
  <c r="H87" i="41"/>
  <c r="H88" i="41"/>
  <c r="H34" i="41"/>
  <c r="G65" i="41"/>
  <c r="M65" i="41"/>
  <c r="M84" i="41"/>
  <c r="M85" i="41"/>
  <c r="M35" i="41"/>
  <c r="M64" i="41"/>
  <c r="M72" i="41"/>
  <c r="M87" i="41"/>
  <c r="M88" i="41"/>
  <c r="M34" i="41"/>
  <c r="G64" i="41"/>
  <c r="L65" i="41"/>
  <c r="F65" i="41"/>
  <c r="N64" i="41"/>
  <c r="N87" i="41"/>
  <c r="N88" i="41"/>
  <c r="N34" i="41"/>
  <c r="H65" i="41"/>
  <c r="J64" i="41"/>
  <c r="D65" i="41"/>
  <c r="N68" i="43"/>
  <c r="N69" i="43"/>
  <c r="N34" i="43"/>
  <c r="I61" i="40"/>
  <c r="K61" i="40"/>
  <c r="O59" i="40"/>
  <c r="J59" i="40"/>
  <c r="H59" i="40"/>
  <c r="E60" i="40"/>
  <c r="I60" i="40"/>
  <c r="I71" i="40"/>
  <c r="I72" i="40"/>
  <c r="I35" i="40"/>
  <c r="K59" i="40"/>
  <c r="I59" i="40"/>
  <c r="N59" i="40"/>
  <c r="D59" i="40"/>
  <c r="N65" i="46"/>
  <c r="N66" i="46"/>
  <c r="N35" i="46"/>
  <c r="F61" i="40"/>
  <c r="L61" i="40"/>
  <c r="L74" i="40"/>
  <c r="L75" i="40"/>
  <c r="L34" i="40"/>
  <c r="P74" i="41"/>
  <c r="R74" i="41"/>
  <c r="I62" i="42"/>
  <c r="I71" i="42"/>
  <c r="I72" i="42"/>
  <c r="I35" i="42"/>
  <c r="K66" i="41"/>
  <c r="O61" i="42"/>
  <c r="O74" i="42"/>
  <c r="O75" i="42"/>
  <c r="O34" i="42"/>
  <c r="J63" i="42"/>
  <c r="P64" i="48"/>
  <c r="Q64" i="48"/>
  <c r="R64" i="48"/>
  <c r="N62" i="42"/>
  <c r="E67" i="41"/>
  <c r="M61" i="42"/>
  <c r="F62" i="42"/>
  <c r="N63" i="42"/>
  <c r="E72" i="41"/>
  <c r="D73" i="41"/>
  <c r="G61" i="42"/>
  <c r="D67" i="41"/>
  <c r="L66" i="41"/>
  <c r="J67" i="41"/>
  <c r="F63" i="42"/>
  <c r="J64" i="42"/>
  <c r="K64" i="42"/>
  <c r="G64" i="42"/>
  <c r="G66" i="41"/>
  <c r="G67" i="41"/>
  <c r="K71" i="40"/>
  <c r="K72" i="40"/>
  <c r="K35" i="40"/>
  <c r="F72" i="41"/>
  <c r="N61" i="42"/>
  <c r="I73" i="41"/>
  <c r="K72" i="41"/>
  <c r="O72" i="41"/>
  <c r="S23" i="43"/>
  <c r="F61" i="42"/>
  <c r="O67" i="41"/>
  <c r="L61" i="42"/>
  <c r="E73" i="41"/>
  <c r="K73" i="41"/>
  <c r="K61" i="42"/>
  <c r="K74" i="42"/>
  <c r="K75" i="42"/>
  <c r="K34" i="42"/>
  <c r="O73" i="41"/>
  <c r="S23" i="42"/>
  <c r="U23" i="46"/>
  <c r="P66" i="47"/>
  <c r="K71" i="42"/>
  <c r="K72" i="42"/>
  <c r="P57" i="40"/>
  <c r="R57" i="40"/>
  <c r="P59" i="48"/>
  <c r="R59" i="48"/>
  <c r="I68" i="43"/>
  <c r="I69" i="43"/>
  <c r="I34" i="43"/>
  <c r="P68" i="41"/>
  <c r="R68" i="41"/>
  <c r="P58" i="42"/>
  <c r="Q58" i="42"/>
  <c r="R58" i="42"/>
  <c r="P82" i="41"/>
  <c r="N74" i="40"/>
  <c r="N75" i="40"/>
  <c r="N34" i="40"/>
  <c r="H71" i="42"/>
  <c r="H72" i="42"/>
  <c r="H35" i="42"/>
  <c r="P68" i="40"/>
  <c r="Q68" i="40"/>
  <c r="P79" i="41"/>
  <c r="Q79" i="41"/>
  <c r="R79" i="41"/>
  <c r="P60" i="48"/>
  <c r="Q60" i="48"/>
  <c r="P62" i="43"/>
  <c r="Q62" i="43"/>
  <c r="P69" i="41"/>
  <c r="Q69" i="41"/>
  <c r="R69" i="41"/>
  <c r="G74" i="40"/>
  <c r="G75" i="40"/>
  <c r="G34" i="40"/>
  <c r="G71" i="40"/>
  <c r="G72" i="40"/>
  <c r="G35" i="40"/>
  <c r="O87" i="41"/>
  <c r="O88" i="41"/>
  <c r="O34" i="41"/>
  <c r="H71" i="40"/>
  <c r="H72" i="40"/>
  <c r="H35" i="40"/>
  <c r="P83" i="41"/>
  <c r="H74" i="42"/>
  <c r="H75" i="42"/>
  <c r="H34" i="42"/>
  <c r="P80" i="41"/>
  <c r="R80" i="41"/>
  <c r="L71" i="42"/>
  <c r="L72" i="42"/>
  <c r="L35" i="42"/>
  <c r="V25" i="47"/>
  <c r="W25" i="47"/>
  <c r="X25" i="47"/>
  <c r="Y25" i="47"/>
  <c r="P57" i="46"/>
  <c r="R57" i="46"/>
  <c r="AC25" i="48"/>
  <c r="AD25" i="48"/>
  <c r="K84" i="41"/>
  <c r="K85" i="41"/>
  <c r="K35" i="41"/>
  <c r="L71" i="40"/>
  <c r="L72" i="40"/>
  <c r="L35" i="40"/>
  <c r="K71" i="48"/>
  <c r="K72" i="48"/>
  <c r="P72" i="48"/>
  <c r="J84" i="41"/>
  <c r="J85" i="41"/>
  <c r="J35" i="41"/>
  <c r="H84" i="41"/>
  <c r="H85" i="41"/>
  <c r="H35" i="41"/>
  <c r="O71" i="40"/>
  <c r="O72" i="40"/>
  <c r="O35" i="40"/>
  <c r="P61" i="43"/>
  <c r="R61" i="43"/>
  <c r="D65" i="43"/>
  <c r="D66" i="43"/>
  <c r="D35" i="43"/>
  <c r="P66" i="48"/>
  <c r="P71" i="48"/>
  <c r="R71" i="48"/>
  <c r="P78" i="41"/>
  <c r="R78" i="41"/>
  <c r="P66" i="40"/>
  <c r="Q66" i="40"/>
  <c r="R66" i="40"/>
  <c r="D71" i="42"/>
  <c r="D72" i="42"/>
  <c r="D35" i="42"/>
  <c r="R60" i="43"/>
  <c r="N71" i="42"/>
  <c r="N72" i="42"/>
  <c r="N35" i="42"/>
  <c r="F74" i="40"/>
  <c r="F75" i="40"/>
  <c r="F34" i="40"/>
  <c r="I74" i="40"/>
  <c r="I75" i="40"/>
  <c r="I34" i="40"/>
  <c r="M74" i="40"/>
  <c r="M75" i="40"/>
  <c r="M34" i="40"/>
  <c r="J71" i="40"/>
  <c r="J72" i="40"/>
  <c r="J35" i="40"/>
  <c r="P59" i="46"/>
  <c r="P67" i="40"/>
  <c r="R67" i="40"/>
  <c r="P58" i="40"/>
  <c r="Q58" i="40"/>
  <c r="R58" i="40"/>
  <c r="P81" i="41"/>
  <c r="Q81" i="41"/>
  <c r="R81" i="41"/>
  <c r="P65" i="40"/>
  <c r="R65" i="40"/>
  <c r="P69" i="47"/>
  <c r="N34" i="46"/>
  <c r="P34" i="46"/>
  <c r="P69" i="46"/>
  <c r="F87" i="41"/>
  <c r="F88" i="41"/>
  <c r="F34" i="41"/>
  <c r="G74" i="42"/>
  <c r="G75" i="42"/>
  <c r="G34" i="42"/>
  <c r="P62" i="42"/>
  <c r="F84" i="41"/>
  <c r="F85" i="41"/>
  <c r="F35" i="41"/>
  <c r="V23" i="48"/>
  <c r="O25" i="46"/>
  <c r="P25" i="46"/>
  <c r="V23" i="41"/>
  <c r="P75" i="41"/>
  <c r="P58" i="46"/>
  <c r="K87" i="41"/>
  <c r="K88" i="41"/>
  <c r="K34" i="41"/>
  <c r="L87" i="41"/>
  <c r="L88" i="41"/>
  <c r="L34" i="41"/>
  <c r="J74" i="42"/>
  <c r="J75" i="42"/>
  <c r="J34" i="42"/>
  <c r="K74" i="40"/>
  <c r="K75" i="40"/>
  <c r="K34" i="40"/>
  <c r="J74" i="40"/>
  <c r="J75" i="40"/>
  <c r="J34" i="40"/>
  <c r="J87" i="41"/>
  <c r="J88" i="41"/>
  <c r="J34" i="41"/>
  <c r="P57" i="43"/>
  <c r="P57" i="42"/>
  <c r="R57" i="42"/>
  <c r="G71" i="42"/>
  <c r="G72" i="42"/>
  <c r="G35" i="42"/>
  <c r="E74" i="40"/>
  <c r="E75" i="40"/>
  <c r="E34" i="40"/>
  <c r="I87" i="41"/>
  <c r="I88" i="41"/>
  <c r="I34" i="41"/>
  <c r="O25" i="40"/>
  <c r="P25" i="40"/>
  <c r="E84" i="41"/>
  <c r="E85" i="41"/>
  <c r="E35" i="41"/>
  <c r="R62" i="43"/>
  <c r="T23" i="42"/>
  <c r="U23" i="42"/>
  <c r="O84" i="41"/>
  <c r="O85" i="41"/>
  <c r="O35" i="41"/>
  <c r="J71" i="42"/>
  <c r="J72" i="42"/>
  <c r="J35" i="42"/>
  <c r="P72" i="41"/>
  <c r="R72" i="41"/>
  <c r="O74" i="40"/>
  <c r="O75" i="40"/>
  <c r="O34" i="40"/>
  <c r="P64" i="41"/>
  <c r="R64" i="41"/>
  <c r="F71" i="42"/>
  <c r="F72" i="42"/>
  <c r="F35" i="42"/>
  <c r="N71" i="40"/>
  <c r="N72" i="40"/>
  <c r="N35" i="40"/>
  <c r="R60" i="46"/>
  <c r="I74" i="42"/>
  <c r="I75" i="42"/>
  <c r="I34" i="42"/>
  <c r="R64" i="40"/>
  <c r="P73" i="41"/>
  <c r="H34" i="43"/>
  <c r="P69" i="43"/>
  <c r="P34" i="43"/>
  <c r="P65" i="41"/>
  <c r="D84" i="41"/>
  <c r="D85" i="41"/>
  <c r="D35" i="41"/>
  <c r="P60" i="42"/>
  <c r="P60" i="40"/>
  <c r="E71" i="40"/>
  <c r="E72" i="40"/>
  <c r="E35" i="40"/>
  <c r="G84" i="41"/>
  <c r="G85" i="41"/>
  <c r="G35" i="41"/>
  <c r="M74" i="42"/>
  <c r="M75" i="42"/>
  <c r="M34" i="42"/>
  <c r="R57" i="47"/>
  <c r="P68" i="47"/>
  <c r="P63" i="42"/>
  <c r="R63" i="42"/>
  <c r="H74" i="40"/>
  <c r="H75" i="40"/>
  <c r="H34" i="40"/>
  <c r="P71" i="41"/>
  <c r="P59" i="42"/>
  <c r="R59" i="42"/>
  <c r="D74" i="42"/>
  <c r="D75" i="42"/>
  <c r="P61" i="40"/>
  <c r="R61" i="40"/>
  <c r="Q58" i="48"/>
  <c r="R58" i="48"/>
  <c r="Q58" i="43"/>
  <c r="R58" i="43"/>
  <c r="P65" i="43"/>
  <c r="R65" i="43"/>
  <c r="I84" i="41"/>
  <c r="I85" i="41"/>
  <c r="I35" i="41"/>
  <c r="P66" i="46"/>
  <c r="R59" i="46"/>
  <c r="P68" i="46"/>
  <c r="P74" i="48"/>
  <c r="D75" i="48"/>
  <c r="U23" i="47"/>
  <c r="R68" i="40"/>
  <c r="P66" i="41"/>
  <c r="R66" i="41"/>
  <c r="L74" i="42"/>
  <c r="L75" i="42"/>
  <c r="L34" i="42"/>
  <c r="P70" i="41"/>
  <c r="R70" i="41"/>
  <c r="D87" i="41"/>
  <c r="F74" i="42"/>
  <c r="F75" i="42"/>
  <c r="F34" i="42"/>
  <c r="T23" i="43"/>
  <c r="T23" i="40"/>
  <c r="P59" i="40"/>
  <c r="R59" i="40"/>
  <c r="D74" i="40"/>
  <c r="F25" i="42"/>
  <c r="P67" i="41"/>
  <c r="L84" i="41"/>
  <c r="L85" i="41"/>
  <c r="L35" i="41"/>
  <c r="P68" i="43"/>
  <c r="R57" i="43"/>
  <c r="D71" i="40"/>
  <c r="D72" i="40"/>
  <c r="P62" i="40"/>
  <c r="N74" i="42"/>
  <c r="N75" i="42"/>
  <c r="N34" i="42"/>
  <c r="G25" i="41"/>
  <c r="H25" i="41"/>
  <c r="V23" i="46"/>
  <c r="P64" i="42"/>
  <c r="Q64" i="42"/>
  <c r="R64" i="42"/>
  <c r="G87" i="41"/>
  <c r="G88" i="41"/>
  <c r="G34" i="41"/>
  <c r="E87" i="41"/>
  <c r="E88" i="41"/>
  <c r="E34" i="41"/>
  <c r="P61" i="42"/>
  <c r="R61" i="42"/>
  <c r="P65" i="47"/>
  <c r="R65" i="47"/>
  <c r="Q58" i="47"/>
  <c r="R58" i="47"/>
  <c r="K35" i="48"/>
  <c r="P35" i="48"/>
  <c r="P72" i="42"/>
  <c r="K35" i="42"/>
  <c r="W23" i="46"/>
  <c r="R60" i="48"/>
  <c r="AC25" i="43"/>
  <c r="AD25" i="43"/>
  <c r="W23" i="48"/>
  <c r="X23" i="48"/>
  <c r="Y23" i="48"/>
  <c r="P35" i="41"/>
  <c r="P66" i="43"/>
  <c r="P35" i="43"/>
  <c r="P35" i="42"/>
  <c r="Q66" i="48"/>
  <c r="R66" i="48"/>
  <c r="P85" i="41"/>
  <c r="Q62" i="42"/>
  <c r="R62" i="42"/>
  <c r="AC25" i="47"/>
  <c r="AD25" i="47"/>
  <c r="X23" i="46"/>
  <c r="Y23" i="46"/>
  <c r="Q58" i="46"/>
  <c r="R58" i="46"/>
  <c r="P65" i="46"/>
  <c r="R65" i="46"/>
  <c r="U23" i="40"/>
  <c r="V23" i="40"/>
  <c r="V23" i="42"/>
  <c r="Q75" i="41"/>
  <c r="R75" i="41"/>
  <c r="W23" i="41"/>
  <c r="Q71" i="41"/>
  <c r="R71" i="41"/>
  <c r="D75" i="40"/>
  <c r="P74" i="40"/>
  <c r="Q73" i="41"/>
  <c r="R73" i="41"/>
  <c r="U23" i="43"/>
  <c r="I25" i="41"/>
  <c r="O25" i="41"/>
  <c r="P25" i="41"/>
  <c r="P87" i="41"/>
  <c r="D88" i="41"/>
  <c r="Q60" i="42"/>
  <c r="R60" i="42"/>
  <c r="P71" i="42"/>
  <c r="R71" i="42"/>
  <c r="Q62" i="40"/>
  <c r="R62" i="40"/>
  <c r="D34" i="48"/>
  <c r="P34" i="48"/>
  <c r="P75" i="48"/>
  <c r="Q67" i="41"/>
  <c r="R67" i="41"/>
  <c r="D35" i="40"/>
  <c r="P35" i="40"/>
  <c r="P72" i="40"/>
  <c r="Q65" i="41"/>
  <c r="R65" i="41"/>
  <c r="P84" i="41"/>
  <c r="R84" i="41"/>
  <c r="V23" i="47"/>
  <c r="W23" i="47"/>
  <c r="G25" i="42"/>
  <c r="H25" i="42"/>
  <c r="D34" i="42"/>
  <c r="P34" i="42"/>
  <c r="P75" i="42"/>
  <c r="P74" i="42"/>
  <c r="Q60" i="40"/>
  <c r="R60" i="40"/>
  <c r="P71" i="40"/>
  <c r="R71" i="40"/>
  <c r="AC23" i="46"/>
  <c r="AD23" i="46"/>
  <c r="AC23" i="48"/>
  <c r="AD23" i="48"/>
  <c r="W23" i="40"/>
  <c r="X23" i="40"/>
  <c r="Y23" i="40"/>
  <c r="V23" i="43"/>
  <c r="W23" i="43"/>
  <c r="X23" i="43"/>
  <c r="X23" i="41"/>
  <c r="W23" i="42"/>
  <c r="AC25" i="41"/>
  <c r="AD25" i="41"/>
  <c r="I25" i="42"/>
  <c r="D34" i="41"/>
  <c r="P34" i="41"/>
  <c r="P88" i="41"/>
  <c r="X23" i="47"/>
  <c r="P75" i="40"/>
  <c r="D34" i="40"/>
  <c r="P34" i="40"/>
  <c r="Y23" i="43"/>
  <c r="Y23" i="41"/>
  <c r="AC23" i="41"/>
  <c r="AD23" i="41"/>
  <c r="J25" i="42"/>
  <c r="AC23" i="43"/>
  <c r="AD23" i="43"/>
  <c r="AC25" i="40"/>
  <c r="AD25" i="40"/>
  <c r="Y23" i="47"/>
  <c r="AC23" i="47"/>
  <c r="AD23" i="47"/>
  <c r="AC23" i="40"/>
  <c r="AD23" i="40"/>
  <c r="X23" i="42"/>
  <c r="Y23" i="42"/>
  <c r="AC23" i="42"/>
  <c r="AD23" i="42"/>
  <c r="K25" i="42"/>
  <c r="O25" i="42"/>
  <c r="P25" i="42"/>
  <c r="AC25" i="42"/>
  <c r="AD25" i="42"/>
  <c r="AC25" i="46"/>
  <c r="AD25"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000-000001000000}">
      <text>
        <r>
          <rPr>
            <b/>
            <sz val="11"/>
            <color indexed="81"/>
            <rFont val="Tahoma"/>
            <family val="2"/>
          </rPr>
          <t>OLS</t>
        </r>
        <r>
          <rPr>
            <sz val="11"/>
            <color indexed="81"/>
            <rFont val="Tahoma"/>
            <family val="2"/>
          </rPr>
          <t xml:space="preserve">
Promoción de la igualdad, el desarrollo de capacidades y el reconocimiento de las mujeres</t>
        </r>
      </text>
    </comment>
    <comment ref="C32" authorId="1" shapeId="0" xr:uid="{00000000-0006-0000-00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200-000001000000}">
      <text>
        <r>
          <rPr>
            <b/>
            <sz val="9"/>
            <color indexed="81"/>
            <rFont val="Tahoma"/>
            <family val="2"/>
          </rPr>
          <t xml:space="preserve">OLS
</t>
        </r>
        <r>
          <rPr>
            <sz val="9"/>
            <color indexed="81"/>
            <rFont val="Tahoma"/>
            <family val="2"/>
          </rPr>
          <t>Promoción de la igualdad, el desarrollo de capacidades y el reconocimiento de las mujeres</t>
        </r>
      </text>
    </comment>
    <comment ref="C32" authorId="1" shapeId="0" xr:uid="{00000000-0006-0000-02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2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NUMERACIÓN, ESTA ACTVIDAD EMPEZARIA EN 7 Y TOCA MOVER LAS DEMÁS</t>
        </r>
      </text>
    </comment>
    <comment ref="A38" authorId="0" shapeId="0" xr:uid="{00000000-0006-0000-0200-000006000000}">
      <text>
        <r>
          <rPr>
            <b/>
            <sz val="11"/>
            <color indexed="81"/>
            <rFont val="Tahoma"/>
            <family val="2"/>
          </rPr>
          <t>Angela Marcela Forero Ruiz:</t>
        </r>
        <r>
          <rPr>
            <sz val="11"/>
            <color indexed="81"/>
            <rFont val="Tahoma"/>
            <family val="2"/>
          </rPr>
          <t xml:space="preserve">
ESPECIFICAR A QUE METODOLOGÍAS </t>
        </r>
      </text>
    </comment>
    <comment ref="A52" authorId="0" shapeId="0" xr:uid="{00000000-0006-0000-0200-000007000000}">
      <text>
        <r>
          <rPr>
            <b/>
            <sz val="11"/>
            <color indexed="81"/>
            <rFont val="Tahoma"/>
            <family val="2"/>
          </rPr>
          <t>Angela Marcela Forero Ruiz:</t>
        </r>
        <r>
          <rPr>
            <sz val="11"/>
            <color indexed="81"/>
            <rFont val="Tahoma"/>
            <family val="2"/>
          </rPr>
          <t xml:space="preserve">
Redactar en forma de actividad "REALIZAR" o "LLEVAR A CABO"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300-000001000000}">
      <text>
        <r>
          <rPr>
            <b/>
            <sz val="9"/>
            <color indexed="81"/>
            <rFont val="Tahoma"/>
            <family val="2"/>
          </rPr>
          <t>OLS</t>
        </r>
        <r>
          <rPr>
            <sz val="9"/>
            <color indexed="81"/>
            <rFont val="Tahoma"/>
            <family val="2"/>
          </rPr>
          <t xml:space="preserve">
Promoción de la igualdad, el desarrollo de capacidades y el reconocimiento de las mujeres
</t>
        </r>
      </text>
    </comment>
    <comment ref="G24" authorId="0" shapeId="0" xr:uid="{00000000-0006-0000-0300-000002000000}">
      <text>
        <r>
          <rPr>
            <b/>
            <sz val="11"/>
            <color indexed="81"/>
            <rFont val="Tahoma"/>
            <family val="2"/>
          </rPr>
          <t xml:space="preserve">OLS: </t>
        </r>
        <r>
          <rPr>
            <sz val="11"/>
            <color indexed="81"/>
            <rFont val="Tahoma"/>
            <family val="2"/>
          </rPr>
          <t>Incluir anulacions de la reserva de tal forma que de $50.439.823 qu corresponde al valor actual</t>
        </r>
      </text>
    </comment>
    <comment ref="C32" authorId="1"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300-000006000000}">
      <text>
        <r>
          <rPr>
            <b/>
            <sz val="9"/>
            <color indexed="81"/>
            <rFont val="Tahoma"/>
            <family val="2"/>
          </rPr>
          <t>Angela Marcela Forero Ruiz:</t>
        </r>
        <r>
          <rPr>
            <sz val="9"/>
            <color indexed="81"/>
            <rFont val="Tahoma"/>
            <family val="2"/>
          </rPr>
          <t xml:space="preserve">
</t>
        </r>
        <r>
          <rPr>
            <sz val="11"/>
            <color indexed="81"/>
            <rFont val="Tahoma"/>
            <family val="2"/>
          </rPr>
          <t>AJUSTAR LA NUMERACION, ESTA ACTIVIDAD SERIA LA 17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400-000001000000}">
      <text>
        <r>
          <rPr>
            <b/>
            <sz val="11"/>
            <color indexed="81"/>
            <rFont val="Tahoma"/>
            <family val="2"/>
          </rPr>
          <t xml:space="preserve">OLS
</t>
        </r>
        <r>
          <rPr>
            <sz val="11"/>
            <color indexed="81"/>
            <rFont val="Tahoma"/>
            <family val="2"/>
          </rPr>
          <t xml:space="preserve">Promoción de la igualdad, el desarrollo de capacidades y el reconocimiento de las mujeres
</t>
        </r>
      </text>
    </comment>
    <comment ref="C32" authorId="1" shapeId="0" xr:uid="{00000000-0006-0000-04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4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NUMERACION DE LAS ACTIVIDADES, ESTA INICIARIA CON 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Denis Helbert Morales Roa</author>
  </authors>
  <commentList>
    <comment ref="AA15" authorId="0" shapeId="0" xr:uid="{00000000-0006-0000-05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W17" authorId="0" shapeId="0" xr:uid="{00000000-0006-0000-0500-000002000000}">
      <text>
        <r>
          <rPr>
            <b/>
            <sz val="11"/>
            <color indexed="81"/>
            <rFont val="Tahoma"/>
            <family val="2"/>
          </rPr>
          <t>Angela Marcela Forero Ruiz:</t>
        </r>
        <r>
          <rPr>
            <sz val="11"/>
            <color indexed="81"/>
            <rFont val="Tahoma"/>
            <family val="2"/>
          </rPr>
          <t xml:space="preserve">
La meta para 2023 es 0,20</t>
        </r>
      </text>
    </comment>
    <comment ref="AC17" authorId="0" shapeId="0" xr:uid="{00000000-0006-0000-0500-000003000000}">
      <text>
        <r>
          <rPr>
            <b/>
            <sz val="11"/>
            <color indexed="81"/>
            <rFont val="Tahoma"/>
            <family val="2"/>
          </rPr>
          <t>Angela Marcela Forero Ruiz:</t>
        </r>
        <r>
          <rPr>
            <sz val="11"/>
            <color indexed="81"/>
            <rFont val="Tahoma"/>
            <family val="2"/>
          </rPr>
          <t xml:space="preserve">
Incluir ponderación de esta meta 6%</t>
        </r>
      </text>
    </comment>
    <comment ref="C32" authorId="1"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A36" authorId="0" shapeId="0" xr:uid="{00000000-0006-0000-0500-000005000000}">
      <text>
        <r>
          <rPr>
            <b/>
            <sz val="9"/>
            <color indexed="81"/>
            <rFont val="Tahoma"/>
            <family val="2"/>
          </rPr>
          <t>Angela Marcela Forero Ruiz:</t>
        </r>
        <r>
          <rPr>
            <sz val="9"/>
            <color indexed="81"/>
            <rFont val="Tahoma"/>
            <family val="2"/>
          </rPr>
          <t xml:space="preserve">
AJUSTAR NUMERACION, ESTA ACTIVIDAD INICIARIA CON EL NUMERO 24</t>
        </r>
      </text>
    </comment>
    <comment ref="A38" authorId="2" shapeId="0" xr:uid="{00000000-0006-0000-0500-000006000000}">
      <text>
        <r>
          <rPr>
            <b/>
            <sz val="9"/>
            <color indexed="81"/>
            <rFont val="Tahoma"/>
            <family val="2"/>
          </rPr>
          <t>Denis Helbert Morales Roa:</t>
        </r>
        <r>
          <rPr>
            <sz val="9"/>
            <color indexed="81"/>
            <rFont val="Tahoma"/>
            <family val="2"/>
          </rPr>
          <t xml:space="preserve">
En esta meta debe también reportar la dirección de Territorialización. Se debe preguntar a Territorialización, a qué meta reportan el fortalecimiento de Organizaciones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Denis Helbert Morales Roa</author>
  </authors>
  <commentList>
    <comment ref="AA15" authorId="0" shapeId="0" xr:uid="{00000000-0006-0000-06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AC17" authorId="0" shapeId="0" xr:uid="{00000000-0006-0000-0600-000002000000}">
      <text>
        <r>
          <rPr>
            <b/>
            <sz val="11"/>
            <color indexed="81"/>
            <rFont val="Tahoma"/>
            <family val="2"/>
          </rPr>
          <t>Angela Marcela Forero Ruiz:</t>
        </r>
        <r>
          <rPr>
            <sz val="11"/>
            <color indexed="81"/>
            <rFont val="Tahoma"/>
            <family val="2"/>
          </rPr>
          <t xml:space="preserve">
Incluir ponderación de esta meta 5%</t>
        </r>
      </text>
    </comment>
    <comment ref="A50" authorId="1" shapeId="0" xr:uid="{00000000-0006-0000-0600-000003000000}">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7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C32" authorId="1" shapeId="0" xr:uid="{00000000-0006-0000-07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7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7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700-000005000000}">
      <text>
        <r>
          <rPr>
            <b/>
            <sz val="9"/>
            <color indexed="81"/>
            <rFont val="Tahoma"/>
            <family val="2"/>
          </rPr>
          <t>Angela Marcela Forero Ruiz:</t>
        </r>
        <r>
          <rPr>
            <sz val="9"/>
            <color indexed="81"/>
            <rFont val="Tahoma"/>
            <family val="2"/>
          </rPr>
          <t xml:space="preserve">
AJUSTAR NUMERACION DE LAS ACTIVIDADES, CREO QUE ESTA SERIA LA 32 Y ASI SUCESIVAMENTE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<sst xmlns="http://schemas.openxmlformats.org/spreadsheetml/2006/main" count="2114" uniqueCount="600">
  <si>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</si>
  <si>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</si>
  <si>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</si>
  <si>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</si>
  <si>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</si>
  <si>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</si>
  <si>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</si>
  <si>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</si>
  <si>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</si>
  <si>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</si>
  <si>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</si>
  <si>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</si>
  <si>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</si>
  <si>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</si>
  <si>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</si>
  <si>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</si>
  <si>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</si>
  <si>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</si>
  <si>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</si>
  <si>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</si>
  <si>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</si>
  <si>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</si>
  <si>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Promoción de la igualdad, el desarrollo de capacidades y el reconocimiento de las mujeres.</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</si>
  <si>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</si>
  <si>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</si>
  <si>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</si>
  <si>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</si>
  <si>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</si>
  <si>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</si>
  <si>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</si>
  <si>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</si>
  <si>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</si>
  <si>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</si>
  <si>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</si>
  <si>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</si>
  <si>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</si>
  <si>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</si>
  <si>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</si>
  <si>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</si>
  <si>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</si>
  <si>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</si>
  <si>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</si>
  <si>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</si>
  <si>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</si>
  <si>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</si>
  <si>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</si>
  <si>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</si>
  <si>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</si>
  <si>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</si>
  <si>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</si>
  <si>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</si>
  <si>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</si>
  <si>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Elaborar e implementar 3 lineamientos con enfoque de derechos de las mujeres, de genero y diferencial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</si>
  <si>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</si>
  <si>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</si>
  <si>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</si>
  <si>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</si>
  <si>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</si>
  <si>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</si>
  <si>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</si>
  <si>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</si>
  <si>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</si>
  <si>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</si>
  <si>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</si>
  <si>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</si>
  <si>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</si>
  <si>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</si>
  <si>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</si>
  <si>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</si>
  <si>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</si>
  <si>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</si>
  <si>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</si>
  <si>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</si>
  <si>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</si>
  <si>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</si>
  <si>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</si>
  <si>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</si>
  <si>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</si>
  <si>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</si>
  <si>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</si>
  <si>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</si>
  <si>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</si>
  <si>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</si>
  <si>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</si>
  <si>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t xml:space="preserve">2. Consolidar la caja de herramientas que contribuya a la eliminación de barreras de acceso a los servicios y a la realización de acciones afirmativas dirigidas a mujeres en sus diferencias y diversidad para la garantía de sus derechos en el Distrito Capital. </t>
  </si>
  <si>
    <t>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t>
  </si>
  <si>
    <t>4. Socializar e implementar la hoja de ruta para incorporar los enfoques de derechos de las mujeres, de género y diferencial, a través del acompañamiento y articulación con las consejeras  por el Sector Mujeres en el CTPD.</t>
  </si>
  <si>
    <t>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</si>
  <si>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t>6. Realizar un documento que dé cuenta de los avances en la incorporación durante el cuatrienio de los enfoques de derechos de las mujeres, de género y diferencial para mujeres en las instancias que se acompañan desde la Subsecretaría del Cuidado y Políticas de Igualdad.</t>
  </si>
  <si>
    <t>*Incluir tantas filas sean necesarias</t>
  </si>
  <si>
    <t>DESCRIPCIÓN DE LA ACTIVIDAD</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</si>
  <si>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</si>
  <si>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</si>
  <si>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</si>
  <si>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</si>
  <si>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</si>
  <si>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</si>
  <si>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</si>
  <si>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</si>
  <si>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</si>
  <si>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</si>
  <si>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</si>
  <si>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</si>
  <si>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</si>
  <si>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</si>
  <si>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</si>
  <si>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</si>
  <si>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</si>
  <si>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</si>
  <si>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</si>
  <si>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3 estrategias con enfoque diferencial para mujeres en su diversidad</t>
  </si>
  <si>
    <r>
      <t xml:space="preserve">A </t>
    </r>
    <r>
      <rPr>
        <b/>
        <sz val="12"/>
        <rFont val="Times New Roman"/>
        <family val="1"/>
      </rPr>
      <t>septiembre</t>
    </r>
    <r>
      <rPr>
        <sz val="12"/>
        <rFont val="Times New Roman"/>
        <family val="1"/>
      </rPr>
      <t>:  La Estrategia de empoderamiento realizó 13 jornadas significativas  (244 partic); 16 semilleros: Afro (2), Palenqueras (2), Indígenas (3), Gitanas, Raizales, mujeres ASP, 6 en Colegio Juan Rey (Total: 446 personas). Logró ampliar el margen de divulgación de la estrategia en el Distrito: Seguridad, Gobierno, Bilblored,  Mesa RIAI, Comisión Accidental por los derechos de NNA, UNINPAHU, lideresas juveniles, SDIS-Parceros, líderes ambientales Chapinero e IDIPRON. Se realizaron propuestas metodológicas de semilleros y jornadas significativas. La Estrategia de capacidades psicoemocionales realizó 60 espacios respiro (908 partic), implementó 12 Escuelas de Educación Emocional presencial (175 partic), 1 escuela virtual (1115 partic inscritas-certifica 178). Realizó 4 espacios de transferencia de cto con psicosociales de RECA, SIDICU (17 pers),Subdirección LGBTI-SDIS (19 pers) y equipo coordinadoras mesa psicosocial SDMujer (8 pers) y la publicación de herramientas en la página web de la SDMujer como difusión. La Estrategia de Cuidado Menstrual lideró la 7 Mesa Dist de CM, realizó 4 Jornadas DM en Mártires, Santa Fe, Barrios Unidos y Rafael Uribe (98 muj); 7 Recorridos DM:Bosa, San Cristóbal, Usaquén, Suba, Engativá, C. Bolívar y Teusaquillo (57 muj), 14 EMAA: 4 muj ASP (51), 4 en Colegio Verjón Alto (80, siendo 47 niñas y adolesc muj), 1  muj sordas (16), 1 muj mayores (17), 2 muj campesinas (22), 2 con NNJ (40). Fortalecimiento instituc:Equipos territ SDIS (43), CentrosEscucha SDSalud (38), IDIPRON equipo psicosocial (45), muj UDistrital (4), ACNUR/SDMujer (4), transferencia de cto a referenta mujeres sordas-DED, y se apoyó evaluación pilotaje copas menstruales  a 1 mujer ASP. Creó metodologías para trabajar población mayor y sorda. Ajustó pieza comunicativa mujeres habitantes de calle. Publicaciones en redes sociales de la SDMujer: temas cuidado menstrual, videos resultados primer semestre y socialización Recorrido DM, se rotaron las piezas comunicativas.</t>
    </r>
  </si>
  <si>
    <r>
      <t xml:space="preserve">En la </t>
    </r>
    <r>
      <rPr>
        <b/>
        <sz val="12"/>
        <rFont val="Times New Roman"/>
        <family val="1"/>
      </rPr>
      <t>Estrategia de empoderamiento</t>
    </r>
    <r>
      <rPr>
        <sz val="12"/>
        <rFont val="Times New Roman"/>
        <family val="1"/>
      </rPr>
      <t xml:space="preserve"> para el mes de septiembre no se presentaron retrasos en el desarrollo de la estrategia.
En la </t>
    </r>
    <r>
      <rPr>
        <b/>
        <sz val="12"/>
        <rFont val="Times New Roman"/>
        <family val="1"/>
      </rPr>
      <t>Estrategia de capacidades psicoemocionales</t>
    </r>
    <r>
      <rPr>
        <sz val="12"/>
        <rFont val="Times New Roman"/>
        <family val="1"/>
      </rPr>
      <t xml:space="preserve"> no se presenta retraso. 
En la </t>
    </r>
    <r>
      <rPr>
        <b/>
        <sz val="12"/>
        <rFont val="Times New Roman"/>
        <family val="1"/>
      </rPr>
      <t>Estrategia de Cuidado Menstrual</t>
    </r>
    <r>
      <rPr>
        <sz val="12"/>
        <rFont val="Times New Roman"/>
        <family val="1"/>
      </rPr>
      <t xml:space="preserve"> no se presenta retraso.</t>
    </r>
  </si>
  <si>
    <r>
      <t>Desde la e</t>
    </r>
    <r>
      <rPr>
        <b/>
        <sz val="12"/>
        <rFont val="Times New Roman"/>
        <family val="1"/>
      </rPr>
      <t>strategia de empoderamiento</t>
    </r>
    <r>
      <rPr>
        <sz val="12"/>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t>
    </r>
    <r>
      <rPr>
        <b/>
        <sz val="12"/>
        <rFont val="Times New Roman"/>
        <family val="1"/>
      </rPr>
      <t xml:space="preserve">Estrategia de capacidades psicoemocionales </t>
    </r>
    <r>
      <rPr>
        <sz val="12"/>
        <rFont val="Times New Roman"/>
        <family val="1"/>
      </rPr>
      <t xml:space="preserve">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 </t>
    </r>
    <r>
      <rPr>
        <b/>
        <sz val="12"/>
        <rFont val="Times New Roman"/>
        <family val="1"/>
      </rPr>
      <t xml:space="preserve">Estrategia de Cuidado Menstrual </t>
    </r>
    <r>
      <rPr>
        <sz val="12"/>
        <rFont val="Times New Roman"/>
        <family val="1"/>
      </rPr>
      <t xml:space="preserve">se brindó información pertinente y elementos para el cuidado menstrual que impacta en la garantía de derechos sexuales y reproductivos, el Derecho a la Salud Plena de las personas beneficiarias atendiendo a las solicitudes de la Corte Constitucional, de acuerdo con la Sentencia T 398-19 ampliando a estas actividades a mujeres pertenecientes a otras poblaciones. </t>
    </r>
  </si>
  <si>
    <t xml:space="preserve">7. Realizar ajustes a las metodologías de semilleros y jornadas significativas de acuerdo con las necesidades de cada grupo poblacional teniendo en cuenta sus diferencias y diversidad </t>
  </si>
  <si>
    <r>
      <t>La actividad no estaba programada para el mes de enero. Durante el mes de febrero se realizó el ajuste en las metodologías para población Raizal y mujeres que realizan ASP, de acuerdo a las sugerencias de las referentas de cada grupo, destacando la incorporación de la cartografía corporal e inteligencia financiera. En el mes de marzo, se realizaron ajustes en las metodologías de Afro, Palenqueras y Raizal. Se construyeron las  metodologías para las jornadas significativas del Colegio Juan Rey y  para la primera sesión de semillero con el grado séptimo . En  abril</t>
    </r>
    <r>
      <rPr>
        <b/>
        <sz val="12"/>
        <rFont val="Times New Roman"/>
        <family val="1"/>
      </rPr>
      <t xml:space="preserve"> </t>
    </r>
    <r>
      <rPr>
        <sz val="12"/>
        <rFont val="Times New Roman"/>
        <family val="1"/>
      </rPr>
      <t>se realizó el ajuste a la metodología para mujeres que realizan ASP y se construyeron las metodologías para adolescentes campesinas y segunda sesión de semillero con adolescentes de los grados séptimos del Colegio Juan Rey. En  mayo</t>
    </r>
    <r>
      <rPr>
        <b/>
        <sz val="12"/>
        <rFont val="Times New Roman"/>
        <family val="1"/>
      </rPr>
      <t xml:space="preserve"> </t>
    </r>
    <r>
      <rPr>
        <sz val="12"/>
        <rFont val="Times New Roman"/>
        <family val="1"/>
      </rPr>
      <t>se construyeron las metodologías correspondientes para las tres sesiones de semilleros de empoderamiento con estudiantes de los grados tercero, cuarto y quinto del Colegio Juan Rey. En el mes de</t>
    </r>
    <r>
      <rPr>
        <b/>
        <sz val="12"/>
        <rFont val="Times New Roman"/>
        <family val="1"/>
      </rPr>
      <t xml:space="preserve"> </t>
    </r>
    <r>
      <rPr>
        <sz val="12"/>
        <rFont val="Times New Roman"/>
        <family val="1"/>
      </rPr>
      <t xml:space="preserve">junio se construyó la metodología para el PICNIC de participación a mujeres jóvenes y para el Comité Primario de junio de la Dirección de Enfoque Diferencial. En julio se construyó  propuesta metodológica para la jornada significativa que se realizó con mujeres jóvenes. En </t>
    </r>
    <r>
      <rPr>
        <b/>
        <sz val="12"/>
        <rFont val="Times New Roman"/>
        <family val="1"/>
      </rPr>
      <t xml:space="preserve"> </t>
    </r>
    <r>
      <rPr>
        <sz val="12"/>
        <rFont val="Times New Roman"/>
        <family val="1"/>
      </rPr>
      <t>agosto</t>
    </r>
    <r>
      <rPr>
        <b/>
        <sz val="12"/>
        <rFont val="Times New Roman"/>
        <family val="1"/>
      </rPr>
      <t xml:space="preserve"> </t>
    </r>
    <r>
      <rPr>
        <sz val="12"/>
        <rFont val="Times New Roman"/>
        <family val="1"/>
      </rPr>
      <t xml:space="preserve">se realizaron las  propuestas metodológica para el semillero de mujeres Palenqueras, Gitanas  y jornadas significativas para estudiantes del Colegio Juan Rey. En </t>
    </r>
    <r>
      <rPr>
        <b/>
        <sz val="12"/>
        <rFont val="Times New Roman"/>
        <family val="1"/>
      </rPr>
      <t>septiembre</t>
    </r>
    <r>
      <rPr>
        <sz val="12"/>
        <rFont val="Times New Roman"/>
        <family val="1"/>
      </rPr>
      <t xml:space="preserve"> se realizó desarrollo metodológico para el semillero Indígena y las metodologías para las jornadas significativas con jóvenes de la Universidad UNINPAHU y para adolescentes invitadas para el lanzamiento de la Política Pública de Infancia y Adolescencia - PPPIIA.
</t>
    </r>
  </si>
  <si>
    <t>8. Realizar semilleros y jornadas significativas  que brinden herramientas para el  empoderamiento. Dirigidos a niñas, adolescentes y mujeres jóvenes en sus diferencias y diversidad</t>
  </si>
  <si>
    <r>
      <t>La actividad se programó en enero. En febrero se realizaron reuniones de planeación de semilleros para el Colegio Juan Rey y semilleros Raizal, Afro y Palenqueras y de mujeres en ASP. En marzo se</t>
    </r>
    <r>
      <rPr>
        <b/>
        <sz val="12"/>
        <rFont val="Times New Roman"/>
        <family val="1"/>
      </rPr>
      <t xml:space="preserve"> </t>
    </r>
    <r>
      <rPr>
        <sz val="12"/>
        <rFont val="Times New Roman"/>
        <family val="1"/>
      </rPr>
      <t>realizaron semilleros con: Niñas Afro Usme (33 personas), Niñas Afro Engativá (27 personas), Adolescentes y jóvenes Palenqueras ( 14 personas), Jóvenes Raizales (9 personas), adolescentes Colegio Juan Rey Grado 701 (30 personas) Grado 702 (29 personas) .Se realizaron 4 jornadas significativas en el Colegio Juan Rey en los grados transición, tercero, sexto y once (69 personas). En abril</t>
    </r>
    <r>
      <rPr>
        <b/>
        <sz val="12"/>
        <rFont val="Times New Roman"/>
        <family val="1"/>
      </rPr>
      <t xml:space="preserve"> </t>
    </r>
    <r>
      <rPr>
        <sz val="12"/>
        <rFont val="Times New Roman"/>
        <family val="1"/>
      </rPr>
      <t>se realizó semillero de empoderamiento con mujeres que realizan ASP (14 personas) y se realizó sesión de semillero  con adolescentes de los grados séptimo del Colegio Juan Rey (59 personas). En el mes de mayo se realizó la tercera sesión de semillero de empoderamiento con los grados séptimos del Colegio Juan Rey (61 personas). Se llevó a cabo la primera sesión de semillero de empoderamiento con el grado 501 del Colegio Juan Rey (35) participantes. Y se realizaron dos semilleros con los  grados 301  y 404 del Colegio Juan Rey de tres sesiones cada uno (62 personas). En el mes de junio se llevaron a cabo la segunda y tercera sesión con el grado 501 del Colegio Juan Rey  (35) participantes. En el mes de julio se realizó un semillero de empoderamiento con estudiantes del grado 502 del Colegio Juan Rey (31 personas). Se realizó una jornada significativa con mujeres jóvenes (5 personas). En</t>
    </r>
    <r>
      <rPr>
        <b/>
        <sz val="12"/>
        <rFont val="Times New Roman"/>
        <family val="1"/>
      </rPr>
      <t xml:space="preserve"> </t>
    </r>
    <r>
      <rPr>
        <sz val="12"/>
        <rFont val="Times New Roman"/>
        <family val="1"/>
      </rPr>
      <t>agosto se realizó un semillero con mujeres Palenqueras (20 personas) y  4 jornadas siginificativas con estudiantes de grado décimo del Colegio Juan Rey (45 personas).En</t>
    </r>
    <r>
      <rPr>
        <b/>
        <sz val="12"/>
        <rFont val="Times New Roman"/>
        <family val="1"/>
      </rPr>
      <t xml:space="preserve"> septiembre </t>
    </r>
    <r>
      <rPr>
        <sz val="12"/>
        <rFont val="Times New Roman"/>
        <family val="1"/>
      </rPr>
      <t>se realizó: un semillero con Gitanas (29 personas), tres semilleros con Indígenas (112 personas), tres jornadas significativas UNINPAHU (61 personas) y una jornada significativa adolescentes PPPIIA (63 personas).</t>
    </r>
  </si>
  <si>
    <t>9. Desarrollar acciones de difusión, visibilización divulgación de la estrategia de empoderamiento.</t>
  </si>
  <si>
    <r>
      <t>La actividad se programó en enero. En febrero se realizó difusión de la estrategia de empoderamiento a la comunidad educativa del Colegio Juan Rey . De forma interna se realizó socialización de la estrategia a las profesionales de la DED que para la vigencia 2023 van a acompañar los espacios para el desarrollo de la misma. En el mes de marzo se realizó socialización y difusión de la estrategia de empoderamiento en el Concejo de Bogotá en el marco de la quinta mesa de la Comisión Accidental por la Infancia y la Adolescencia.  En el mes de abril se realizó socialización y difusión de la estrategia de empoderamiento con profesionales de la Secretaría de Seguridad y Convivencia y  en la mesa RIAIA. En el mes de mayo se realizó socialización y difusión de la estrategia de empoderamiento con profesionales de la Secretaría Distrital de Gobierno,  Biblored y se realizó segunda sesión de socialización de la estrategia en la mesa RIAIA. En el mes de junio se realizó socialización y difusión de la estrategia de empoderamiento con lideresas juveniles de Bogotá. En el mes de julio se realizó socialización de la estrategia de empoderamiento a profesionales de la Secretaría Distrital de Integración Social - SDIS - Programa Parceros y en la Alcaldía Local de Chapinero con líderes ambientales. En agosto se realizó socialización de la estrategia de empoderamiento a profesionales de la universidad UNINPAHU. En</t>
    </r>
    <r>
      <rPr>
        <b/>
        <sz val="12"/>
        <rFont val="Times New Roman"/>
        <family val="1"/>
      </rPr>
      <t xml:space="preserve"> septiembre </t>
    </r>
    <r>
      <rPr>
        <sz val="12"/>
        <rFont val="Times New Roman"/>
        <family val="1"/>
      </rPr>
      <t>se realizó socialización de la estrategia de empoderamiento a profesionales de IDIPRON.</t>
    </r>
  </si>
  <si>
    <t>10. Desarrollar escuelas de educación emocional enfocadas en fortalecer capacidades y herramientas para gestionar la salud mental de las mujeres en su diversidad en la ciudad de Bogotá.</t>
  </si>
  <si>
    <t>La actividad no estaba programada para el mes de enero. 
Febrero: Se avanzó en la construcción del plan de trabajo correspondiente al desarrollo de las EEM para la vigencia 2023. Se iniciaron reuniones de concertación y búsqueda de los grupos de mujeres participantes.  
Marzo:
• Convocatoria EEM virtual: 922
• Concertación cronograma EEM mujeres migrantes y refugiadas- Fundación Juntos se puede.
Abril:
•Inicio EEM migrantes y refugiadas: 10 mujeres 
•Inicio EEM mujeres habitantes de calle: 21 mujeres 
•Inicio EEM virtual: 1115 usuarias inscritas
Mayo:
•Finalización EEM mujeres migrantes y refugiadas: 5 mujeres 
•Escuela de educación emocional mujeres habitantes de calle: 35 mujeres
•Escuela de educación emocional virtual: 1115 usuarias inscritas de las cuales han finalizado: 87 participantes.
Junio:
•Inicio EEM mujeres en ASP: 10 mujeres
•Finalización EEM mujeres habitantes de calle: 35 mujeres
•Escuela de educación emocional virtual: Durante el mes de junio fueron registradas en simisional 89 participantes.
Julio:
•Inicio EEM con mujeres jóvenes: 8 Mujeres
•EEM con mujeres en ASP: 11 Mujeres
Agosto: 
•Continuación EEM con mujeres jóvenes:  4 Mujeres
• Inicio EEM mujeres con discapacidad visual: 25 Mujeres
•EEM con mujeres migrantes: 23 Mujeres
•EEM virtual: Durante el mes de agosto fueron registradas en simisional 89 participantes
Septiembre:
• Cierre EEM con mujeres jóvenes:  4 Mujeres
• Cierre EEM mujeres con discapacidad visual: 25 Mujeres
• Inicio EEM con mujeres LB: 11 Mujeres
• Cierre 2 EEM con mujeres en ASP:30 Mujeres
• 1 EEM con mujeres migrantes: 21 Mujeres</t>
  </si>
  <si>
    <t>11. Desarrollar espacios de encuentro de mujeres para el cuidado emocional denominados Espacios Respiro.</t>
  </si>
  <si>
    <t xml:space="preserve">La actividad no estaba programada para el mes de enero. 
Febrero: Se avanzó en la construcción del plan de trabajo. Se iniciaron reuniones de concertación y búsqueda de los grupos de mujeres participantes. 
Marzo:
• 1 ER M en ASP. Total: 12
• 1 ER M adultas y mayores. Total: 13
• 1 ER M trans. Total: 8
Abril:
• 1 ER  M indígenas. Total: 20
• 2 ER  M migrantes y refugiadas. Total: 41
• 1 ER  M adultas y mayores. Total: 9
• 1 ER  M Gitanas. Total: 23
• 1 ER  M Raizales. Total: 29
• 1 ER  M en ASP. Total: 10
• 1 ER M habitantes de calle. Total: 23
Mayo:
• 1 ER mujeres indígenas. Total: 16
• 1 ER mujeres migrantes y refugiadas. Total: 16 
• 1 ER mujeres adultas y mayores. Total: 16
• 1 ER mujeres Campesinas y rurales. Total: 13
• 2 ER mujeres en riesgo de habitar calle. Total: 82
• 1 ER mujeres en ASP. Total: 8
• 1 ER mujeres palenqueras. Total: 12
• 1 ER mujeres jóvenes. Total: 3
• 3 ER mujeres con discapacidad. Total: 38
• 1 ER mujeres en sus diferencias y diversidad virtual. Total 30
Junio:
• 1 ER mujeres en ASP. Total: 5
• 2 ER mujeres con discapacidad. Total: 38
• 1 ER mujeres habitantes de calle. Total: 12
• 1 ER mujeres lesbianas y bisexuales. Total: 16
• 1 ER mujeres adultas y mayores. Total: 12
• 1 ER mujeres campesinas. Total: 12
• 2 ER mujeres jóvenes. Total: 19
Julio:
• 1 ER mujeres migrantes. Total: 9
• 1 ER mujeres campesinas. Total: 11
• 1 ER mujeres en ASP. Total: 23
• 1 ER mujeres lesbianas y bisexuales. Total: 8
• 4 ER mujeres jóvenes. Total: 52
• 4 ER mujeres adultas y mayores. Total: 69
Agosto:
• 1 ER mujeres campesinas. Total: 6
• 1 ER mujeres jóvenes. Total: 13
• 1 ER mujeres lesbianas y bisexuales. Total:10
• 2 ER mujeres adultas y mayores. Total: 35
• 2 ER mujeres en ASP. Total: 29
• 2 ER mujeres migrantes y refugiadas. Total: 34
Septiembre:
• 1 ER mujeres privadas de la libertad. 20
• 1 ER mujeres jóvenes. 10
• 1 ER mujeres indígenas. 15
• 1 ER mujeres víctimas del conflicto armado. 5  
• 2 ER mujeres migrantes. 23
</t>
  </si>
  <si>
    <t xml:space="preserve">12.Diseñar e implementar una estrategia de difusión y socialización de la caja de herramientas construida en el marco de la estrategia de capacidades psicoemocionales  </t>
  </si>
  <si>
    <r>
      <t>La actividad no estaba programada para el mes de enero. 
Febrero: Se avanzó en la construcción del plan de trabajo correspondiente al desarrollo de la estrategia de difusión y socialización de la caja de herramientas. Asimismo, se realizó mapeo de posibles entidades y grupos objetivo y se definió la lista de recursos disponibles para la construcción de la caja de herramientas.
Marzo: Se avanzó en la construcción de la caja de herramientas de la estrategia de capacidades psicoemocionales.  
Abril: Se avanzó en:
 • Construcción de la propuesta metodológica de la transferencia de conocimientos y productos de la estrategia de capacidades psicoemocionales.
• Desarrollo de un encuentro de transferencia con la organización RECA Red de empleo con apoyo para personas con discapacidad. Total asistentes: 7 profesionales
Mayo se avanzó en:
• Desarrollo de un encuentro de transferencia con el equipo psicosocial de SIDICU. Total asistentes: 10
Junio se avanzó en:
• Solicitud de publicación en la página de la Secretaría Distrital de la Mujer de algunas herramientas construidas en el marco de la estrategia dirigidas a los equipos técnicos y profesionales interesados como una estrategia de difusión de las mismas, en espera de aprobación.
Julio se avanzó en: 
• Se realizó la publicación y difusión de contenidos construidos en la estrategia a través de la página web de la Secretaría Distrital de la Mujer: https://bogota.gov.co/mi-ciudad/mujer/cartilla-de-la-escuela-de-educacion-amarte-de-la-secretaria-de-mujer    https://sdmujer.gov.co/noticia/metodologias-para-crear-espacios-de-respiro-para-mujeres 
Agosto:
• Se realizó espacio de asistencia técnica y transferencia de conocimientos y herramientas a equipo de la subdirección LGBTI de la SDIS. Total asistentes: 19
Septiembre:
• Se realizó espacio de asistencia técnica y transferencia de conocimientos y herramientas a equipo de coordinadoras de la mesa psicosocial</t>
    </r>
    <r>
      <rPr>
        <sz val="12"/>
        <color rgb="FFFF0000"/>
        <rFont val="Times New Roman"/>
        <family val="1"/>
      </rPr>
      <t xml:space="preserve"> </t>
    </r>
    <r>
      <rPr>
        <sz val="12"/>
        <rFont val="Times New Roman"/>
        <family val="1"/>
      </rPr>
      <t xml:space="preserve">de la SDMujer. Total asistentes: 8
</t>
    </r>
  </si>
  <si>
    <t xml:space="preserve">13.   Implementar la Fase I y II de la EDCM . Espacios EMAA mujeres en sus diferencias y diversidad; hombres trans y personas no binarias. Jornadas de Dignidad Menstrual. </t>
  </si>
  <si>
    <r>
      <t xml:space="preserve">En enero y febrero la actividad no presentó avance, por programación y trámites contractuales.  En marzo se realizó una Jornada de Dignidad Menstrual (en adelante JDM) en la localidad de Los Mártires, en la que se realizó taller de cuidado menstrual a 36 personas que se reportan en SIMISIONAL y se entregaron 25 kits de cuidado menstrual (CM). En abril se realizaron 2 Recorridos por la Dignidad Menstrual (en adelante RDM) en las localidades de 1) San Cristóbal 9 mujeres habitantes de calle abordadas, se entregaron 5 kits CM y 2) Bosa 6 mujeres habitantes de calle, se entregaron 5 kits CM.  En mayo se realizó JDM en la localidad de Santa Fe trabajó taller de cuidado menstrual con 38 mujeres (SDMujer no entregó elementos de Cuidado Menstrual, los elementos de CM fueron asumidos por SDIS e IDIPRON) y se realizó un RDM en la localidad de Usaquén, se atendieron 5 mujeres habitantes de calle, SDMujer entregó 5 Kits CM.  En junio se realizó RDM en la localidad de Suba en donde se atendieron 8 mujeres habitantes de calle, SDMujer les entregó 6 Kits CM (dos de las mujeres no estaban en condiciones de salud mental para recibir kit). En Julio se realizó: 1 JDM en Barrios Unidos en donde se atendieron 11 mujeres, solo 2 eran habitantes de calle, la entrega de elementos de Cuidado Menstrual la realiza la SDIS y se llevó a cabo un RDM en Engativá donde 13 mujeres son abordadas y se entregaron 8 kits CM.  En agosto se realizó recorrido por la dignidad menstrual en la localidad de Ciudad Bolívar en donde se atendieron 9 mujeres habitantes de calle, se entregaron 8 kits CM. En </t>
    </r>
    <r>
      <rPr>
        <b/>
        <sz val="12"/>
        <rFont val="Times New Roman"/>
        <family val="1"/>
      </rPr>
      <t>septiembre</t>
    </r>
    <r>
      <rPr>
        <sz val="12"/>
        <rFont val="Times New Roman"/>
        <family val="1"/>
      </rPr>
      <t xml:space="preserve"> se realizó la 4 JDM en Rafael Uribe Uribe en donde se atendieron 13 personas HC y en riesgo y 1 RDM en Teusaquillo donde se abordan 7 mujeres y se les entregó kit de cuidado menstrual (CM). Esta actividad no presenta retrasos en su ejecución.</t>
    </r>
  </si>
  <si>
    <t xml:space="preserve">14. Realizar la Mesa Interinstitucional activa, implementando Plan de Trabajo  </t>
  </si>
  <si>
    <r>
      <t xml:space="preserve">La actividad no estaba programada para el mes de enero. En febrero la actividad no presentó avance, por trámites contractuales. En marzo se realizó la Primera Mesa de Cuidado Menstrual en adelante (MCM). Son corresponsables de la mesa la Secretaría de Salud, Secretaría de Integración Social, IDIPRON y SDMujer como líder técnico. Se definió el Plan de Acción y cronograma de jornadas y recorridos por la Dignidad Menstrual para el año sin fechas exactas. A agosto se han realizado seis mesas de cuidado menstrual y mes a mes las entidades acuerdan las acciones afirmativas interinstitucionales a ejecutar en el mes siguiente. En </t>
    </r>
    <r>
      <rPr>
        <b/>
        <sz val="12"/>
        <rFont val="Times New Roman"/>
        <family val="1"/>
      </rPr>
      <t>septiembre</t>
    </r>
    <r>
      <rPr>
        <sz val="12"/>
        <rFont val="Times New Roman"/>
        <family val="1"/>
      </rPr>
      <t xml:space="preserve"> se realizó reunión presencial de la séptima MCM y se planearon los fortalecimientos a Salud, el recorrido para el 18 de octubre en las localidades de Pte Aranda y Antonio Nariño y se dialogó temas relevantes a incluir en los informes de empalme de las entidades corresponsables del Cuidado Menstrual en Bogotá . No hay atraso en la implementación.</t>
    </r>
  </si>
  <si>
    <t xml:space="preserve">15. Definir e implementar acciones de las fases III y IV de la Estrategia de Cuidado Menstrual dirigidas a mujeres y personas con experiencias menstruales en sus diferencias y diversidad, según priorización y pertinencia. </t>
  </si>
  <si>
    <r>
      <t xml:space="preserve">La actividad no estaba programada para enero, febrero y marzo, pero, aunque no estaba programada, se avanzó en la gestión en la Mesa Distrital de Cuidado Menstrual. Para abril se realizó articulación con Casa de Todas para realizar EMAA con Mujeres que realizan ASP; no obstante, y a pesar de la socialización del evento no llegó ninguna mujer al espacio.  En mayo se realizaron 4 jornadas EMAA con estudiantes del Verjón Alto de la localidad de Santa Fé, con 4, 5 y 6to y se realiza jornada EMAA con 14 mujeres en ASP en Casa de Todas (CdeT), además se realizó fortalecimiento institucional a 22 profesionales territoriales de la SDIS. En junio se realizó fortalecimiento institucional a 21 profesionales territoriales SDIS y a 4 mujeres activistas menstruales de grupo de la Universidad Distrital; Los días 14 (22 mujeres) y 28 (9 mujeres) se llevaron a cabo jornadas EMAA con mujeres que realizan ASP, se entregaron 31 Discos Menstruales gestionados por CdT. En julio se realizó una Jornada EMAA para mujeres que realizan ASP en CdT, se trabajó con 6 mujeres a quienes se les entregó disco menstrual. A lo largo del mes se realizó fortalecimiento de capacidades con la referenta de mujeres sordas de la DED con el fin de construir metodología para este grupo poblacional. En agosto se realizaron dos jornadas EMAA: 1 con mujeres mayores (17) y una con mujeres sordas (16). Se realizó fortalecimiento de capacidades a ACNUR-SDMujer (4) y evaluación del pilotaje de copas menstruales a la que solo llegó 1 mujer en ASP. En </t>
    </r>
    <r>
      <rPr>
        <b/>
        <sz val="12"/>
        <rFont val="Times New Roman"/>
        <family val="1"/>
      </rPr>
      <t>septiembre</t>
    </r>
    <r>
      <rPr>
        <sz val="12"/>
        <rFont val="Times New Roman"/>
        <family val="1"/>
      </rPr>
      <t xml:space="preserve"> se realizaron 4 sesiones EMAA; 2 con mujeres rurales (9 y 13 personas) y </t>
    </r>
    <r>
      <rPr>
        <sz val="12"/>
        <color rgb="FFFF0000"/>
        <rFont val="Times New Roman"/>
        <family val="1"/>
      </rPr>
      <t>1</t>
    </r>
    <r>
      <rPr>
        <sz val="12"/>
        <rFont val="Times New Roman"/>
        <family val="1"/>
      </rPr>
      <t xml:space="preserve"> con mujeres NAJ en el Castillo de las Artes (2</t>
    </r>
    <r>
      <rPr>
        <sz val="12"/>
        <color rgb="FFFF0000"/>
        <rFont val="Times New Roman"/>
        <family val="1"/>
      </rPr>
      <t xml:space="preserve">2 </t>
    </r>
    <r>
      <rPr>
        <sz val="12"/>
        <rFont val="Times New Roman"/>
        <family val="1"/>
      </rPr>
      <t>personas) y Fundación Servicio Juvenil Casa Bosconia (18 personas). Se realizaron 4 fortalecimientos institucionales 2 con SDSalud Centros de Escucha (28 y 10 personas) y 2 con el equipo sicosocial del IDIPRON (28 y 17).  Esta actividad no presenta retrasos en su ejecución.</t>
    </r>
  </si>
  <si>
    <t>16. Diseñar y poner en acción el Plan Estratégico de Comunicaciones de la EDCM</t>
  </si>
  <si>
    <r>
      <t xml:space="preserve">La actividad no estaba programada para el mes de enero. En el mes de febrero la actividad no presentó avance, dado trámites contractuales. En el mes de marzo se reestablece quien es el contacto en el área de Comunicaciones de la SDMujer  y en el diálogo con ella no es posible realizar reunión antes de finalizar el mes por temas de acuerdos y productos pendientes. En el mes de abril se realizó reunión con Comunicaciones y se estableció estrategia de trabajo con el fin de avanzar en la implementación de la estrategia comunicativa con las herramientas con las que se cuenta. Se seleccionó una pieza comunicativa que apunta a la prevención del taponamiento y se dispuso actualizar la información allí relacionada con las profesionales de Casa de Todas y en la Mesa Distrital de Cuidado Menstrual. En el mes de mayo se realizó gestión y consolidación de información que hará parte de las piezas comunicativas de la estrategia de comunicaciones, se realizaron ajustes al Folleto de Prevención del taponamiento, el cual se aprueba a través de la Mesa Distrital de Cuidado Menstrual y se aprueban piezas para redes sociales. En el mes de junio se aprobaron las piezas comunicativas de la estrategia de comunicaciones, se entregó en la Mesa Distrital de Cuidado Menstrual el Folleto de Prevención del taponamiento y se comparten piezas comunicativas publicadas en redes sociales de la SDMujer. En el mes de julio se continuó con la implementación de la estrategia de comunicaciones en redes sociales y se enviaron insumos para la creación de video que resume el primer semestre de 2023. En agosto se continuó con la implementación de la estrategia de comunicaciones en redes sociales y se enviaron insumos para la creación de video que resume los esfuerzos de los recorridos de dignidad menstrual, con esta acción se subsana el atraso en la implementación del 3% . En el mes de </t>
    </r>
    <r>
      <rPr>
        <b/>
        <sz val="12"/>
        <rFont val="Times New Roman"/>
        <family val="1"/>
      </rPr>
      <t>septiembre</t>
    </r>
    <r>
      <rPr>
        <sz val="12"/>
        <rFont val="Times New Roman"/>
        <family val="1"/>
      </rPr>
      <t xml:space="preserve"> se avanzó en la publicación de las piezas comunicativas creadas y en la entrega del folleto a los equipos de Salud por su trabajo territorial. https://www.facebook.com/reel/591970346256638</t>
    </r>
  </si>
  <si>
    <t xml:space="preserve">Implementar la Estrategia Casa de Todas </t>
  </si>
  <si>
    <r>
      <rPr>
        <sz val="12"/>
        <color rgb="FF000000"/>
        <rFont val="Times New Roman"/>
        <family val="1"/>
      </rPr>
      <t xml:space="preserve">Durante el mes </t>
    </r>
    <r>
      <rPr>
        <b/>
        <sz val="12"/>
        <color rgb="FF000000"/>
        <rFont val="Times New Roman"/>
        <family val="1"/>
      </rPr>
      <t xml:space="preserve">septiembre </t>
    </r>
    <r>
      <rPr>
        <sz val="12"/>
        <color rgb="FF000000"/>
        <rFont val="Times New Roman"/>
        <family val="1"/>
      </rPr>
      <t>2023, se dio continuidad a la operación de la Estrategia Casa de Todas con atención presencial y telefónica, brindando atención integral y acompañamiento a 535 mujeres que realizan actividades sexuales pagadas, se realizaron 1.125 atenciones en el periodo desagregadas por área así: 476 intervenciones por trabajo social, 405 actuaciones jurídicas, 244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 socialización de la PPASP en Casa de Todas y dos en territorio Usaquen y Teusaquillo, un espacio de cine club, dos escuelas psicoemocionales, un encuentro de derechos y un espacio de cuidado menstrual.</t>
    </r>
  </si>
  <si>
    <r>
      <t>Durante los meses</t>
    </r>
    <r>
      <rPr>
        <b/>
        <sz val="12"/>
        <rFont val="Times New Roman"/>
        <family val="1"/>
      </rPr>
      <t xml:space="preserve"> de enero a septiembre </t>
    </r>
    <r>
      <rPr>
        <sz val="12"/>
        <rFont val="Times New Roman"/>
        <family val="1"/>
      </rPr>
      <t>de 2023, se dio continuidad a la operación de la Estrategia Casa de Todas con atención presencial y telefónica, brindando atención integral y acompañamiento a  1.796 mujeres que realizan actividades sexuales pagadas, se realizaron 8,127 atenciones en el periodo desagregadas por área así: 3.567 intervenciones por trabajo social, 2.769 actuaciones jurídicas, 1.791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Política Pública de Actividades Sexuales Pagadas - PPASP (10) en Casa de Todas y en territorio como Plaza de la Mariposa, Alameda, Engativá, Fontibón, Antonio Nariño, Ciudad Bolívar, Chapinero, Usaquén, Teusaquillo, Tunjuelito y Kennedy. Se ha articulado con otras estrategias, llevando a las mujeres espacios de cuidado psicoemocional (8), tres escuelas psicoemocionales, encuentros poblacionales (1), semilleros (1), proceso educativo con mujeres emprendedoras (1), espacio de cuidado menstrual (7), feria de empleabilidad (2), encuentro de derechos (5), jornada de cine (3), jornada de autocuidado y fecha conmemorativa ASP.</t>
    </r>
  </si>
  <si>
    <t>Durante los meses de enero a marzo, se realizaron parte del proceso de contratación del personal de atención de la Casa de Todas; sin embargo, este hecho fue contemplado en la planeación de las metas de atenciones, por tanto, no se presentaron retrasos en el cumplimiento de las mismas.</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</si>
  <si>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</si>
  <si>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17. Realizar atenciones en intervención de trabajo  social que comprenden plan de intervención, valoraciones iniciales, intervenciones y seguimiento a mujeres que realizan actividades sexuales pagadas.</t>
  </si>
  <si>
    <r>
      <t xml:space="preserve">Durante los meses de enero a </t>
    </r>
    <r>
      <rPr>
        <b/>
        <sz val="12"/>
        <rFont val="Times New Roman"/>
        <family val="1"/>
      </rPr>
      <t xml:space="preserve">septiembre </t>
    </r>
    <r>
      <rPr>
        <sz val="12"/>
        <rFont val="Times New Roman"/>
        <family val="1"/>
      </rPr>
      <t>de 2023 se atendieron 1.435 mujeres en trabajo social y se realizaron 3.567 atenciones desagregadas así: 1.180 intervenciones, 2.060 seguimientos y 327 valoraciones iniciales. Durante el periodo se realizó atención presencial y telefónica. A través de la atención, en el periodo se logró dar respuesta a las siguientes necesidades específicas:
A través de la atención, se logró dar respuesta a los procesos de: 
*147 Activación servicios de SDIS
*85 Afiliaciones al sistema de salud
*60 Anticoncepción
*15 Duplicados de cédula
*8 Educacion superior
*137 Empleabilidad
*143 Fondo Nacional del Ahorro
*144 Formación para el trabajo (Miquelina y Conviventia)
*18 Formación cursos técnicos SENA
*3 Movilidad escolar
*56 Portabilidad
*168 Proceso educación flexible
*356 Pruebas rápidas con secretaria de salud
*24 Remisiones para IVE
*6 Salud Movilidad
*226 Salud sexual y reproductiva liga contra el cancer
*69 Solicitud cupo DLE
*163 Solicitud de encuesta socioeconómica SISBEN
*49 Subsidios con Hábitat
*14 Traslado municipio salud
*14 Ruta de victimas conflicto armado</t>
    </r>
  </si>
  <si>
    <t>18.  Realizar atenciones psicosociales  (valoraciones iniciales, asesoría y seguimientos) a mujeres que realizan actividades sexuales pagadas y sus familias</t>
  </si>
  <si>
    <r>
      <t xml:space="preserve">Durante los meses de enero a </t>
    </r>
    <r>
      <rPr>
        <b/>
        <sz val="12"/>
        <rFont val="Times New Roman"/>
        <family val="1"/>
      </rPr>
      <t>septiembre</t>
    </r>
    <r>
      <rPr>
        <sz val="12"/>
        <rFont val="Times New Roman"/>
        <family val="1"/>
      </rPr>
      <t xml:space="preserve"> de 2023 se atendieron 394 mujeres en el área psicosocial y se realizaron 1.791 atenciones desagregadas así: 328 asesorías, 1.291 seguimientos y 172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</si>
  <si>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t>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t>
  </si>
  <si>
    <r>
      <t xml:space="preserve">Durante los meses de enero a </t>
    </r>
    <r>
      <rPr>
        <b/>
        <sz val="12"/>
        <rFont val="Times New Roman"/>
        <family val="1"/>
      </rPr>
      <t xml:space="preserve">septiembre </t>
    </r>
    <r>
      <rPr>
        <sz val="12"/>
        <rFont val="Times New Roman"/>
        <family val="1"/>
      </rPr>
      <t>de 2023, se atendieron en el área jurídica 645 mujeres y se realizaron 2.769 atenciones desagregadas así: 723 asesorías, 1.842 seguimientos y 204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*85 Derechos de petición
*26 Impulsos procesales
*102 Procesos de representación
*20 Comités estudio de casos
*15 Audiencias
*4 Tutela										
*4 Escritos de denuncia
*10 Comités interdisciplinares de estudio de caso</t>
    </r>
  </si>
  <si>
    <t>20. Generar información de los sitios, dinámicas y contextos de las actividades sexuales pagadas en Bogotá</t>
  </si>
  <si>
    <r>
      <t>Durante los meses de enero a</t>
    </r>
    <r>
      <rPr>
        <b/>
        <sz val="12"/>
        <rFont val="Times New Roman"/>
        <family val="1"/>
      </rPr>
      <t xml:space="preserve"> septiembre </t>
    </r>
    <r>
      <rPr>
        <sz val="12"/>
        <rFont val="Times New Roman"/>
        <family val="1"/>
      </rPr>
      <t>de 2023 se consolidaron y elaboraron los siguiente boletines:
1-Boletín caracterización de personas ASP atendidas en Casa de Todas en Trim I 2023
2-Informe_Encuesta_Satisfacción_II Sem 2022
3-Boletín caracterizadas I-Trim 2023 Comparativo Ven - Col
4-Boletín Atendidas_2022
5-Informe_Encuesta_Evaluación_Servicios_I Sem 2023
6-Boletín Atendidas I-Sem 2023
7-Boletin_Caracterizadas Localidad de Los Mártires corte 30 de Junio
8-Boletín Caracterizadas Junio 2023 Comparativo Los Mártires - Otras localidades.pdf</t>
    </r>
  </si>
  <si>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</si>
  <si>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</si>
  <si>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			Promoción de la igualdad, el desarrollo de capacidades y el reconocimiento de las mujeres.</t>
  </si>
  <si>
    <t xml:space="preserve">Implementar una estrategia de educación flexible con enfoque diferencial.	</t>
  </si>
  <si>
    <t>Implementar una estrategia de educación flexible con enfoque diferencial.</t>
  </si>
  <si>
    <r>
      <t xml:space="preserve">Durante </t>
    </r>
    <r>
      <rPr>
        <b/>
        <sz val="12"/>
        <rFont val="Times New Roman"/>
        <family val="1"/>
      </rPr>
      <t>septiembre</t>
    </r>
    <r>
      <rPr>
        <sz val="12"/>
        <rFont val="Times New Roman"/>
        <family val="1"/>
      </rPr>
      <t xml:space="preserve"> se realizó documento de grupo focal y se avanzó en la caracterización de 186 mujeres, se espera finalizar la caracterización en octubre. Asimismo, se realizó reunión de planeación de segunda  Feria de Educación Superior a realizarse en noviembre, con el equipo de EEF. Igualmente, se realizó acompañamiento a la caracterización realizada por ACNUR para las asistencias económicas que recibirán las 12 mujeres y se continuó la articulación con Parceros con actividades puntuales para los siguientes meses. Se recibió la lista que 36 mujeres que finalizaron el curso de inglés.</t>
    </r>
  </si>
  <si>
    <r>
      <t xml:space="preserve">Durante los meses de </t>
    </r>
    <r>
      <rPr>
        <b/>
        <sz val="12"/>
        <rFont val="Times New Roman"/>
        <family val="1"/>
      </rPr>
      <t>enero a septiembre</t>
    </r>
    <r>
      <rPr>
        <sz val="12"/>
        <rFont val="Times New Roman"/>
        <family val="1"/>
      </rPr>
      <t>, se hicieron reuniones para las alianzas con el ICFES, BID y la Agencia Atenea en el marco de la implementación de la Estrategia de Educación Flexible (EEF). Asimismo, se realizó cronograma de estrategia. Se inició contrato interadministrativo con ICFES y bienvenida e inducción con una participación de 105 mujeres y 12 jornadas de fortalecimiento en junio y julio, además se realizó simulacro de Pruebas Saber 11, y en agosto se hizo convocatoria presentación de Prueba Saber 11, presentaron 130 mujeres de 200. Se hizo 3 talleres con el ICFES, 2 virtual con asistencia de 77 mujeres y 1 presencial 20 mujeres. Se realizó Feria de Educación Superior, con participación de 27 instituciones y 179 mujeres, para un total de 248 participantes y se efectuó reunión de planeación para la segunda feria. Se continuó articulación con ACNUR para apoyo económico a 10 mujeres en la EEF en la Casa de Todas que participan en educación flexible en primer y segundo semestre, se graduaron 4 mujeres como bachilleres y se evaluaron las lecciones aprendidas del pilotaje. Se articuló con la Dirección de Gestión del Conocimiento y se envió la inscripción con 119 mujeres a 3 cursos inglés terminaron satisfactoriamente 36 mujeres con el SENA de los cuales uno con campesinas y rurales que finalizó en agosto. Se envío a la directora de Enfoque Diferencial el Manual de Inclusión. Se articuló con Atenea para Programa Jóvenes a la U y Makaia para becas en Programación.  Asimismo, se continuó la caracterización de 186 mujeres de la EEF y se cuenta con un documento de los 3 grupos focales sobre barreras de acceso y se incorporó el manual de inclusión en la caja de herramientas de la DED.</t>
    </r>
  </si>
  <si>
    <t xml:space="preserve">La estrategia de educación flexible permite la reducción de las barreras de acceso al derecho a la educación de las mujeres en sus diferencias y diversidad. </t>
  </si>
  <si>
    <t>21.  Promover los apoyos de acceso a educación superior a través del acompañamiento, preparación (PRE ICFES) y financiación del Examen Saber 11°  (ICFES).</t>
  </si>
  <si>
    <r>
      <t>Durante febrero, se realizó articulación con el ICFES para contrato interadministrativo Pruebas Saber 11. se realizó estudios previos. Durante marzo se solicitó cotización para ICFES, se realizó una reunión de empalme de la Estrategia con la directora de Enfoque Diferencial. Se inicio articulación y asignación de cupos para el Programa Parceros por Bogotá. Durante abril se realizó la convocatoria preinscripción de Pruebas Saber 11, se cuenta con 220 mujeres preinscritas; se seleccionarán 200 que cumplen con los requisitos y se continuo la articulación con Parceros. Se convocó y seleccionó docentes para jornadas de fortalecimiento Pruebas Saber 11. Durante mayo, se firmó contrato inter administrativo con el ICFES, e inscripción de 200 mujeres y jornada de la bienvenida presencial a 105 mujeres inscritas a Pruebas Saber 11, 25 acompañantes y funcionarias, para un total de 130 personas. Durante junio se realizaron, jornadas de fortalecimiento de las Pruebas Saber 11, se realizaron 6 jornadas en el Colegio Panamericano: 4 presenciales y 2 virtuales y taller de socialización de las Pruebas Saber 11 en el marco del contrato interadministrativo con ICFES. Durante julio se realizaron 3 talleres ICFES, 2 virtuales, con una asistencia de 77 mujeres y uno presencial con 20 mujeres. Igualmente, se realizaron 4 jornadas de fortalecimiento presencial con un promedio de 25 mujeres y 2 jornadas virtuales, con promedio de 120 mujeres. se realizó simulacro de Prueba Saber 11, con una asistencia presencial de 25 mujeres y 77 mujeres virtual. Durante agosto</t>
    </r>
    <r>
      <rPr>
        <b/>
        <sz val="12"/>
        <rFont val="Times New Roman"/>
        <family val="1"/>
      </rPr>
      <t xml:space="preserve"> </t>
    </r>
    <r>
      <rPr>
        <sz val="12"/>
        <rFont val="Times New Roman"/>
        <family val="1"/>
      </rPr>
      <t xml:space="preserve">se realizó la convocatoria para la presentación de la Prueba Saber 11 en la que participaron 130 mujeres de las 200 inscritas. Asimismo, se continuó con la caracterización de 176 mujeres y se fortaleció la información con 3 grupos focales sobre barreras de acceso para la educación superior. Durante </t>
    </r>
    <r>
      <rPr>
        <b/>
        <sz val="12"/>
        <rFont val="Times New Roman"/>
        <family val="1"/>
      </rPr>
      <t>septiembre</t>
    </r>
    <r>
      <rPr>
        <sz val="12"/>
        <rFont val="Times New Roman"/>
        <family val="1"/>
      </rPr>
      <t xml:space="preserve"> se realizó documento de grupo focal y se avanzó en la caracterización de 186 mujeres, se espera finalizar la caracterización en octubre. </t>
    </r>
  </si>
  <si>
    <t>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</si>
  <si>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r>
      <t xml:space="preserve">Durante febrero se logró 2 encuentros de planeación y articulación con el equipo de la EEF.  Igualmente, se realizó una reunión con la Agencia de Educación Superior, Ciencia y Tecnología (ATENEA), se retomó la articulación y con la Dirección de Derechos y Diseño de Políticas (DDDP) y La Dirección de Eliminación de Violencias contra las Mujeres y Acceso a la Justicia (DEVAJ) para los procesos de vinculación y permanencia en educación superior de las mujeres. Durante marzo se realizó jornada de empalme de la EEF. Asimismo, en alianza con el BID, se realizó la revisión al documento final de sistematización programa de educación flexible con la Secretaría de Educación Distrital (SED) y Casa de la Mujer. Igualmente, se realizó encuentro con la Dirección de Gestión de Conocimiento los pasos de la publicación del Manual de Inclusión de Educación Superior 2023. Durante el mes de abril, se retroalimentó Manual retroalimentado con los aportes de la DDDP de la SDMujer. Durante mayo, se realizó articulación con la Dirección de Diseño de Políticas de la SDMujer para compartir la Feria de Educación Superior y se identificaron lecciones aprendidas de las Ferias. Durante junio se realizó IV Feria de educación superior, se realizaron 2 reuniones de gestión, aprestamiento con Universidades y Equipo de la Estrategia. En la Feria, participaron 31 instituciones de Educación Superior, ACNUR y Opción Legal y 1 red de mujeres, 179 mujeres. Durante julio, se envió el Manual para la Inclusión de Mujeres Diversas en Educación Superior, a directora DED con los ajustes sugeridos por la DDDP y se envió a la Dirección de Gestión del Conocimiento. Durante </t>
    </r>
    <r>
      <rPr>
        <b/>
        <sz val="12"/>
        <rFont val="Times New Roman"/>
        <family val="1"/>
      </rPr>
      <t>agosto</t>
    </r>
    <r>
      <rPr>
        <sz val="12"/>
        <rFont val="Times New Roman"/>
        <family val="1"/>
      </rPr>
      <t xml:space="preserve">, se realizó reunión de planeación de la segunda Feria de Educación Superior proyectada para noviembre y se tuvo reunión con la encargada de transversalización la Dirección de Enfoque Diferencial -  DED, para incorporar el manual de inclusión realizado en el 2022 en la caja de herramientas de la DED. Durante </t>
    </r>
    <r>
      <rPr>
        <b/>
        <sz val="12"/>
        <rFont val="Times New Roman"/>
        <family val="1"/>
      </rPr>
      <t xml:space="preserve">septiembre </t>
    </r>
    <r>
      <rPr>
        <sz val="12"/>
        <rFont val="Times New Roman"/>
        <family val="1"/>
      </rPr>
      <t>se realizó reunión de planeación de Feria de Educación Superior con el equipo de Educación Flexible.</t>
    </r>
  </si>
  <si>
    <t xml:space="preserve">23. Promover y acompañar a las mujeres en toda su diversidad en las estrategias de educación flexible y en los procesos de vinculación a la formación complementaria (cursos cortos) a través de alianzas interinstitucionales públicas y privadas. </t>
  </si>
  <si>
    <r>
      <t xml:space="preserve">Durante febrero en alianza con el BID, se realizó reunión con el Sistema Distrital de Cuidado (SIDICU) y Casa de la Mujer, se programó la revisión del documento de sistematización Secretaría de Educación Distrital (SED) y Casa de la Mujer, en la Manzana de Cuidado de Mártires, para cuidadoras colombianas y migrantes. Se inició convocatoria en Casa de Todas para la vinculación de mujeres para Educación Flexible de la SED, con mujeres en Actividades Sexuales Pagadas (ASP). Durante marzo, se continuo proceso de Educación Flexible y se articuló con ACNUR para asistencias económicas y cursos de inglés con el SENA. Durante abril se articuló con Makaia y ACNUR, para 10 apoyos económicos mujeres (ASP). Informo sobre Feria de Empleabilidad y de emprendimiento con mujeres (ASP). Durante mayo se inició pilotaje de asistencia económica a mujeres (ASP) de las cuales 4 se gradúan de bachiller. Se siguió articulación con Atenea e invitó a Feria de Educación Superior y se inició articulación con Universidad Javeriana. Se avanzó en articulación para cursos inglés SENA. Durante junio se continuó la articulación con la Dirección de Gestión del Conocimiento (DGC)  y se envió la inscripción de 3 cursos con 119 mujeres a inglés con el SENA uno con campesinas y rurales. Asimismo, con ACNUR se evaluó las 10 asistencias Económicas con mujeres ASP en Casa de Todas. Durante julio iniciaron los tres cursos de inglés con el SENA con 119 mujeres, se participó en reunión con ACNUR, para asistencias económicas y se articuló con Atenea para invitación de Programa Jóvenes a la U y firma convenio con Makaia para el programa becas en Programación. Durante </t>
    </r>
    <r>
      <rPr>
        <b/>
        <sz val="12"/>
        <rFont val="Times New Roman"/>
        <family val="1"/>
      </rPr>
      <t>agosto</t>
    </r>
    <r>
      <rPr>
        <sz val="12"/>
        <rFont val="Times New Roman"/>
        <family val="1"/>
      </rPr>
      <t xml:space="preserve"> se realizó reunión de difusión de Becas con Makaia, ACNUR para asistencias económicas y se envío correo a la Fundación Universitaria Cafam para articulación respecto a ofrecimiento de becas. Se continuaron los cursos de inglés que viene realizando la DGC con mujeres participantes de la EEF.Durante </t>
    </r>
    <r>
      <rPr>
        <b/>
        <sz val="12"/>
        <rFont val="Times New Roman"/>
        <family val="1"/>
      </rPr>
      <t xml:space="preserve">septiembre </t>
    </r>
    <r>
      <rPr>
        <sz val="12"/>
        <rFont val="Times New Roman"/>
        <family val="1"/>
      </rPr>
      <t xml:space="preserve">se realizó acompañamiento a la caracterización realizada por ACNUR para las asistencias económicas que recibirán las 12 mujeres, se continuó la articulación con Parceros con actividades puntuales para los siguientes meses y se recibió la lista que 36 mujeres que finalizaron el curso de inglés. </t>
    </r>
  </si>
  <si>
    <t>Implementar 1 estrategia de fortalecimiento de capacidades  para el ejercicio del derecho a la participación de las mujeres</t>
  </si>
  <si>
    <t>Fortalecimiento de las capacidades de las mujeres en torno al ejercicio del derecho de la participación</t>
  </si>
  <si>
    <t>24. Realizar la implementación de la estrategia de fortalecimiento de capacidades para el ejercicio del derecho a la participación de las mujeres en el Distrito.</t>
  </si>
  <si>
    <t xml:space="preserve">Acompañar técnicamente 4 instancias de participación y representación de las mujeres  para fortalecer sus capacidades de liderazgo	</t>
  </si>
  <si>
    <t>Se han realizado el acompañamiento técnico a las cuatro instancias priorizadas  CCM, el Concejo de Bogotá, submesa de género y Consejo Distrital de Juventud</t>
  </si>
  <si>
    <t>Acompañamiento técnico para el fortalecimiento del derecho a la participación de las mujeres en las diferentes instancias priorizadas, para el posicionamiento de sus agendas.</t>
  </si>
  <si>
    <t>25. Acompañar técnica y operativamente el desarrollo de la Mesa coordinadora y el Espacio Ampliado y cuando se solicite por parte del CCM la plenaria del espacio autónomo.</t>
  </si>
  <si>
    <t>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</si>
  <si>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27. Acompañar técnicamente el desarrollo de comisiones de trabajo del Espacio Autónomo del Consejo Consultivo de Mujeres.</t>
  </si>
  <si>
    <t>28. Acompañar técnicamente la transversalización del enfoque de género en el Concejo de Bogotá, con énfasis en las bancadas de mujeres de este órgano</t>
  </si>
  <si>
    <t>29. Acompañar técnicamente, gestionar y coordinar las reuniones con la Submesa para la garantía y seguimiento de los derechos de las mujeres, diversidades, disidencias sexuales y de Género.</t>
  </si>
  <si>
    <t>30. Realizar Acompañamiento técnico al Puesto de mando Unificado (PMU) durante las movilizaciones y protesta social que se realicen y a las cuales se convoque a la SDMujer.</t>
  </si>
  <si>
    <t>31. Acompañar técnicamente a las consejeras del sector mujeres del Consejo Distrital de jóvenes</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</si>
  <si>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</si>
  <si>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</si>
  <si>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t xml:space="preserve">No se presentan retrasos.
</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</si>
  <si>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</si>
  <si>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t>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t>
  </si>
  <si>
    <r>
      <t xml:space="preserve">Entre enero y julio 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desarrollaron 14 encuentros diferenciales con mujeres que realizan ASP, raizales, indígenas, con discapacidad, gitanas, afro, palenqueras, habitantes de calle, adultas, mayores, migrantes, campesinas y rurales, jóvenes, lesbianas y bisexuales, con un total de 206 participantes, lo anterior con el objetivo de  brindar la base para la construcción de las propuesta de conmemoración. Se desarrollaron 3 conmemoraciones de: Mujeres que realizan ASP (28 mujeres), Negras/afrocolombianas (197 mujeres) y Lesbianas y Bisexuales (145 mujeres) con la participación total de 370 mujeres. Para </t>
    </r>
    <r>
      <rPr>
        <b/>
        <sz val="12"/>
        <rFont val="Times New Roman"/>
        <family val="1"/>
      </rPr>
      <t>agosto s</t>
    </r>
    <r>
      <rPr>
        <sz val="12"/>
        <rFont val="Times New Roman"/>
        <family val="1"/>
      </rPr>
      <t xml:space="preserve">e realizó 1 conmemoración: Mujeres Jóvenes en la que participaron 70 mujeres. De igual manera, se avanzó en el alistamiento de las conmemoraciones de Mujeres habitantes de calle y Mujeres cuidadoras de personas con discapacidad, y el seguimiento de la conmemoración de Mujeres sordas. Para </t>
    </r>
    <r>
      <rPr>
        <b/>
        <sz val="12"/>
        <rFont val="Times New Roman"/>
        <family val="1"/>
      </rPr>
      <t xml:space="preserve">septiembre </t>
    </r>
    <r>
      <rPr>
        <sz val="12"/>
        <rFont val="Times New Roman"/>
        <family val="1"/>
      </rPr>
      <t>se realizaron 3  conmemoraciones de mujeres Indígenas (53), cuidadadoras de personas con discapacidad (149) y mujeres sordas (61), así como el encuentro diferencial de mujeres trans (16).</t>
    </r>
  </si>
  <si>
    <t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t>
  </si>
  <si>
    <r>
      <t>Entre enero y julio se realizaron 11 reuniones en las que se definió el desarrollo de 2 jornadas de sensibilización con los equipos de Planeación de los 15  sectores de las administración distrital que permitirán la incorporación del enfoque diferencial y la visibilización de las mujeres en sus diferencias y diversidad, cuenta con la metodología aprobada para estas jornadas y se desarrollarán el</t>
    </r>
    <r>
      <rPr>
        <b/>
        <sz val="12"/>
        <rFont val="Times New Roman"/>
        <family val="1"/>
      </rPr>
      <t xml:space="preserve"> </t>
    </r>
    <r>
      <rPr>
        <sz val="12"/>
        <rFont val="Times New Roman"/>
        <family val="1"/>
      </rPr>
      <t>09 y 23 de agosto de 2023.</t>
    </r>
    <r>
      <rPr>
        <b/>
        <sz val="12"/>
        <rFont val="Times New Roman"/>
        <family val="1"/>
      </rPr>
      <t xml:space="preserve"> </t>
    </r>
    <r>
      <rPr>
        <sz val="12"/>
        <rFont val="Times New Roman"/>
        <family val="1"/>
      </rPr>
      <t xml:space="preserve"> Para </t>
    </r>
    <r>
      <rPr>
        <b/>
        <sz val="12"/>
        <rFont val="Times New Roman"/>
        <family val="1"/>
      </rPr>
      <t xml:space="preserve">agosto </t>
    </r>
    <r>
      <rPr>
        <sz val="12"/>
        <rFont val="Times New Roman"/>
        <family val="1"/>
      </rPr>
      <t xml:space="preserve">se realizó el envío del oficio de invitación a  los secretarios de los 15 sectores para delegar a servidores y servidoras de las oficinas de planeación para la participación  en las jornadas de sensibilización. El 15 de agosto se realizó reunión con las referentas de las Estrategias de la DED de la SDMujer para definir su vinculación a las sensibilizaciones y se les solicitó el envío de un documento que incorpore 5 enunciados denominados "sabías que" en el que se genere reconocimiento de los grupos poblacionales. En  este mismo sentido se definió el desarrollo de las jornadas para el día 13 y 27 de septiembre de 2023. Para </t>
    </r>
    <r>
      <rPr>
        <b/>
        <sz val="12"/>
        <rFont val="Times New Roman"/>
        <family val="1"/>
      </rPr>
      <t xml:space="preserve">septiembre </t>
    </r>
    <r>
      <rPr>
        <sz val="12"/>
        <rFont val="Times New Roman"/>
        <family val="1"/>
      </rPr>
      <t>se realizaron 2 jornadas de sensibilizaciones a los equipos de planeación de los sectores de la administración distrital, los días 13 y 27 de septiembre de 2023, con la metodología aprobada y se vinculó a la referentas de las Estrategias de la DED de la SDMujer; en estas jornadas participaron 47 funcionarios de 10 sectores.</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</si>
  <si>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</si>
  <si>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</si>
  <si>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</si>
  <si>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</si>
  <si>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</si>
  <si>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</si>
  <si>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</si>
  <si>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</si>
  <si>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</si>
  <si>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</si>
  <si>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</si>
  <si>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</si>
  <si>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</si>
  <si>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</si>
  <si>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</si>
  <si>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</si>
  <si>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</si>
  <si>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</si>
  <si>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</si>
  <si>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</si>
  <si>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</si>
  <si>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</si>
  <si>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 2023</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</si>
  <si>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</si>
  <si>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</si>
  <si>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</si>
  <si>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</si>
  <si>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</si>
  <si>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</si>
  <si>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</si>
  <si>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</si>
  <si>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</si>
  <si>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</si>
  <si>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</si>
  <si>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N/A</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</si>
  <si>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</si>
  <si>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</si>
  <si>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</si>
  <si>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</si>
  <si>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</si>
  <si>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</si>
  <si>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</si>
  <si>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r>
      <rPr>
        <sz val="11"/>
        <color rgb="FF000000"/>
        <rFont val="Times New Roman"/>
        <family val="1"/>
      </rPr>
      <t xml:space="preserve">En septiembre se trabajó la incorporación del enfoque diferencial y la visibilización de las mujeres en sus diferencias y diversidad, mediante el desarrollo de 2 jornadas de sensibilización a los equipos de planeación de 10 sectores de la administración distrital, entre estos  con 3 sectores: </t>
    </r>
    <r>
      <rPr>
        <b/>
        <sz val="11"/>
        <color rgb="FF000000"/>
        <rFont val="Times New Roman"/>
        <family val="1"/>
      </rPr>
      <t>Hábitat</t>
    </r>
    <r>
      <rPr>
        <sz val="11"/>
        <color rgb="FF000000"/>
        <rFont val="Times New Roman"/>
        <family val="1"/>
      </rPr>
      <t xml:space="preserve">, </t>
    </r>
    <r>
      <rPr>
        <b/>
        <sz val="11"/>
        <color rgb="FF000000"/>
        <rFont val="Times New Roman"/>
        <family val="1"/>
      </rPr>
      <t>Planeación</t>
    </r>
    <r>
      <rPr>
        <sz val="11"/>
        <color rgb="FF000000"/>
        <rFont val="Times New Roman"/>
        <family val="1"/>
      </rPr>
      <t xml:space="preserve"> e </t>
    </r>
    <r>
      <rPr>
        <b/>
        <sz val="11"/>
        <color rgb="FF000000"/>
        <rFont val="Times New Roman"/>
        <family val="1"/>
      </rPr>
      <t>Integración Social</t>
    </r>
    <r>
      <rPr>
        <sz val="11"/>
        <color rgb="FF000000"/>
        <rFont val="Times New Roman"/>
        <family val="1"/>
      </rPr>
      <t xml:space="preserve"> (13 y 27 de septiembre de 2023)</t>
    </r>
  </si>
  <si>
    <r>
      <t>A septiembre se ha trabajado transversalización del enfoque diferencial con 15 sectores:</t>
    </r>
    <r>
      <rPr>
        <b/>
        <sz val="11"/>
        <color indexed="8"/>
        <rFont val="Times New Roman"/>
        <family val="1"/>
      </rPr>
      <t xml:space="preserve"> 
</t>
    </r>
    <r>
      <rPr>
        <sz val="11"/>
        <color indexed="8"/>
        <rFont val="Times New Roman"/>
        <family val="1"/>
      </rPr>
      <t>Salud, Desarrollo Económico, Hacienda, Jurídica, Seguridad Convivencia y Justicia, Mujeres, Ambiente, Gestión Pública, Movilidad, Cultura, Educación, Gobierno, Hábitat, Planeación e Integración Social.</t>
    </r>
  </si>
  <si>
    <t>No presenta retrasos en esta acción</t>
  </si>
  <si>
    <t>No aplica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</si>
  <si>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</si>
  <si>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(valoraciones inciales, asesorias u orientacicones , seguimientos)</t>
  </si>
  <si>
    <t>Suma</t>
  </si>
  <si>
    <t>Atenciones</t>
  </si>
  <si>
    <t>Se cuantificarán mensualmente las atenciones sociojuridicas: valoraciones iniciales, asesorías y seguimientos.</t>
  </si>
  <si>
    <t>MENSUAL</t>
  </si>
  <si>
    <t>Reporte mensual de atenciones socio jurídicas realizadas-PMR Mensual</t>
  </si>
  <si>
    <t>Durante el mes de septiembre de 2023  se atendieron en el área jurídica 201 mujeres y se realizaron 405 atenciones desagregadas así: 98 asesorías, 290 seguimientos y 17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*13 Derechos de petición
*6 Impulsos procesales
*16 Procesos de representación
*3 Comités estudio de casos
*1 Audiencias
*1 Acción de tutela
*4 Comités interdisciplinares de estudio de caso</t>
  </si>
  <si>
    <t>Durante los meses de enero a septiembre de 2023, se atendieron en el área jurídica 645 mujeres y se realizaron 2.769 atenciones desagregadas así: 723 asesorías, 1.842 seguimientos y 204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*85 Derechos de petición
*26 Impulsos procesales
*102 Procesos de representación
*20 Comités estudio de casos
*15 Audiencias
*4 Tutela										
*4 Escritos de denuncia
*10 Comités interdisciplinares de estudio de caso</t>
  </si>
  <si>
    <t xml:space="preserve">No presenta retrasos </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</si>
  <si>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</si>
  <si>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(valoraciones inciales, asesorias, seguimientos)</t>
  </si>
  <si>
    <t>Se cuantificarán mensualmente las atenciones psicosociales: valoraciones iniciales, asesorías y seguimientos.</t>
  </si>
  <si>
    <t>Reporte mensual de atenciones psicosociales realizadas-PMR Mensual</t>
  </si>
  <si>
    <t xml:space="preserve">Durante el mes de septiembre de 2023 se atendieron 181 mujeres en el área psicosocial y se realizaron 244 atenciones desagregadas así: 42 asesorías, 189 seguimientos y 13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</si>
  <si>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 xml:space="preserve">Durante los meses de enero a septiembre de 2023 se atendieron 394 mujeres en el área psicosocial y se realizaron 1.791 atenciones desagregadas así: 328 asesorías, 1.291 seguimientos y 172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</si>
  <si>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</si>
  <si>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(valoraciones inicales intervenciones y seguimientos)</t>
  </si>
  <si>
    <t>Se cuantificarán mensualmente las atenciones en trabajo social: valoraciones iniciales, asesorías y seguimientos.</t>
  </si>
  <si>
    <t>Reporte mensual de atenciones en trabajo social realizadas-PMR Mensual</t>
  </si>
  <si>
    <t>Durante el mes de septiembre de 2023 se atendieron 295 mujeres en trabajo social y se realizaron 476 atenciones desagregadas así: 195 intervenciones, 193 seguimientos y 88 valoraciones iniciales. Durante el periodo se realizó atención presencial y telefónica. A través de la atención, en el periodo se logró dar respuesta a las siguientes necesidades específicas:
A través de la atención  se logró dar respuesta a los procesos de: 
* 6 Portabilidad.                                                                                                                                                                              
* 29 Solicitud de encuesta socioeconomica SISBEN
* 18 Afiliaciones al sistema de salud
* 29 Activación servicios de SDIS, proyecto enlace emergencia social , bono de adulto mayor y jardines
*16 Solicitud cupo DLE.                                                                             
*16 Proceso educación flexible. 
*4 Formación cursos técnicos SENA.
*20 Formación para el trabajo (Miquelina y Conviventia).
*52 Pruebas rápidas con secretaria de salud. 
*25 Fondo Nacional del Ahorro.
*8 Subsidios con Hábitat.                    
*15 Empleabilidad. 
*0 educación superior       
*13 Anticoncepción     
*5 IVE    
*2 cedulación    
*1 victimas                                                                                              
*6 traslado municipio salud.
*1 movilidad salud  
*1 movilidad escolar 
Se remitió con entidades como:  Secretaria de Salud, Fundación Miquelina, Fondo Nacional del Ahorro, Registraduría, Secretaría Desarrollo Económico, Secretaria de Educación, Secretaria Integracion Social, Secretaria de Planeación, Orientame, Secretaria de habitat, Conviventia, AHF, Agencia de empleo del SENA.                                                                                                                            "</t>
  </si>
  <si>
    <t>Durante los meses de enero a septiembre de 2023 se atendieron 1.435 mujeres en trabajo social y se realizaron 3.567 atenciones desagregadas así: 1.180 intervenciones, 2.060 seguimientos y 327 valoraciones iniciales. Durante el periodo se realizó atención presencial y telefónica. A través de la atención, en el periodo se logró dar respuesta a las siguientes necesidades específicas:
A través de la atención, se logró dar respuesta a los procesos de: 
*147 Activación servicios de SDIS
*85 Afiliaciones al sistema de salud
*60 Anticoncepción
*15 Duplicados de cédula
*8 Educacion superior
*137 Empleabilidad
*143 Fondo Nacional del Ahorro
*144 Formación para el trabajo (Miquelina y Conviventia)
*18 Formación cursos técnicos SENA
*3 Movilidad escolar
*56 Portabilidad
*168 Proceso educación flexible
*356 Pruebas rápidas con secretaria de salud
*24 Remisiones para IVE
*6 Salud Movilidad
*226 Salud sexual y reproductiva liga contra el cancer
*69 Solicitud cupo DLE
*163 Solicitud de encuesta socioeconomica SISBEN
*49 Subsidios con Habitat
*14 Traslado municipio salud
*14 Ruta de victimas conflicto armado</t>
  </si>
  <si>
    <t>No presenta retrasos</t>
  </si>
  <si>
    <t>Transversalización del enfoque de género y diferencial para mujeres</t>
  </si>
  <si>
    <t>NA</t>
  </si>
  <si>
    <t xml:space="preserve">Elaborar e implementar 3 lineamientos con enfoque de derechos de las mujeres, de género y diferencial. </t>
  </si>
  <si>
    <t xml:space="preserve">1. Número de actividades de alistamiento, seguimiento y evaluación de la asistencia técnica implementadas 
</t>
  </si>
  <si>
    <t xml:space="preserve">Suma </t>
  </si>
  <si>
    <t xml:space="preserve">Actividades
</t>
  </si>
  <si>
    <t xml:space="preserve">24 actividades de alistamiento anuales.
</t>
  </si>
  <si>
    <t xml:space="preserve">1. Evidencias de reuniones internas para alistar, planear y hacer seguimiento a la asistencia técnica
2. Documentos elaborados asociados a la asistencia técnica
</t>
  </si>
  <si>
    <t>No se presentaron retrasos en esta actividad</t>
  </si>
  <si>
    <t>2. No. de actividades de asistencia técnica para la transversalización del enfoque diferencial para mujeres implementadas.</t>
  </si>
  <si>
    <t xml:space="preserve">36 actividades de asistencia anuales </t>
  </si>
  <si>
    <t xml:space="preserve">1. Evidencias de reuniones externas para asistencia técnica
2. Informes de asistencia técnica mensuales </t>
  </si>
  <si>
    <t>Implementación de acciones afirmativas dirigidas a las mujeres con enfoque diferencial y de género en Bogotá Bogotá</t>
  </si>
  <si>
    <t>Personas con acceso a los servicios sociales del Estado con enfoque diferencial.</t>
  </si>
  <si>
    <t>Número de personas</t>
  </si>
  <si>
    <t>Mujeres atendidas en el marco del proyecto de inversión 7671</t>
  </si>
  <si>
    <t>Reporte SIMISIONAL</t>
  </si>
  <si>
    <t xml:space="preserve">En el mes de septiembre se realizaron atenciones a 740 mujeres nuevas en sus diferencias y diversidad desde la Dirección de Enfoque Diferencial.   </t>
  </si>
  <si>
    <t>Entre enero y septiembre se realizaron atenciones a 3446 mujeres nuevas en sus diferencias y diversidad desde la Dirección de Enfoque Diferencial</t>
  </si>
  <si>
    <t xml:space="preserve">Se presenta retraso en la meta.   </t>
  </si>
  <si>
    <t>Se continúa realizando búsqueda activa de las mujeres y promoviendo la participación en las acciones de las estrategias de la DED</t>
  </si>
  <si>
    <t>ELABORÓ</t>
  </si>
  <si>
    <t>Firma:</t>
  </si>
  <si>
    <t>APROBÓ (Según aplique Gerenta de proyecto, Lider técnica y responsable de proceso)</t>
  </si>
  <si>
    <t>REVISÓ OFICINA ASESORA DE PLANEACIÓN</t>
  </si>
  <si>
    <t xml:space="preserve">VoBo. </t>
  </si>
  <si>
    <t>Nombre: Mireya Leuro Vásquez</t>
  </si>
  <si>
    <t>Nombre:  Marcia Yazmin Castro Ramírez</t>
  </si>
  <si>
    <t>Nombre: Marcia Yazmin Castro Ramírez</t>
  </si>
  <si>
    <t>Nombre:</t>
  </si>
  <si>
    <t>Nombre: Sandra Catalina Campos Romero</t>
  </si>
  <si>
    <t xml:space="preserve">Cargo: Profesional Especializada Dirección de Enfoque Diferencial </t>
  </si>
  <si>
    <t xml:space="preserve">Cargo:   Directora de Enfoque Diferencial </t>
  </si>
  <si>
    <t>Cargo: Subsecretaria del Cuidado y Políticas de Igualdad ( E )</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</si>
  <si>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</si>
  <si>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</si>
  <si>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</si>
  <si>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</si>
  <si>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</si>
  <si>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</si>
  <si>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</si>
  <si>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</si>
  <si>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</si>
  <si>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</si>
  <si>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</si>
  <si>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</si>
  <si>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</si>
  <si>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</si>
  <si>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</si>
  <si>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</si>
  <si>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</si>
  <si>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</si>
  <si>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</si>
  <si>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</si>
  <si>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</si>
  <si>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</si>
  <si>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</si>
  <si>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</si>
  <si>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</si>
  <si>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</si>
  <si>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</si>
  <si>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</si>
  <si>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</si>
  <si>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</si>
  <si>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</si>
  <si>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</si>
  <si>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</si>
  <si>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</si>
  <si>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</si>
  <si>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</si>
  <si>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</si>
  <si>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</si>
  <si>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</si>
  <si>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</si>
  <si>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</si>
  <si>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</si>
  <si>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</si>
  <si>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</si>
  <si>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</si>
  <si>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</si>
  <si>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</si>
  <si>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</si>
  <si>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</si>
  <si>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</si>
  <si>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</si>
  <si>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</si>
  <si>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</si>
  <si>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</si>
  <si>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</si>
  <si>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</si>
  <si>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</si>
  <si>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</si>
  <si>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</si>
  <si>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</si>
  <si>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</si>
  <si>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</si>
  <si>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</si>
  <si>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</si>
  <si>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</si>
  <si>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</si>
  <si>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</si>
  <si>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</si>
  <si>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</si>
  <si>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</si>
  <si>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</si>
  <si>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</si>
  <si>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</si>
  <si>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</si>
  <si>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</si>
  <si>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</si>
  <si>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</si>
  <si>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</si>
  <si>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</si>
  <si>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</si>
  <si>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</si>
  <si>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</si>
  <si>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</si>
  <si>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</si>
  <si>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</si>
  <si>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</si>
  <si>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</si>
  <si>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</si>
  <si>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</si>
  <si>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</si>
  <si>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</si>
  <si>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</si>
  <si>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</si>
  <si>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</si>
  <si>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</si>
  <si>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</si>
  <si>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</si>
  <si>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</si>
  <si>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</si>
  <si>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</si>
  <si>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</si>
  <si>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</si>
  <si>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</si>
  <si>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</si>
  <si>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</si>
  <si>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</si>
  <si>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</si>
  <si>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</si>
  <si>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</si>
  <si>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</si>
  <si>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</si>
  <si>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</si>
  <si>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</si>
  <si>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</si>
  <si>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</si>
  <si>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</si>
  <si>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</si>
  <si>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</si>
  <si>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</si>
  <si>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</si>
  <si>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</si>
  <si>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</si>
  <si>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</si>
  <si>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</si>
  <si>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</si>
  <si>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</si>
  <si>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</si>
  <si>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</si>
  <si>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</si>
  <si>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</si>
  <si>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</si>
  <si>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</si>
  <si>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</si>
  <si>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</si>
  <si>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</si>
  <si>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</si>
  <si>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</si>
  <si>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</si>
  <si>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</si>
  <si>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</si>
  <si>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</si>
  <si>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</si>
  <si>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</si>
  <si>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</si>
  <si>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</si>
  <si>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</si>
  <si>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</si>
  <si>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</si>
  <si>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</si>
  <si>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</si>
  <si>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</si>
  <si>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</si>
  <si>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</si>
  <si>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</si>
  <si>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</si>
  <si>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</si>
  <si>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</si>
  <si>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</si>
  <si>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</si>
  <si>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</si>
  <si>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</si>
  <si>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</si>
  <si>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</si>
  <si>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</si>
  <si>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</si>
  <si>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</si>
  <si>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</si>
  <si>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</si>
  <si>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</si>
  <si>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</si>
  <si>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</si>
  <si>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</si>
  <si>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</si>
  <si>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</si>
  <si>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</si>
  <si>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</si>
  <si>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</si>
  <si>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</si>
  <si>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</si>
  <si>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</si>
  <si>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</si>
  <si>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</si>
  <si>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</si>
  <si>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</si>
  <si>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</si>
  <si>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</si>
  <si>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</si>
  <si>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</si>
  <si>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</si>
  <si>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</si>
  <si>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</si>
  <si>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</si>
  <si>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</si>
  <si>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</si>
  <si>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</si>
  <si>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</si>
  <si>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</si>
  <si>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</si>
  <si>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</si>
  <si>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</si>
  <si>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</si>
  <si>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</si>
  <si>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</si>
  <si>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</si>
  <si>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</si>
  <si>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</si>
  <si>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</si>
  <si>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</si>
  <si>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</si>
  <si>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</si>
  <si>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</si>
  <si>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</si>
  <si>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</si>
  <si>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</si>
  <si>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</si>
  <si>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</si>
  <si>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</si>
  <si>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</si>
  <si>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</si>
  <si>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</si>
  <si>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</si>
  <si>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</si>
  <si>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</si>
  <si>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</si>
  <si>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</si>
  <si>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</si>
  <si>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</si>
  <si>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</si>
  <si>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</si>
  <si>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</si>
  <si>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</si>
  <si>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</si>
  <si>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</si>
  <si>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</si>
  <si>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</si>
  <si>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</si>
  <si>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</si>
  <si>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</si>
  <si>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</si>
  <si>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</si>
  <si>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</si>
  <si>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</si>
  <si>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</si>
  <si>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</si>
  <si>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</si>
  <si>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</si>
  <si>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</si>
  <si>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</si>
  <si>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</si>
  <si>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</si>
  <si>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</si>
  <si>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</si>
  <si>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</si>
  <si>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</si>
  <si>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</si>
  <si>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</si>
  <si>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</si>
  <si>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</si>
  <si>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</si>
  <si>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</si>
  <si>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</si>
  <si>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</si>
  <si>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</si>
  <si>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</si>
  <si>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</si>
  <si>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</si>
  <si>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</si>
  <si>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</si>
  <si>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</si>
  <si>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</si>
  <si>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</si>
  <si>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</si>
  <si>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</si>
  <si>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</si>
  <si>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</si>
  <si>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</si>
  <si>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</si>
  <si>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</si>
  <si>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</si>
  <si>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</si>
  <si>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</si>
  <si>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</si>
  <si>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</si>
  <si>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</si>
  <si>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</si>
  <si>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No hubo retrasos.</t>
  </si>
  <si>
    <r>
      <t xml:space="preserve">De enero a agosto se elaboró propuesta metodológica para avanzar en la consolidación de la caja de herramientas y se definió un cronograma preliminar de actividades, que se remitió a la directora de Enfoque Diferencial para revisión y aprobación. Se recibió aprobación por parte de la directora y se socializó y validó con las profesionales que lideraron la elaboración de las herramientas. Se diseñó matriz para caracterizar las herramientas, se avanzó en la caracterización de 14 herramientas de las 20 identificadas inicialmente y algunas nuevas, se coordinó y avanzó en el ajuste al Manual de atención a mujeres trans y personas no binarias en el Distrito Capital y se validó la caracterización de 13 herramientas. En </t>
    </r>
    <r>
      <rPr>
        <b/>
        <sz val="12"/>
        <rFont val="Times New Roman"/>
        <family val="1"/>
      </rPr>
      <t xml:space="preserve">septiembre </t>
    </r>
    <r>
      <rPr>
        <sz val="12"/>
        <rFont val="Times New Roman"/>
        <family val="1"/>
      </rPr>
      <t xml:space="preserve">se avanzó en la caracterización de 2 herramientas: Manual para la atención sensible a mujeres con discapacidad, que cuenta con 20 páginas y caja de herramientas “Mujeres reveladas” Recomendaciones para prevenir la discriminación en los medios hacia las mujeres en sus diferencias y diversidad, que cuenta con 63 páginas y fue elaborada en el marco de la estrategia de transformación cultural que lidera la Dirección de Enfoque Diferencial. </t>
    </r>
  </si>
  <si>
    <r>
      <t xml:space="preserve">De enero a agosto se consolidó la información de las barreras de acceso a los servicios identificadas en 2022 con servidoras y usuarias en grupos focales y encuestas. Se elaboró y aprobó propuesta para la formulación, validación, implementación y seguimiento del plan de fortalecimiento en 2023. Se organizó la información de la caracterización de servicios e identificación de barreras y elaboraron 7 documentos: 1 de Conclusiones de la caracterización de servicios e identificación de barreras y 6 donde se identifican situaciones que afectan la prestación de servicios a cargo de las dependencias. Se realizaron 6 reuniones con las dependencias para socializar los documentos y la consolidación de barreras y solicitar la definición de acciones para su eliminación. Se realizaron 2 reuniones con la SFCYO para identificar las propuestas para mitigar las barreras de acceso a los servicios identificadas y una reunión con la DGC para hacer aclaraciones frente al diligenciamiento de la matriz. Se remitió correo recordado a la DSC y la DGC el envío de las matrices diligenciadas, se revisaron las matrices enviadas, se elaboró una versión preliminar del Plan de Fortalecimiento que contine las acciones propuestas por las diferentes dependencias, que fue posteriormente revisada y ajustada para elaborar la versión final del Plan de Fortalecimiento. En </t>
    </r>
    <r>
      <rPr>
        <b/>
        <sz val="12"/>
        <rFont val="Times New Roman"/>
        <family val="1"/>
      </rPr>
      <t>septiembre</t>
    </r>
    <r>
      <rPr>
        <sz val="12"/>
        <rFont val="Times New Roman"/>
        <family val="1"/>
      </rPr>
      <t xml:space="preserve"> se remitió mediante memorando a las diferentes dependencias responsables de la prestación de los servicios, la versión final del Plan de Fortalecimiento para que definan de manera clara las meta o productos, los tiempos de ejecución y las personas responsables de las acciones que propusieron para la eliminación de barreras de acceso a los servicios, así como para que designen una persona delegada que reportará el avance mensual de las acciones. </t>
    </r>
  </si>
  <si>
    <t>En el mes de septiembre se realizaron dos (2) actividades de alistamiento:
Se realzó la preparación del panel sobre mujeres en sus diferencias y diversidad, con énfasis en mujeres Raizales e Indígenas y mujeres según etapas del ciclo vital, para la sexta sesión de capacitación a personal de la Secretaría de hacienda y la Unidad Administrativa Especial de Catastro Distrital, en el marco de la asistencia técnica al Sector Hacienda (20-09-2023)
Se realzó reunión de seguimiento a la asistencia técnica con el equipo de profesionales para identificar los avances de cada sector (28-09-2023).</t>
  </si>
  <si>
    <t>A septiembre se han implementado 17 actividades de alistamiento, seguimiento y evaluación de la asistencia técnica.</t>
  </si>
  <si>
    <t>En el mes de septiembre se realizaron cinco (5) actividades de asistencia técnica:
Una (1) acción de acompañamiento con el sector Jurídica: se llevó a cabo la primera jornada informativa con enfoque diferencial sobre entidades sin ánimo de lucro - ESAL, dirigida a mujeres indígenas (28-09-2023).
Una (1) acción de formación con el sector Hacienda: se llevó a cabo la sexta jornada de capacitación con la participación de 14 servidores, servidoras y contratistas de la Secretaría de Hacienda, donde se abordó través de un panel el reconocimiento de las mujeres en sus diferencias y diversidad con énfasis en mujeres Raizales, Indígenas y mujeres según etapas del ciclo vital (26-09-2023).
Una (1) acción de formación con el sector Ambiente: taller con 19 servidoras, servidores y contratistas del Jardín Botánico sobre sobre enfoque diferencial, identidad y sistemas de discriminación (18-09-2023).
Dos (2) acción de formación con el sector Movilidad: un (1) taller con 31 personas del equipo psicosocial de la Dirección Técnica de Seguridad de Transmilenio S.A. sobre el derecho a una vida libre de violencias y herramientas para el trabajo con mujeres negras y afrocolombianas (04-09-2023). Un (1) taller con 31 personas del equipo psicosocial de la Dirección Técnica de Seguridad de Transmilenio S.A. sobre el derecho a una cultura y comunicación libre de sexismo y discriminación y herramientas para el trabajo con mujeres con discapacidad (18-09-2023).</t>
  </si>
  <si>
    <t>A septiembre se han implementado 24 actividades de asistencia técnica para la transversalización del enfoque diferencial</t>
  </si>
  <si>
    <r>
      <t>De enero a agosto se ajustó el Procedimiento de Asistencia Técnica – AT; se coordinó con DDYDP la AT con 4 sectores, se definieron las actividades de AT con los sectores y se avanzó en su implementación y seguimiento. Se adelantaron 25 acciones de transversalización del enfoque diferencial – ED (Salud 3, Mujeres 10, Desarrollo Económico 1, Hacienda 1, Seguridad 2, Gestión Pública 1, Ambiente 2, Cultura 1, Educación 3, Gobierno 1). En</t>
    </r>
    <r>
      <rPr>
        <b/>
        <sz val="12"/>
        <rFont val="Times New Roman"/>
        <family val="1"/>
      </rPr>
      <t xml:space="preserve"> septiembre </t>
    </r>
    <r>
      <rPr>
        <sz val="12"/>
        <rFont val="Times New Roman"/>
        <family val="1"/>
      </rPr>
      <t xml:space="preserve">se avanzó en la AT, así: Jurídica: una jornada informativa sobre entidades sin ánimo de lucro dirigida a mujeres indígenas; Hacienda: 6ta jornada de capacitación a personal de la Secretaría de Hacienda con panel sobre mujeres indígenas y raizales y mujeres según etapas del ciclo vital; Ambiente: taller con personal del Jardín Botánico sobre enfoque diferencial, identidad y sistemas de discriminación; Movilidad: 2 talleres con el equipo psicosocial de la Dirección Técnica de Seguridad de Transmilenio, uno sobre el derecho a una vida libre de violencias y atención a mujeres negras afrocolombianas y otro sobre el derecho a una cultura libre de sexismo y atención a mujeres con discapacidad. Se hizo alistamiento para panel de mujeres indígenas, raizales y mujeres según etapas del ciclo vital y se hizo seguimiento a la AT. Se adelantaron 4 acciones de transversalización del ED con 2 sectores: Mujeres: 2 talleres sobre orientaciones sexuales e identidades de género diversas y atención a mujeres LBT con personal de la Línea Púrpura y un taller con personal de comunicaciones sobre sistema sexo-género y atención a mujeres LBT; Movilidad: taller sobre sistema sexo-género con integrantes de la Mesa de Género de la Secretaría de Movilidad. </t>
    </r>
  </si>
  <si>
    <r>
      <t xml:space="preserve">Desde la </t>
    </r>
    <r>
      <rPr>
        <b/>
        <sz val="12"/>
        <rFont val="Times New Roman"/>
        <family val="1"/>
      </rPr>
      <t>Estrategia de empoderamiento</t>
    </r>
    <r>
      <rPr>
        <sz val="12"/>
        <rFont val="Times New Roman"/>
        <family val="1"/>
      </rPr>
      <t xml:space="preserve">,en septiembre se realizaron 4 semilleros; tres con Indígenas (112 personas) y uno con Gitanas (29 personas). Se realizaron tres jornadas significativas con estudiantes de la UNINPAHU (61 personas) y una con adolescentes que asistieron al lanzamiento de la PPPIIA (63 personas). Se realizó socialización y difusión de la estrategia de empoderamiento con profesionales de IDIPRON. Se realizó metodologías de semillero indígena y jornadas significativas con UNINPAHU y PPPIIA.
Desde la </t>
    </r>
    <r>
      <rPr>
        <b/>
        <sz val="12"/>
        <rFont val="Times New Roman"/>
        <family val="1"/>
      </rPr>
      <t>Estrategia de capacidades psicoemocionales</t>
    </r>
    <r>
      <rPr>
        <sz val="12"/>
        <rFont val="Times New Roman"/>
        <family val="1"/>
      </rPr>
      <t xml:space="preserve">, en septiembre se realizaron 6 espacios respiro, para un total de 73 participantes. Asimismo se desarrollaron 6 Espacios de Educac. Emocional: con mujeres jóvenes total de 4 participantes, con mujeres con discapacidad visual total de 25 participantes,  con mujeres lesbianas y bisexuales total de 11 participantes y 2 escuelas con mujeres en ASP total de 30 mujeres, mujeres migrantes total 21 participantes certificadas. Adicional, se realizó asistencia técnica con personas del equipo psicosocial de la SDMujer con 8 asistentes. 
Desde la </t>
    </r>
    <r>
      <rPr>
        <b/>
        <sz val="12"/>
        <rFont val="Times New Roman"/>
        <family val="1"/>
      </rPr>
      <t>Estrategia de Cuidado Menstrual</t>
    </r>
    <r>
      <rPr>
        <sz val="12"/>
        <rFont val="Times New Roman"/>
        <family val="1"/>
      </rPr>
      <t xml:space="preserve">, en septiembre se realizó la Sexta Mesa Distrital de Cuidado Menstrual en la que se llegó a acuerdos para realizar acciones interinstitucionales en octubre. Se realizó la 4 JDM en Rafael Uribe en donde se atendieron 13 personas HC y en riesgo y 1 RDM en Teusaquillo donde se abordaron 7 mujeres y se les entregó kit CM; se realizaron 4 sesiones EMAA: 2 con mujeres rurales (9 y 13 personas) y 1 con mujeres NAJ en el Castillo de las Artes (22 personas) y Fundación Servicio Juvenil Casa Bosconia (18 personas). Se realizaron 4 fortalecimientos institucionales 2 con SDSalud Centros de Escucha (28 y 10 personas) y 2 con el equipo sicosocial del IDIPRON (28 y 17personas).  </t>
    </r>
  </si>
  <si>
    <r>
      <t>En</t>
    </r>
    <r>
      <rPr>
        <b/>
        <sz val="12"/>
        <rFont val="Times New Roman"/>
        <family val="1"/>
      </rPr>
      <t xml:space="preserve"> septiembre </t>
    </r>
    <r>
      <rPr>
        <sz val="12"/>
        <rFont val="Times New Roman"/>
        <family val="1"/>
      </rPr>
      <t>se realizaron las conmemoraciones de: Mujeres indígenas con la participación de un total de 53 mujeres, de Mujeres cuidadadoras de personas con discapacidad con la participación de un total de 149 mujeres y  de Mujeres  sordas con la participación de un total de 61 mujeres. Se llevó  cabo el encuentro diferencial de mujeres trans con la participación de 16 mujeres. Asimismo, se realizaron 2 jornadas de sensibilización a los equipos de planeación de 10 sectores de la administración distrital  en las que participaron 47 funcionarias/os.</t>
    </r>
  </si>
  <si>
    <r>
      <t>Entre</t>
    </r>
    <r>
      <rPr>
        <b/>
        <sz val="12"/>
        <rFont val="Times New Roman"/>
        <family val="1"/>
      </rPr>
      <t xml:space="preserve"> enero y septiembre </t>
    </r>
    <r>
      <rPr>
        <sz val="12"/>
        <rFont val="Times New Roman"/>
        <family val="1"/>
      </rPr>
      <t>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han desarrollado 15 encuentros diferenciales con mujeres que realizan ASP, raizales, indígenas, con discapacidad, gitanas, afro, palenqueras, habitantes de calle, adultas, mayores, migrantes, campesinas y rurales, jóvenes,  lesbianas y bisexuales, y trans con un total de 222 participantes. Se han desarrollado 7 conmemoraciones: Mujeres que realizan ASP (28 mujeres), Negras/afrocolombianas (197 mujeres) y Lesbianas y Bisexuales (145 mujeres), Jóvenes (70 mujeres), Indígenas (53 mujeres), cuidadadoras de personas con discapacidad (149 mujeres) y mujeres sordas (61 mujeres) con la participación total de 703 mujeres. Con la metodología aprobada y vinculación de las referentas de las Estrategias de la DED de la SDMujer se efectuaron (2) jornadas de sensibilizaciones a los equipos de planeación de los sectores de las administración distrital, con la participación de 47 funcionarias/os de 10 sectores.</t>
    </r>
  </si>
  <si>
    <t>Actividad no programada para el mes de enero
Se realiza: Reunión previa de la Submesa para la garantía de los derechos de las mujeres, diversidades, disidencias sexuales y de género, el 08 de febrero, con el fin de revisar con la coordinadora del equipo la presentación para la primera subcomisión y la agenda a desarrollar.
Reunión extraordinaria del Decreto 053-2023, el 10 de febrero con el fin de revisar de manera técnica y logística la convocatoria de la marcha en apoyo a las reformas del Gobierno Nacional. 
Reunión extraordinaria del Decreto 053-2023, el  10 de febrero con el fin de revisar de manera técnica y logística la convocatoria de la Gran Marcha contra reformas pre dictatoriales #PararParaSalvar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Reunión previa de la Submesa para la garantía de los derechos de las mujeres, diversidades, disidencias sexuales y de género, el  21 de marzo, con el fin de revisar con la coordinadora del equipo la presentación para el balance del 08 de marzo día internacional de la Mujer 
Reunión extraordinaria del Decreto 053-2023, los días 02, 13 y 14 10 de marzo, con el fin de revisar de manera técnica y logística la convocatoria de movilización y protesta social citados para estos días. 
Reunión ordinaria del Decreto 053-2023, el 3 de marzo, con el fin de on el fin de socializar por parte de la Secretaría Distrital de Gobierno el Decreto 053 de 2023 a las entidades y organizaciones firmantes.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Se realiza reunión extraordinaria de la Submesa para la garantia de los derechos de las mujeres, diversidades, disidencias sexuales y de género el dá 11 de abril, con el fin de realizar el cronograma de trabajo del año 2023
Se realiza reunión ordinaria de la Submesa para la garantia de los derechos de las mujeres, diversidades, disidencias sexuales y de género el dá 19 de abril, con el fin de con el fin de socializar las rutas para prevenir todas las VBG por parte de las entidades firmantes del Decreto 053 de 2023.
Se realiza reunión extraordinaria del Decreto 053-2023, el día 25 de abril con el fin de verificar y unificar el estado actual de convocatorias que se tienen previstas para el 25 de abril de 2023, y el 1 de mayo con las instituciones firmantes del Decreto 053-2023.
Se realiza reunión extraoordinaria del Decreto 053-2023, el día 25 de abril con el fin de verificar y unificar el estado actual de convocatorias que se tienen previstas para el 27 de abril de 2023 con el fin de Realizar Mesa distrital de coordinación y seguimiento 28 A y 1M
Se realiza reunión ordinaria de la Submesa para la garantia de los derechos de las mujeres, diversidades, disidencias sexuales y de género el día 30 de mayo, con el fin de con el fin de socializar las rutas para prevenir todas las VBG por parte de las entidades y organizaciones de la sociedad civil firmantes del Decreto 053 de 2023.
Se realiza reunión extraordinaria del Decreto 053-2023 Marcha LGBTI Distrital, el día 18 de mayo con el fin de planificar la marcha Distrital LGBTIQ, que se llevara a cabo elproximo 2 de julio de 2023.
Se realiza reunión extraordinaria del Decreto 053-2023 Marcha LGBTI , el día 09 junio, con el fin de revisasr las acciones para la movilización de la Marcha del Sur.
Se realiza reunión extraordinaria del Decreto 053-2023 Marcha LGBTI , el día 13 junio, con el fin de realizar la coordinación y articulación para la Marcha del Sur en Bogotá.
Se realiza reunión extraordinaria del Decreto 053-2023 Marcha LGBTI , el día 22 junio, con el fin de revisasr las acciones para la marcha Distrital LGBTIQ.
Se realiza reunión ordinaria de la Submesa para la garantia de los derechos de las mujeres, diversidades, disidencias sexuales y de género el día 20 de junio, con el fin de con el fin de revisar en conjunto con las organizaciones de la sociedad civil y las entidades las movilizaciones LGBTIQ a realizarse en el mes de junio y julio.
Se realiza reunión ordinaria de la Submesa para la garantia de los derechos de las mujeres, diversidades, disidencias sexuales y de género el día 14 de julio, con el fin de con el fin de revisar en conjunto con las organizaciones de la sociedad civil y las entidades el balance de las movilizaciones LGBTIQrealizadas durante el mes junio y julio.
Se realiza reunión extraordinaria del Decreto 053de 2023 el día 08 de julio de 2023 con los y las frimantes del Decreto y como invitadas permanente a la mesa.
Se realiza reunión ordinaria de la Submesa para la garantia de los derechos de las mujeres, diversidades, disidencias sexuales y de género el día 10 de agosto, con el fin de revisar el documento de recomdaciones del 8M día de la Mujer para llevarlo a la mesa extraordinaria del Decreto 053 de 2023.
Se realiza reunión extraordinaria del Decreto 053de 2023 el día 04 de septiembre de 2023 con los y las frimantes del Decreto y como invitadas permanente a la mesa, con el fin de revisar el reglamento interno y socializar documento de recomendaciones del 8M
Se realiza reunión ordinaria de la Submesa para la garantia de los derechos de las mujeres, diversidades, disidencias sexuales y de género el día 26 de septiembre, con el fin de revisar tecnica y logisticamente la movilización del día 28S denominado aborto libre, acompañado e interseccional</t>
  </si>
  <si>
    <t>Actividad no programada para el mes de enero
Se realizó Puesto de Mando Unificado, (PMU) los días 14-15 y 24 de febrero  de manera presencial en el Centro de Comando y Computa (C4) , con motivo de las protestas y movilización social citada para estos días.
Se realizó Puesto de Mando Unificado, (PMU) de manera virtual el día 22 de febrero, a través de Google meets , con motivo de la movilización de taxistas en la ciudad de Bogotá.
Se realizó Puesto de Mando Unificado, (PMU) los días 08,16 de marzo de manera presencial en el Centro de Comando y Computa (C4) , con motivo de las protestas y movilización social citada para estos días, en especial el 08, día internacional de la Mujer 
Se realizó Puesto de Mando Unificado, (PMU) de manera virtual el día 25 de marzo, a través de Google meets , con motivo de la Asamblea Nacional Popular.
Se realizó Puesto de Mando Unificado, (PMU) virtual el día 14 de abril, con el fin de acompañar la convocatoria de movilización social por parte de la Universidad Distrital
Se realizó Puesto de Mando Unificado, (PMU) en las instalaciones del C4, con el fin de  acompañar la convocatoria de conmemoración del "Estallido social "
Se realizó Puesto de Mando Unificado, (PMU)  el día 01 de mayo, con el fin de acompañar la convocatoria de movilización social por el día del trabajo
Se realizó Puesto de Mando Unificado, (PMU)  el día 07 de junio, con el fin de acompañar la convocatoria de movilización de las marchas obreras
Se realizó Puesto de Mando Unificado, (PMU)  el día 21 de junio, con el fin de acompañar la convocatoria de movilización día del skate
Se realizó Puesto de Mando Unificado, (PMU)  el día 02 de julio, con el fin de acompañar la convocatoria de movilización Distrital LGBTIQ
Se realizó Puesto de Mando Unificado, (PMU)  el día 07 de julio, con el fin de acompañar la convocatoria de movilización YO MARCHO TRANS
No se realizó PMU para el mes de agosto. No se hizo convocatoria a PMU, esto no depende de la SDMujer, ya que si no se requiere pues no hay movilizaciones programadas, no se convoca.
Se realiza el día 28 de septiembre PMU territorial por la marcha denominada aborto libre, acompañado e interseccional</t>
  </si>
  <si>
    <r>
      <t>Actividad no programada para el mes de enero.
Para el mes de febrero se realizó presentación de la  Submesa  para la garantía y seguimiento de los derechos de las mujeres, diversidades, disidencias sexuales y de género, con nombre, objetivos, acciones, logros y resultados.
No se requirió de esta actividad para el mes de marzo.
Durante el mes de abril</t>
    </r>
    <r>
      <rPr>
        <b/>
        <sz val="12"/>
        <rFont val="Times New Roman"/>
        <family val="1"/>
      </rPr>
      <t xml:space="preserve"> </t>
    </r>
    <r>
      <rPr>
        <sz val="12"/>
        <rFont val="Times New Roman"/>
        <family val="1"/>
      </rPr>
      <t xml:space="preserve">se realizó la socialización de la caracterización realizada durante el 25 de noviembre "día de la eliminación de todo tipo de violencias a la Subsecretaría del Cuidado y Politicas de Igualdad para que revise los resultados arrojados durante el proceso.
Durante el mes de abril se realizó documento de empalme de la gestión que se realiza en la Submesa para la garantía y seguimiento de los derechos de las mujeres, diversidades, disidencias sexuales y de género, 
Durante el mes de junio se socializó la investigación del 25 de noviembre, Día Internacional de la Eliminación de la Violencia contra la Mujer que realizó la Dirección de Gestión del conocimiento en la Submesa para la garantía y seguimiento de los derechos de las mujeres, diversidades, disidencias sexuales y de género.
Durante el mes de julio se realizo reunión con la Dirección de Gestión del Conocimient el día 12 y 24 de julio, con el fin de revisar y ajustar el documento de investigación 25N-2022 junto a la Subsecretaría del Cuidado y Políticas de Igualdad.
En el mes de </t>
    </r>
    <r>
      <rPr>
        <b/>
        <sz val="12"/>
        <rFont val="Times New Roman"/>
        <family val="1"/>
      </rPr>
      <t>agosto</t>
    </r>
    <r>
      <rPr>
        <sz val="12"/>
        <rFont val="Times New Roman"/>
        <family val="1"/>
      </rPr>
      <t xml:space="preserve"> el documento de Investigación del 25N, construido en el año 2022 por parte de la Dirección de Gestión del Cococimiento, continua en proceso de revisión  por parte de la Subsecretaria del Cuidado y Políticas de Igualdad, con el fin de llevarlo a la Submesa para la garantia de los derechos de las mujeres, diversidades y disidensias del género.
En el mes de septiembre, se realiza informe trimestral de la instancia denominada Submesa para la garantía y seguimiento de los derechos de las mujeres, diversidades, disidencias sexuales y de género.</t>
    </r>
  </si>
  <si>
    <t xml:space="preserve">Actividad no programada para el mes de enero
Durante el mes de febrero se iniciaron acciones relacionadas con el acompañamiento técnico para el Consejo Distrital de Juventud para la vigencia 2023.
Se llevaron a cabo mesas de trabajo del equipo de promoción de la participación y representación de las mujeres los días 07/02/23 y 15/02/23 para generar estrategias que faciliten el proceso de acompañamiento con Consejo Distrital de Juventud.
Se llevó a cabo mesa de trabajo con profesional que referencia juventud desde la SDMujer el día 13/02/23 en donde se dio contexto del acompañamiento técnico que se brindará a la instancia durante la vigencia 2023.
Se llevó a cabo mesa de trabajo con profesional de la estrategia Bogotá 50/50 Ruta por la Paridad de la Dirección de Territorialización el 21/02/23 en donde se retomó el proceso de articulación para el desarrollo de acciones proyectas para ejecutar durante la vigencia 2023.
Se construyó texto que brinda la ruta de acción para el acompañamiento técnico del Consejo Distrital de Juventud.
Durante el mes de marzo continuaron las acciones relacionadas con el acompañamiento técnico para el Consejo Distrital de Juventud para la vigencia 2023.
Se llevó a cabo mesa de trabajo con profesional de la Secretaría Distrital de Gobierno, quien acompaña técnicamente al Consejo Distrital de Juventud el día 16/03/23 en donde se socializó el proceso de acompañamiento técnico que se brindará a la instancia durante la vigencia 2023, aperturando la articulación con la instancia de participación distrital.
Durante el mes de mayo se mantuvo contacto continuo con profesional de la Secretaría Distrital de Gobierno, encargada del acompañamiento técnico al Consejo Distrtal de Juventud, quien informo sobre el avance en el proceso de posesión de consejos y consejeras, fortaleciendo así la articulación para lograr el acompañamiento técnico que se brindará a la instancia durante la vigencia 2023, por solicitud de ella se realizó PPT con las dos propuestas estratégicas de acompañamiento para la instancia de participación distrital, se envío correo electrónico con la finalidad de acelerar el proceso de articulación con el Consejo Distrital de Juventud desde la SDMujer.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Durante el mes de abril se mantuvo contacto continuo con profesional de la Secretaría Distrital de Gobierno, encargada del acompañamiento técnico al Consejo Distrtal de Juventud, quien informo sobre el avance del proceso de elección y posesión de consejos y consejeras, fortaleciendo así el proceso de articulación para lograr el acompañamiento técnico que se brindará a la instancia durante la vigencia 2023, por solicitud de ella se realizó PPT con las dos propuestas estratégicas de acompañamiento para la instancia de participación distrital. 
Durante el mes de junio se mantuvo contacto con profesional de la Secretaría Distrital de Gobierno, encargada del acompañamiento técnico al Consejo Distrtal de Juventud a través de correos electrónicos, quién informo que se tiene presupuestado que la instancia de participación distrital atienda la oferta institucional entre el 2 y el 15 de julio de 2023 en alguna de sus sesiones extraordinarias, ya que vienen adelantando otros procesos prioritarios como la elección de la Mesa Directiva que permite la distribución y organización en términos de su funcionamiento.
Durante el mes de julio se mantuvo contacto con profesional de la Secretaría Distrital de Gobierno, encargada del acompañamiento técnico al Consejo Distrtal de Juventud a través de correos electrónicos, quién inicialmente informó que el 29/07/2023 se llevaría a cabo la mesa de trabajo con la instancia de participación para presentar la propuesta de acompañamiento, sin embargo el espacio fue cancelado y se tiene presupuestado que sea reprogramado durante el mes de agosto en alguna de las sesiones extraordinarias del Consejo Distrital de Juventud.
Durante el mes de agosto se mantuvo contacto con profesional de la Secretaría Distrital de Gobierno, encargada del acompañamiento técnico al Consejo Distrtal de Juventud a través de correos electrónicos, se participó la sesión del Consejo Distrital de Juventud el día 26/08/2023 en donde se socializó la propuesta de acompañamiento técnico desde la SDMujer, posterior se envío correo electrónico con los compromisos de la sesión.
Se llevó a cabo mesa de trabajo el 18/08/2023 en donde se trabajó en la preparacion de la propuesta de acompañamiento para el Consejo Distrital Juventud, se elaboró PPT para socializar en la sesión con la instancia de participación distrital.
En el mes de septiembre, se realizó mesa de trabajo con la vicepresidenta y dos consejeras interesadas en temas de mujer y género del Consejo Distrital de Juventud el día 25/09/2023 en donde se socializó la propuesta de acompañamiento técnico desde la SDMujer, se acordó someter a votación la fecha para desarrollar la primera sesión del módulo "Hablemos de Paridad", por lo que se continua manteniendo contacto telefónico y por correo electrónico con la vicepresidenta de la instancia de participación para adelantar gestiones. </t>
  </si>
  <si>
    <t>Actividad no programada para el mes de enero, en febrero se retomaron acciones relacionadas con el acompañamiento técnico para el CTPD, se envía correo electrónico a las tres consejeras territoriales informando el inicio de acciones para la vigencia 2023. Se llevó a cabo mesa de trabajo con el nuevo profesional encargado de la coordinación de la secretaría técnica de la instancias por parte de la Secretaría Distrital de Planeación  el día 07/02/2023 en donde se dio contexto de las acciones proyectada para la vigencia 2023. Se llevó a cabo mesa de trabajo con profesional de la estrategia Bogotá 50/50 Ruta por la Paridad de la Dirección de Territorialización el día 21/02/23 en donde se retomó el proceso de articulación para el desarrollo de acciones proyectas para ejecutar durante la vigencia 2023. Se llevó a cabo mesa de trabajo con la consejera Aura Abril el día 08/02/2023 en donde se da a conocer como avanza su ejercicio de representación como consejera consultiva ante el CTPD. Se tramitó solicitud del Consejo Territorial de Planeación Distrital relacionada con la delegación de la consejera por el CCM para el CTPD, se dio respuesta a través de oficio 1-2023-001297 del 10/02/23 y se copió a la Secretaría Distrital de Planeación con oficio 1-2023-001296 del 10/02/23. Se tramitó solicitud de la consejera Alexandra Useche relacionada con la grabación de la sesión de delegación de la consejera por el CCM para el CTPD, se dio respuesta a través de oficio con radicado 1-2023-001798 del 22/02/23. Se compartió a través de correo electrónico el documento de Caja de Herramientas a la consejera territorial Sandra Mazo, para que este sea socializado en sesión de plenaria del CTPD. 
Durante el mes de marzo se retomaron acciones relacionadas con el acompañamiento técnico para el CTPD.
Se llevó a cabo mesa de trabajo presencial con las consejeras electas por el sector mujer para el CTPD el día 06/03/2023 en donde se realizó el respectivo seguimiento para retomar acciones proyectadas para la vigencia 2023. Se llevó a cabo mesa de trabajo del equipo de promoción de la participación el día 13/03/2023 para elaborar el acta de la pasada sesión de trabajo con las tres consejeras electas por el sector mujer. Se compartió a través de correo electrónico a las tres consejeras territoriales el acta de la sesión del pasado 06/03/2023 con el link de la página web de la SDMujer, en donde está cargado el documento de Caja de Herramientas para que este sea socializado en sesión de plenaria del CTPD. Se solicitó a través de correo electrónico a profesional que realiza acompañamiento al CTPD desde la Secretaría Distrital de Planeación el acta y grabación de la sesión donde se socializó en la instancia el proyecto de acuerdo del Sistema Distrital de Cuidado. 
Durante el mes de abril se retomaron acciones relacionadas con el acompañamiento técnico para el CTPD.
Se llevaron a cabo mesas de trabajo con las consejeras electas por el sector mujer para el CTPD los días 18/04/2023 y 27/04/2023 en donde se realizó el respectivo seguimiento para retomar acciones proyectadas para la vigencia 2023 como la socialización de la Caja de Herramientas, la socialización y firma del Pacto por la Paridad y el plan de acción del Lineamiento del CTPD.
Se llevó a cabo mesa de trabajo del equipo de promoción de la participación el día 18/04/2023 para revisar el plan de acción propuesto en el Lineamiento del CTPD.
Se llevó a cabo mesa con profesional de la estrategia de emprendimiento y empleabilidad el día 28/04/2023 para revisar el portafolio de oferta institucional relacionada con la garantía del derecho a la educación, para dar respuesta al plan de acción del Lineamiento del CTPD.
Se solicitó a través de correo electrónico la consecución de una mesa de trabajo para retomar acciones de articulación con la Estrategia Clínica Lidera Par de la Dirección de Territorialización de Derechos.
Se llevó a cabo mesa de trabajo el día 09/05/2023, con la Subsecretaria del Cuidado y Políticas de Igualdad y profesional del área jurídica en donde se trabajó en la alerta generada por la situación que se viene presentando en el relacionamiento entre las consejeras electas por el sector mujeres para el CTPD, se generaron alternativas de solución desde el quehacer institucional.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Se llevó a cabo mesa de trabajo con profesional de la Dirección de Diseño de Política encargada de liderar el Derecho a la Educación el 02/05/2023, en donde se revisó la oferta institucional para la garantía de este derecho, buscando dar respuesta al plan de acción propuesto en el documento de Lineamientos del CTPD.
Se llevó a cabo mesa de trabajo con profesional encargada de liderar el convenio Sena desde la Subsecretaría del Cuidado y Políticas de Igualdad el 29 /05/2023, en donde se revisó el portafolio del convenio para procurar el proceso de articulación dando respuesta al plan de acción propuesto en el documento de Lineamientos  del CTPD.
Se realizó PPT sobre la Caja de Herramientas pedagógicas para la socialización con el CTPD.
Se envío vía correo electrónico a las consejeras por el sector mujeres para el CTPD información sobre el proyecto C40.
Se llevó a cabo mesa de trabajo con profesional de la Secretaría Distrital de Planeación, el día 02/06/23 en donde se planteó la alerta que se viene presentando entre las consejeras electas por el sector mujeres para el CTPD, lo que ha dificultado el proceso de acompañamiento técnico desde la SDMujer para la instancia de participación distrital. 
Se llevaron a cabo mesas de trabajo con la Dirección de Gestión del Conocimiento el 07/06/23 y con la Dirección del Sistema de Cuidado el 22/06/23 donde se revisó la la oferta institucional relacionada con procesos de formación para socializar con el CTPD.
En el marco del plan de acción propuesto en el documento de Lineamientos para la transversalización de los enfoques de derechos de las mujeres, de género y diferencial se llevó a cabo mesa de trabajo con la coordinación del equipo el 28/06/23 en donde se revisó la proyección del correo electrónico, posteriormente se envío con información al CTPD relacionada con la oferta institucional sobre procesos de formación y cualificación, además se compartieron las convocatorias para la cuarta Feria de Educación Superior, el evento Women Deliver Américas 2023 liderado por la SDMujer y la capacitación sobre la Plataforma Colibrí de la Veeduría Distrital.
Se elaboró oficio dirigido a la Dirección de Participación y Comunicación para la Planeación de la Secretaría Distrital de Planeación en donde se solicita de manera formal información relacionada con los periodos de delegación de las consejeras electas por el sector mujeres para el CTPD, también se elaboró oficio de respuesta dirigido a consejera electa por el sector mujeres para el CTPD, por medio del cual se da respuesta a su requerimiento y se deja trazabilidad del proceso con los vistos buenos del equipo de la Subsecretaría del Cuidado y Políticas de Igualdad. Los dos documentos pasaron por la cadena de revisión del equipo profesional de la SCPI hasta tener la aprobación de la subsecretaria. 
Se llevó a cabo mesa de trabajo con las tres consejeras electas por el sector mujeres para el CTPD el día 10/07/2023, en donde se realizó seguimiento a los acuerdos frente al acompañamiento técnico para la instancia de participación teniendo en cuenta la fecha de la vigencia, dandole fuerza a la socialización de la Caja de Herramentas y la firma del Pacto por la Paridad, se renovaron los acuerdos para lo que resta de la vigencia.
Se envío correo electrónico al CTPD y las tres consejeras electas por el sector mujeres con la invitación a la capacitación de la plataforma SECOP II, la cual se desarrollará en articulación con Colombia Compra Eficiente el próximo 09/07/2023 y está dirigida a la ciudadanía en general.
Se presentó alerta a partir del acompañamiento técnico al CTPD, se realizó PPT teniendo en cuenta las dificultades que se han venido presentando en el desarrollo de la asistencia técnica en el CTPD a partir del conflicto interpersonal entre las tres consejeras electas por el sector mujeres, la Subsecretaría del Cuidado y Políticas de Igualdad presentó la alerta a la Oficina de Control Interno de la SDMujer.
Se elaboró el informe de gestión trimestral de acompañamiento técnico al CTPD para el periodo de abril-mayo-junio de 2023 y se apoyó en la elaboración del informe semestral de la Estrategia de Fortalecimiento de Capacidades, informando el avance a partir del acompañamiento técnico al CTPD.
Se llevó a cabo mesa de trabajo con las tres consejeras electas por el sector mujeres para el CTPD el día 17/08/23, se realizó seguimiento a los acuerdos frente al acompañamiento técnico para la instancia de participación, dandole fuerza a la socialización de la Caja de Herramentas y la firma del Pacto por la Paridad.
Se llevaron a cabo mesas de trabajo el 08/08/2023 para acordas detalles del espacio de fortalecimiento para las consejeras del CTPD y el 31/08/23 para preparar la intervención de la plenaria del CTPD. 
Se partició en el foro organizado por la Comisión de Participación del CTPD llevado a cabo el 26/08/2023, se participó en la plenaria del CTPD en donde se socializó la Caja de Herramentas y llegaron a acuerdos para la firma del Pacto por la Paridad.
Se envío correo electrónico al CTPD y las tres consejeras electas por el sector mujeres con la invitación a la capacitación de la plataforma SECOP II, la cual se llevó a cabo el 09/07/2023.
Se enviaron correos electrónicos a la instancia de participación con los compromisos por parte de la SDMujer.
Se elaboró PPT sobre la Caja de Herramientas y se ajustó el documento del Pacto por la Paridad.
En el mes de septiembre se participó del evento de firma del Pacto por la Paridad del CTPD el día 14/09/23 en las instalaciones de la SDPlaneación.
Se llevaron a cabo mesas de trabajo el 07/09/2023 para ajustar los bullets para la firma del Pacto por la Paridad, el 11/09/2023 para revisar los comentarios de la OAJ sobre el documento del Pacto por la Paridad y el 25/09/2023 para proyectar el plan de acción del Pacto por la Paridad. 
Se realizó recorrido por la CIOM Kennedy el 29/09/2023 para preparar la jornada de fortalecimiento de las mujeres del CTPD.
Se envío correo electrónico al CTPD, las tres consejeras electas por el sector mujeres y la SDPlaneación con la entrega oficial de la Caja de Herramientas Pedagógicas y el documento del Pacto por la Paridad.
Se ajustó el documento del Pacto por la Paridad teniendo en cuenta las indicaciones de la abogada de la SCPI y la OAJ.</t>
  </si>
  <si>
    <t xml:space="preserve">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El 22 de febrero se llevó a cabo la Mesa Coordinadora en la cual se presentaron las propuestas de modificación a tres artículos del Decreto 364 de 2021, de igual manera se socializo el ejercicio de incidencia realizado por el CCM sobre el proyecto de Acuerdo del Sistema Distrital de Cuidado. 
El 22 de febrero se acompaño  la sesión del Espacio Autónomo, en la cual se inició con la revisión y definición del Plan de Acción vigencia 2023 del CCM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El 29 de marzo se acompaño  la sesión del Espacio Autónomo,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el mes de abril por parte del CCM, se solicitó la reprogramación de la sesión de la Mesa Coordinadora para el 2 de mayo de 2023, ya que para el 26 de abril las consejeras consultivas fueron invitadas al encuentro de defensores y defensoras de Derechos Humanos.La SCPI realizó  todos los preparativos técnicos y logísticos para la mesa coordinadora y el espacio autonomo.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De igual manera, en esta fecha se llevó la sesión del Espacio Autónomo, en la cual las consejeras consultivas avanzaron en la definición de los lineamientos y plan de acción de las comisiones internas del CCM.
El 31 de mayo se llevó  a cabo la Mesa Coordinadora del Consejo Consultivo de Mujeres, se abordaron temas relacionados con violencias basadas en género y fortalecimiento de la CIOM, así mismo se realizó la sesión del Espacio Autónomo, en la cual las consejeras consultivas realizaron el seguimiento a las delegaciones que tienen ante otras instancias de participación del Distrito Capital. 
El 15 de mayo se apoyó en el desarollo de la reunión extraordinaria del Espacio Autónomo, la cual tuvo como objetivo identificar las acciones a seguir para la construcción de la agenda de las mujeres. 
Durante el mes de mayo, se inició con la prepración del Espacio Ampliado, para lo cual se elaboraron los bullets para la intervención de la Alcaldesa Mayor y la Secretaria Distrital de la Mujer, así como el guion y minuto a minuto de la sesión. 
El 7 de junio, se llevó a cabo la primera sesión ordinaria del Consejo Consultivo de Mujeres - Espacio Ampliado, el cual presidido por la Alcaldesa Mayor y en la que participaron los 15 sectores de la Administración Distrital. En esta sesión las consejeras consultivas abordaron temas relacionados con: seguimiento a compromisos de la vigencia 2022, estrategia de transversalización, Planes de Desarrollo Distrital y Local y violencias basadas en género. 
El 28 de junio se llevó a cabo la Mesa Coordinadora del Consejo Consultivo de Mujeres, se abordaron temas relacionados con la actualización del Acuerdo 526 de 2013 de los Consejos Locales de Seguridad para las Mujeres, seguimiento al plan de acción del CCM y la socialización de los criterios de viabilidad y elegibilidad del Sector Mujeres. De igual manera, en esta fecha se llevó  a cabo la sesión del Espacio Autónomo, en la cual se continúo con la revisión de los lineamientos de trabajo de las comisiones de la instancias. 
El 26 de julio se llevó a cabo la Mesa Coordinadora del Consejo Consultivo de Mujeres, se abordaron temas relacionados con la presentación del primer reporte de seguimiento a las solicitudes del Espacio Ampliado y se socializó por parte del CCM la metodología definida para la actualización de la Agenda Distrital de las Mujeres. De igual manera, en esta fecha se llevó  a cabo la sesión del Espacio Autónomo, en la cual se continúo definiendo las actividades a realizar para la actualización de la Agenda Distrital. 
El 30 de agosto se llevó a cabo la Mesa Coordinadora y el Espacio Autónomo del Consejo Consultivo de Mujeres con el objetivo de revisar los avances en la actualización de la Agenda Distrital de las Mujeres y definir de manera preliminar la metodología para el desarrollo del Encuentro Distrital de Mujeres programado para el 14 de septiembre en Casa de Todas. 
El 14 de septiembre, se apoyó técnica y logísticamente al CCM,en el desarrollo del Encuentro Distrital de Mujeres liderado por el Espacio Autónomo de la instancia, en el cual las consejeras consultivas presentaron las propuestas para la actualización de la Agenda Distrital, con el objetivo de realizar un ejercicio de priorización por parte de las asistentes, por cada uno de los ocho derechos de la PPMyEG y el Sistema Distrital de Cuidado, y recoger aportes nuevos.
Durante este mes, la plenaria del CCM decidió no realizar la sesión de la Mesa Coordinadora, y solamente llevar a cabo el día 27 de septiembre la sesión del Espacio Autónomo, con el objetivo de continuar avanzando en la Actualización de la Agenda Distrital, y definir las acciones de incidencia y posicionamiento de la misma. Esta sesión fue acompañada por la Secretaría Técnica del CCM. </t>
  </si>
  <si>
    <t xml:space="preserve">Durante el mes de enero no se programaron mesas de trabajo con los sectores de la Administración Distrital, teniendo en cuenta que el CCM se encuentra en la etapa de definición y elaboración del plan de acción de la instancia, correspondiente a la vigencia 2023. 
Los días 7 y 27 de febrero se realizaron reuniones internas para hacer seguimiento y revisar la información reportada por las Alcaldías Locales, en el marco del seguimiento al Pacto de Corresponsabilidad suscrito entre el CCM y los alcaldes y alcaldesas locales, con el objetivo de sistematizar la información para el análisis posterior de las consejeras consultivas. 
El 10 de marzo se llevó  a cabo una reunión inicial con la Secretaría Distrital de Planeación, con el objetivo de conocer la propuesta de encuentro con el CCM para socializar los avances en la formulación de las Unidades de Planeamiento Local y del Plan Maestro del Cuidado y Servicios Sociales
El 11 de abril se llevó  a cabo una reunión con la Secretaría Distrital de Planeación, sesión en la cual se le presentó al CCM una propuesta de articulación para revisar y trabajar conjuntmente con la instancia, los instrumentos por medio de los cuales se reglamenta el POT
El 14 de abril, se llevó  a cabo una reunión con la Dirección de Derechos y Diseño de Política con el objetivo de presentarle nuevamente  al CCM la propuesta de asistencia técnica en el marco de la PPMYEG y los derechos priorizados en el CONPES 14. 
El 8 de mayo se llevó a cabo una reunión con la Secretaría Distrital de Planeación y la Comisión POT del CCM, con el objetivo de revisar el Plan Maestro del Cuidado y Servicios Sociales y recoger aportes de las consejeras consultivas.
El 12 de mayo se llevó a cabo una reunión con la Dirección de Derechos y Diseño de Política, la cual tuvo como objetivo presentar el CONPES 14, su plan de acción e implementación durante la vigencia 2022
El 25 de mayo se llevó a cabo una reunión con la Secretaría Distrital de Planeación y la Comisión POT del CCM, con el objetivo de revisar el Sistema de Participación Territorial del POT y recoger aportes de las consejeras consultivas. 
El 22 de junio se llevó a abo una reunión con la Secretaría Distrital de Gobierno y el CCM, la cual tuvo como objetivo presentar el proceso actual de Presupuestos Participativos. 
El 14 de junio se llevó a cabo una reunión interna del equipo de la Subsecretaría del Cuidado y Políticas de Igualdad, con el objetivo de revisar las acciones a seguir para solicitar a las Alcaldías Locales el reporte de seguimiento del Pacto de Corresponsabilidad por los Derechos de las Mujeres suscrito con el CCM, con corte enero a junio de 2023
El 18 de julio se llevó a cabo una mesa de trabajo con el Escuela Lidera Par y el CCM, con el objetivo de conocer la metodología definida para la elaboración de las agendas de las mujeres a nivel local, y definir la articulación con el CCM.
El 25 de julio se llevó a cabo una reunión interna del equipo de la Subsecretaría del Cuidado y Políticas de Igualdad, con el objetivo de sistematizar la información remitida por  las Alcaldías Locales frente al seguimiento del Pacto de Corresponsabilidad por los Derechos de las Mujeres suscrito con el CCM, con corte enero a junio de 2023
El 16 de agosto se llevó  a cabo una reunión con la Dirección de Territorialización y la articulación del Consejo Consultivo de Mujeres, para hacer seguimiento a los compromisos relacionados con el diligenciamiento de las matrices locales solicitadas por la instancia, para recoger los aportes proyectados a la Agenda Distrital. 
El 23 de agosto se llevó a cabo una reunión con el equipo de comunicaciones de la SDMujer, para definir los apoyos requeridos en términos de información: solicitud de piezas para diviulgar el formulario elaborado por el Consejo Consultivo de Mujeres y el Encuentro Distrital del 14 de septiembre. Así mismo se acordaron los requerimientos necesarios para la elaboración de la plantilla de la Agenda Distrital de Mujeres.
El equipo de la Subsecretaría del Cuidado y Políticas de Igualdad, actualizó la información reportada por las Alcaldías Locales frente al seguimiento al Pacto de Corresponsabilidad con corte al 22 de agosto de 2023. 
El día 5 de septiembre, se llevó a cabo una reunión con el CCM,  la Dirección de Territorialización y el Equipo de la Escuela Lidera Par, con el objetivo de definir el apoyo y el acompañamiento técnico para fortalecer los conocimientos de las consejeras consultivas frente a la comunicación estratégica. </t>
  </si>
  <si>
    <t xml:space="preserve">En el marco de las comisiones del CCM, se conformó la comisión dinamizadora para articular y liderar lo relacionado con el proyecto de acuerdo del Sistema Distrital de Cuidado, y la cual llevó a cabo una mesa técnica el 30 de enero con los concejales y las concejalas que manifestaron su intereses de incidir y articular con el CCM para la presentación del proyecto de acuerdo en mención. 
El 27 de febrero se llevó a cabo una reunión con la comisión del CCM conformada para revisar y ajustar el reglamento interno de la instancia. 
En el marco de las comisiones del CCM, el 14 de marzo se llevó  a cabo una sesión extraordinaria convocada por el Espacio Autónomo, para finalizar la revisión y elaboración del plan de acción del CCM vigencia 2023
El 17 de abril, se acompañó el desarrollo de la reunión extraordinaria del CCM - Espacio Autónomo, en la cual se revisó como se encontraba la conformación de las comisiones de la instancia a la fecha, y se definieron las acciones a seguir para iniciar la elaboración de plan de acción de cada una de ellas.
El 10 de mayo se apoyó en el desarrollo de la reunión realizada por la Comisión POT del CCM, para continuar con la elaboración y lineamientos del plan de acción de la comisión. 
El 16 de mayo se apoyó en el desarrollo de la reunión realizada por la Comisión de Ética del CCM, para continuar con la elaboración y lineamientos del plan de acción de la comisión. 
Los dias 1 y 27 de junio, se apoyó en el desarrollo de la reunión de la Comisión de Ética, con el propósito de revisar los lineamientos de trabajo de esta comisión y los objetivos sobre los cuales funcionará la misma. 
El 7 de julio, se llevó a cabo una reunión con la Comisión Territorial, con el objetivo de revisar las acciones a realizar por parte de las consejeras consultivas, para el seguimiento al Pacto de Corresponsabilidad suscrito con los Alcaldes y Alcaldesas Locales, a partir de la información solicitada y remitida a las consejeras consultivas por parte de la SDMujer a las Alcaldías Locales.
El  24 de julio, se llevó a cabo una reunión con la Comisión de Ética y la abogada de la Subsecretaría del Cuidado y Políticas de Igualdad, con el objetivo de resolver dudas y brindar aclaraciones jurídicas frente a los lineamientos y Código de Ética  definidos por esta comisión. 
Los días 14, 18 y 28 de agosto se realizaron reuniones convocadas por el Espacio Autónomo del Consejo Consultivo de Mujeres, con el objetivo de revisar los avances en la actualización de la Agenda Distrital y definir las acciones a seguir. 
Los días 7, 8 y 11 de septiembre, se llevó a cabo con la Comisión de Comunicaciones las sesiones téorico prácticas sobre Comunicación Estratégica, realizadas por la Escuela Lidera Par de la Dirección de Territorialización. 
El día 18 de septiembre se llevó  a cabo una reunión con la Comisión de Ética, con el objetivo de avanzar con las actividades definidas por las consejeras consltivas que hacen parte de esta comisión. </t>
  </si>
  <si>
    <t>Actividad no programada para el mes de enero
En febrero se llevó a cabo mesa de trabajo virtual del equipo de promoción de la participación y representación de las mujeres de la Subsecretaría del Cuidado y Políticas de Igualdad el 17 de febrero de 2023, en donde se revisó la plataforma IFOS y se establecieron acuerdos. Se llevó a cabo mesa de trabajo virtual del equipo de promoción de la participación y representación de las mujeres de la Subsecretaría del Cuidado y Políticas de Igualdad el 21 de febrero
de 2023, en donde se realizó la verificación de las organizaciones sociales de las instancias de participación en la plataforma IFOS. Se llevó a cabo mesa de trabajo virtual del equipo de promoción de la participación y representación de las mujeres de la Subsecretaría del Cuidado y Políticas de Igualdad el 27 de febrero de 2023, en donde se informó sobre el proceso de verificación de las organizaciones sociales de las instancias de participación en la plataforma IFOS y se establecieron acuerdos de trabajo.
El 30 de marzo se llevó  a cabo una reunión con el IDPAC con el objetivo de resolver dudas sobre la Plataforma IFOS, herramienta que se utilizará para la caracterización de las organizaciones de mujeres. 
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De igual manera, durante este mes se brindó asistencia técnica a las instancias que acompaña la Subsecretaría del Cuidado y Políticas de Igualdad:
- CCM: Yudy Stephany Álvarez Poveda - Contrato 320 de 2023 y Mayra Alejandra Palacios Guacheta - Contrato 145 de 2023
- CTPD: Mónica Patricia Hoyos Robayo - Contrato 467 de 2023
- Submesa de Género: María Constanza López Mejía - Contrato 468 de 2023
El 15 de junio se realizó una reunión interna del equipo de la Subsecretaría del Cuidado y Políticas de Igualdad, con el objetivo de diseñar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Durante el mes de julio, se realizó la convocatoria al CCM, al CTPD, Submesa de Género, COLMYG y organizaciones de mujeres en general, para la socialización de la Plataforma SECOP II, programada para el 9 de agosto. 
El día 9 de agosto se realizó  la socialización de la Plataforma SECOP II  por parte de Colombia Compra Eficiente,  a la que asistieron integrantes del  CCM,  CTPD, Submesa de Género, COLMYG, organizaciones de mujeres y equipos de la SDMujer.
Durante el mes de agosto se realizó solicitud al operador logísitico para el desarrollo de la Submesa de Género programada el día 10 de agosto, así como también se realizó la solicitud para  la Mesa Coordinadora y Espacio Autónomo del CCM programada el día 30 de agosto, garantizando los requerimientos de alimentación durante estas jornadas. 
Durante el mes de septiembre se realizó solicitud al operador logísitico para el desarrollo de la Submesa de Género programada el día 26 de septiembre, así como también se realizó la solicitud para realizar el Encuentro Distrital de Mujeres del CCM programado el día 14 de septiembre y la sesión ordinaria del Espacio Autónomo del CCM  programada el día 27 de septiembre, garantizando los requerimientos de alimentación durante estas jornadas.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</si>
  <si>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 xml:space="preserve">El día 6 de septiembre se llevó  a cabo una reunión con el Equipo de Corresponsabilidad, de la Subsecretaría del Cuidado y Políticas de Igualdad, en la que se definió la estrcutura del informe del cuatrienio, con el objetivo de presentar la información del acompañamiento realizado al CCM, el CTPD, la Submesa de Género y el Consejo Distrital de Juventud durante las vigencias 2020-2023
Durante este mes, se inició con la elaboración de este informe, presentando los avances hasta de las vigencias 2020 - 2022. </t>
  </si>
  <si>
    <r>
      <t>En</t>
    </r>
    <r>
      <rPr>
        <b/>
        <sz val="12"/>
        <rFont val="Times New Roman"/>
        <family val="1"/>
      </rPr>
      <t xml:space="preserve"> septiembre</t>
    </r>
    <r>
      <rPr>
        <sz val="12"/>
        <rFont val="Times New Roman"/>
        <family val="1"/>
      </rPr>
      <t xml:space="preserve"> se avanzó en la implementación de las acciones de asistencia – AT con los 4 sectores (Hacienda, Jurídica, Ambiente y Movilidad). Se preparó panel sobre mujeres diversas para la sexta sesión de capacitación con Sector Hacienda y se hizo seguimiento a la AT con el equipo de profesionales. Se realizaron 4 acciones de transversalización del enfoque diferencial: 3 con Mujeres y 1 con Movilidad. Se caracterizaron 2 herramientas. Se envió mediante memorando a las distintas dependencias de la SDMujer, la versión final del Plan de Fortalecimiento para que definan las metas, tiempos y responsables de cada una de las acciones propuestas para la eliminación de barreras de acceso a los servicios. 
 Para el mes de septiembre se realizó el acompañamiento técnico al CTPD y la Submesa de género.</t>
    </r>
  </si>
  <si>
    <r>
      <rPr>
        <b/>
        <sz val="12"/>
        <rFont val="Times New Roman"/>
        <family val="1"/>
      </rPr>
      <t>Entre enero y septiembre</t>
    </r>
    <r>
      <rPr>
        <sz val="12"/>
        <rFont val="Times New Roman"/>
        <family val="1"/>
      </rPr>
      <t xml:space="preserve"> se actualizó el procedimiento de asistencia técnica (AT) y sus formatos; se coordinó la AT a sectores Movilidad, Hacienda, Jurídica y Ambiente, con DDYDP; se avanzó en definir actividades de AT con los 4 sectores y avanzó en su implementación. Se consolidaron los cronogramas de AT del primer y segundo semestre. Se hizo seguimiento a la AT y dieron lineamientos a las profesionales. Se realizaron 29 acciones de transversalización del ED: Sector Salud 3, Desarrollo Económico 1, Hacienda 1, Seguridad, Convivencia y Justicia 2, Gestión Pública 1, Cultura 1, Educación 3, Ambiente 2, Gobierno 1, Movilidad 1 y Mujeres 13. Se aprobó propuesta para consolidar la caja de herramientas; se diseñó matriz para caracterizar las herramientas y se caracterizaron 16; se validó caracterización de 13 herramientas y avanzó en ajuste de 1 herramienta. Se finalizó consolidación de información de barreras de acceso a los servicios; se elaboró y aprobó con ajustes propuesta para avanzar en formulación, validación, implementación y seguimiento al plan de fortalecimiento en 2023; se elaboraron 7 documentos: 1 con conclusiones de la caracterización de servicios e identificación de barreras y 6 donde se identifican situaciones que afectan la prestación de servicios a cargo de la SFCYO, DEVAJ, DGC, DTDYP, DSC y DED. Se realizaron 6 reuniones para socializar la consolidación de barreras y definir acciones para su eliminación (SFCYO, DEVAJ, DGC, DSC, DTDYP y DED), se remitió matriz consolidada y documentos; y 2 reuniones para apoyar la identificación de acciones para eliminar las barreras de acceso (SFCYO y DGC). Se consolidaron las matrices diligenciadas y enviadas por las dependencias, se formuló propuesta preliminar del Pan de Fortalecimiento, que se revisó y ajustó generando la propuesta final. Se remitió mediante memorando propuesta final de Plan de Fortalecimiento a las dependencias para que definan metas, tiempos y responsables de cada acción propuesta.
Avances  en la implementación del lineamiento de corresponsabilidad y de transversalización de enfoques en el CTPD y en la submesa de género. Se firmo el pacto de paridad con el CTPD, con la verificación de la SDMujer y la Secretaría de Planeación.</t>
    </r>
  </si>
  <si>
    <t>Se cuenta con nueva versión ajustada y publicada del procedimiento “Asistencia técnica a los Sectores de la Administración Distrital y las localidades para la transversalización del enfoque diferencial” y sus formatos. Se cuenta con 4 cronogramas de asistencia técnica para el primer semestre del año y 4 para el segundo (Hacienda, Jurídica, Ambiente y Movilidad). Se ha llegado con acciones de información y sensibilización en enfoque diferencial a personal de 8 entidades (Secretaría de Hacienda, Secretaría Jurídica, Catastro Distrital, Instituto de Protección y Bienestar Animal, Instituto Distrital de Gestión del Riesgo y Cambio climático, Jardín Botánico, La Rolita - Operadora Distrital de Transporte y Transmilenio). Se cuenta con propuesta para avanzar en la consolidación de la caja de herramientas aprobada por la directora de Enfoque Diferencial y validada por equipo de profesionales, así como con matriz de caracterización de herramientas validada, 14 herramientas caracterizadas, 13 caracterizaciones de herramientas validadas y ajustes a una herramienta. Se cuenta con propuesta de formulación, validación, implementación y seguimiento al plan de fortalecimiento interno para el 2023 aprobada, así como con matriz consolidada de barreras de acceso a los servicios socializada y 7 documentos elaborados: 1 con conclusiones de la caracterización de servicios e identificación de barreras de acceso y 6 donde se identifican situaciones que afectan la prestación de los servicios que brinda la SDMujer. Se cuenta con matrices con propuestas para eliminar las barreras de acceso a los servicios de 6 dependencias, una matriz consolidada con todas las propuestas y una propuesta final del Plan de Fortalecimiento que está en revisión, complementación y aprobación por parte de las directivas. 
Acompañamiento técnico para el fortalecimiento del derecho a la participación de las mujeres en las diferentes instancias priorizadas, para el posicionamento de sus agendas</t>
  </si>
  <si>
    <t>Se realiza fortalecimiento a instancias, especificamente con el CCM . Para este mes construcción de la agenda de Mujeres</t>
  </si>
  <si>
    <t xml:space="preserve">Avances en propuesta de fortalecimiento al CCM. Pendiente de aprobar plan de acción de fortalecimiento por proyecto de adición al contrato.  </t>
  </si>
  <si>
    <t>No se presentaron retrasos</t>
  </si>
  <si>
    <t xml:space="preserve">No se presentaron retrasos </t>
  </si>
  <si>
    <t>Se realizó la sesión ordinaria del Espacio Autónomo del mes de septiembre de 2023. Se realizó acompañamiento técnico a la submesa de género, y al PMU convocado. Se realizaron mesas de trabajo con algunos consejeros de Juventudsesión con el Consejo Distrital de juventud</t>
  </si>
  <si>
    <t xml:space="preserve">Durante el mes de enero del 2023 se asistió a una reunión con la Comisión Legal para la Equidad de la Mujer en donde el CCM socializó el proyecto y recibió comentarios por parte de los y las concejalas. Posteriormente se apoyó la radicación del proyecto en el Concejo de Bogotá. 
Durante el mes de febrero del 2023, se acompañó la sesión de Gobierno en donde la Comisión Legal Para la Equidad de la Mujer aprobó su reglamento. También se asistió a la mesa de trabajo convocada por el Concejal Celio Nieves en donde se aclararon inquietudes respecto a la Ruta única de atención a violencias basadas en género. De otro lado, se acompañaron diferentes espacios con el fin de asesorar técnicamente el desarrollo del proyecto de acuerdo 151 del 2023 que busca institucionalizar el sistema de cuidado: se acompañó la reunión de las Consejeras Consultivas de Mujeres y la reunión del Mecanismo de Participación del Sistema de Cuidado. 
Durante el mes de marzo, se acompañaron los debates en el Concejo de Bogotá en donde se discutió el proyecto de acuerdo que busca institucionalizar el Sistema Distrital del Cuidado. Se aprobó el proyecto en los dos debates por unanimidad y se sancionó por la Alcaldesa Mayor. De otro lado, se acompañó el foro del 8 de marzo en el Concejo en donde se escucharon a diferentes expertas en género. También se preparó la reunión con el equipo de la Concejala Luz Marina Gordillo en donde se socializó el avance de la implementación del Sistema Violeta. 
Durante el mes de abril se asistió a las mesas técnicas en donde se discutió el proyecto de acuerdo 208 del 2023 sobre vendedores informales, el resultado de estas reuniones fue la incorporación del enfoque de género en el articulado. Adicionalmente se organizó una charla con una organización de mujeres de Ciudad Bolivar, solicitada por la concejal Maria Fernanda Rojas en donde se socializó la normativa vigente sobre derechos de las mujeres y el sistema distrital del cuidado.
 Durante el mes de mayo se asistió a la reunión con el equipo del sello de igualdad para coordinar su implementación en el Concejo de Bogotá. También se asistió a una mesa de trabajo con la Presidenta de la Comisión Legal de la Mujer para socializar ideas para un proyecto sobre el acoso callejero. 
Durante el mes de junio se apoyó el evento Women Deliver al que fueron invitados todos y todas las Concejalas y la Comisión Legal de la Mujer del Congreso. Además se solicitó el acompañamiento técnico para la reunión convocada por la Concejal Maria Fernanda Rojas con una organización de pacientes de fibromalgia con el objetivo de identificar oportunidades para aplicar el enfoque de género en la asistencia que les brinda el distrito. También se hizo seguimiento al acompañamiento ténico a la reunión convocada por la Concejal Heidy Sánchez sobre Actividades Sexuales Pagadas. 
Durante el mes de julio se socializó con la Comisión Legal para la equidad de la mujer y el comité de género del Concejo el sello de la igualdad con el objetivo de que se transversalice el enfoque de género en la corporación. Las asistentes manifestaron su interés y sus propuestas para la implementación. Así mismo se realizó una reunión con la comisión legal para la equidad de la mujer en donde se socializaron los comentarios al proyecto de acuerdo sobre violencia política que se encuentra en construcción en la comisión. De otro lado, se realizó una reunión con el equipo de la Concejal Heidy Sánchez en donde se expusieron las acciones de SDMujer en cuanto a la garantía de derechos de las mujeres que ejercen ASP. 
Durante el mes de agosto se asistió a la reunión convocada por la HC Maria Victoria Vargas en el Concejo de Bogotá en donde se expuso ante los ciudadanos de la localidad de Antonio Nariño todos los servicios disponibles de la SDMujer en dicha localidad. 
Durante el mes de septiembre la Dirección de Derechos y Diseño de Políticas avanzó en la elaboración del diagnóstico del Concejo de Bogotá en el marco del Sello de Igualdad, con el acompañamiento de la profesional de la SCPI que apoya en el Concejo de Bogotá. Dicho documento aún se encuentra en construcción por parte de dicha dirección: Se diligenció la lista de comprobación y se hizo una visita al Concejo en donde se recorrieron sus instalaciones.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</si>
</sst>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
    <numFmt numFmtId="181" formatCode="0.00000"/>
  </numFmts>
  <fonts count="7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b/>
      <sz val="9"/>
      <color indexed="81"/>
      <name val="Tahoma"/>
      <family val="2"/>
    </font>
    <font>
      <sz val="9"/>
      <color indexed="81"/>
      <name val="Tahoma"/>
      <family val="2"/>
    </font>
    <font>
      <sz val="8"/>
      <name val="Times New Roman"/>
      <family val="1"/>
    </font>
    <font>
      <b/>
      <sz val="8"/>
      <name val="Times New Roman"/>
      <family val="1"/>
    </font>
    <font>
      <sz val="7"/>
      <name val="Times New Roman"/>
      <family val="1"/>
    </font>
    <font>
      <b/>
      <sz val="11"/>
      <color indexed="81"/>
      <name val="Tahoma"/>
      <family val="2"/>
    </font>
    <font>
      <sz val="11"/>
      <color indexed="81"/>
      <name val="Tahoma"/>
      <family val="2"/>
    </font>
    <font>
      <b/>
      <sz val="14"/>
      <name val="Times New Roman"/>
      <family val="1"/>
    </font>
    <font>
      <b/>
      <sz val="14"/>
      <color indexed="8"/>
      <name val="Times New Roman"/>
      <family val="1"/>
    </font>
    <font>
      <sz val="14"/>
      <color indexed="8"/>
      <name val="Times New Roman"/>
      <family val="1"/>
    </font>
    <font>
      <b/>
      <sz val="15"/>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theme="1"/>
      <name val="Times New Roman"/>
      <family val="1"/>
    </font>
    <font>
      <b/>
      <sz val="10"/>
      <color theme="1"/>
      <name val="Times New Roman"/>
      <family val="1"/>
    </font>
    <font>
      <sz val="14"/>
      <color theme="1"/>
      <name val="Times New Roman"/>
      <family val="1"/>
    </font>
    <font>
      <b/>
      <sz val="12"/>
      <color theme="1"/>
      <name val="Times New Roman"/>
      <family val="1"/>
    </font>
    <font>
      <b/>
      <sz val="11"/>
      <color theme="0" tint="-0.34998626667073579"/>
      <name val="Times New Roman"/>
      <family val="1"/>
    </font>
    <font>
      <b/>
      <sz val="15"/>
      <color theme="1"/>
      <name val="Times New Roman"/>
      <family val="1"/>
    </font>
    <font>
      <b/>
      <sz val="14"/>
      <color theme="1"/>
      <name val="Times New Roman"/>
      <family val="1"/>
    </font>
    <font>
      <sz val="12"/>
      <name val="Times New Roman"/>
      <family val="1"/>
    </font>
    <font>
      <b/>
      <sz val="12"/>
      <color indexed="10"/>
      <name val="Times New Roman"/>
      <family val="1"/>
    </font>
    <font>
      <b/>
      <sz val="12"/>
      <color theme="0" tint="-0.34998626667073579"/>
      <name val="Calibri"/>
      <family val="2"/>
      <scheme val="minor"/>
    </font>
    <font>
      <b/>
      <sz val="12"/>
      <color theme="1"/>
      <name val="Calibri"/>
      <family val="2"/>
      <scheme val="minor"/>
    </font>
    <font>
      <sz val="12"/>
      <color theme="1"/>
      <name val="Calibri"/>
      <family val="2"/>
      <scheme val="minor"/>
    </font>
    <font>
      <b/>
      <i/>
      <sz val="12"/>
      <name val="Times New Roman"/>
      <family val="1"/>
    </font>
    <font>
      <sz val="12"/>
      <color theme="1"/>
      <name val="Times New Roman"/>
      <family val="1"/>
    </font>
    <font>
      <sz val="12"/>
      <color rgb="FFFF0000"/>
      <name val="Times New Roman"/>
      <family val="1"/>
    </font>
    <font>
      <b/>
      <sz val="12"/>
      <color indexed="8"/>
      <name val="Calibri"/>
      <family val="2"/>
      <scheme val="minor"/>
    </font>
    <font>
      <sz val="12"/>
      <name val="Calibri"/>
      <family val="2"/>
      <scheme val="minor"/>
    </font>
    <font>
      <sz val="12"/>
      <color rgb="FF000000"/>
      <name val="Times New Roman"/>
      <family val="1"/>
    </font>
    <font>
      <b/>
      <sz val="12"/>
      <color rgb="FF000000"/>
      <name val="Times New Roman"/>
      <family val="1"/>
    </font>
    <font>
      <sz val="11"/>
      <color rgb="FF000000"/>
      <name val="Times New Roman"/>
      <family val="1"/>
    </font>
    <font>
      <sz val="8"/>
      <name val="Calibri"/>
      <family val="2"/>
      <scheme val="minor"/>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79646"/>
        <bgColor rgb="FFF79646"/>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rgb="FF000000"/>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right/>
      <top style="thin">
        <color rgb="FF000000"/>
      </top>
      <bottom/>
      <diagonal/>
    </border>
    <border>
      <left/>
      <right style="thin">
        <color auto="1"/>
      </right>
      <top style="medium">
        <color auto="1"/>
      </top>
      <bottom/>
      <diagonal/>
    </border>
  </borders>
  <cellStyleXfs count="37">
    <xf numFmtId="0" fontId="0" fillId="0" borderId="0"/>
    <xf numFmtId="0" fontId="31" fillId="3" borderId="72" applyNumberFormat="0" applyAlignment="0" applyProtection="0"/>
    <xf numFmtId="49" fontId="33" fillId="0" borderId="0" applyFill="0" applyBorder="0" applyProtection="0">
      <alignment horizontal="left" vertical="center"/>
    </xf>
    <xf numFmtId="0" fontId="34" fillId="4" borderId="73" applyNumberFormat="0" applyFont="0" applyFill="0" applyAlignment="0"/>
    <xf numFmtId="0" fontId="34" fillId="4" borderId="74" applyNumberFormat="0" applyFont="0" applyFill="0" applyAlignment="0"/>
    <xf numFmtId="0" fontId="36" fillId="5" borderId="0" applyNumberFormat="0" applyProtection="0">
      <alignment horizontal="left" wrapText="1" indent="4"/>
    </xf>
    <xf numFmtId="0" fontId="37" fillId="5" borderId="0" applyNumberFormat="0" applyProtection="0">
      <alignment horizontal="left" wrapText="1" indent="4"/>
    </xf>
    <xf numFmtId="0" fontId="35" fillId="6" borderId="0" applyNumberFormat="0" applyBorder="0" applyAlignment="0" applyProtection="0"/>
    <xf numFmtId="16" fontId="38" fillId="0" borderId="0" applyFont="0" applyFill="0" applyBorder="0" applyAlignment="0">
      <alignment horizontal="left"/>
    </xf>
    <xf numFmtId="0" fontId="39" fillId="7" borderId="0" applyNumberFormat="0" applyBorder="0" applyProtection="0">
      <alignment horizontal="center" vertical="center"/>
    </xf>
    <xf numFmtId="169" fontId="31" fillId="0" borderId="0" applyFont="0" applyFill="0" applyBorder="0" applyAlignment="0" applyProtection="0"/>
    <xf numFmtId="168"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169" fontId="5"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164" fontId="31" fillId="0" borderId="0" applyFont="0" applyFill="0" applyBorder="0" applyAlignment="0" applyProtection="0"/>
    <xf numFmtId="171" fontId="2" fillId="0" borderId="0" applyFont="0" applyFill="0" applyBorder="0" applyAlignment="0" applyProtection="0"/>
    <xf numFmtId="170" fontId="31" fillId="0" borderId="0" applyFont="0" applyFill="0" applyBorder="0" applyAlignment="0" applyProtection="0"/>
    <xf numFmtId="164" fontId="1" fillId="0" borderId="0" applyFont="0" applyFill="0" applyBorder="0" applyAlignment="0" applyProtection="0"/>
    <xf numFmtId="165" fontId="34" fillId="0" borderId="0" applyFont="0" applyFill="0" applyBorder="0" applyAlignment="0" applyProtection="0"/>
    <xf numFmtId="0" fontId="40" fillId="8" borderId="0" applyNumberFormat="0" applyBorder="0" applyAlignment="0" applyProtection="0"/>
    <xf numFmtId="0" fontId="2" fillId="0" borderId="0"/>
    <xf numFmtId="0" fontId="2" fillId="0" borderId="0"/>
    <xf numFmtId="0" fontId="34" fillId="0" borderId="0"/>
    <xf numFmtId="0" fontId="6" fillId="0" borderId="0"/>
    <xf numFmtId="0" fontId="5" fillId="0" borderId="0"/>
    <xf numFmtId="0" fontId="2" fillId="0" borderId="0"/>
    <xf numFmtId="9" fontId="3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7" fillId="0" borderId="0" applyFill="0" applyBorder="0">
      <alignment wrapText="1"/>
    </xf>
    <xf numFmtId="0" fontId="32" fillId="0" borderId="0"/>
    <xf numFmtId="0" fontId="41" fillId="5" borderId="0" applyNumberFormat="0" applyBorder="0" applyProtection="0">
      <alignment horizontal="left" indent="1"/>
    </xf>
  </cellStyleXfs>
  <cellXfs count="1047">
    <xf numFmtId="0" fontId="0" fillId="0" borderId="0" xfId="0"/>
    <xf numFmtId="9" fontId="4" fillId="9" borderId="1" xfId="31" applyFont="1" applyFill="1" applyBorder="1" applyAlignment="1" applyProtection="1">
      <alignment horizontal="center" vertical="center" wrapText="1"/>
      <protection locked="0"/>
    </xf>
    <xf numFmtId="9" fontId="3" fillId="0" borderId="2" xfId="25" applyNumberFormat="1" applyFont="1" applyBorder="1" applyAlignment="1">
      <alignment horizontal="center" vertical="center" wrapText="1"/>
    </xf>
    <xf numFmtId="176" fontId="31" fillId="0" borderId="0" xfId="1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1" applyFont="1" applyFill="1" applyBorder="1" applyAlignment="1" applyProtection="1">
      <alignment horizontal="center" vertical="center" wrapText="1"/>
      <protection locked="0"/>
    </xf>
    <xf numFmtId="9" fontId="3" fillId="10" borderId="2" xfId="25"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1" applyFont="1" applyFill="1" applyBorder="1" applyAlignment="1" applyProtection="1">
      <alignment horizontal="center" vertical="center" wrapText="1"/>
      <protection locked="0"/>
    </xf>
    <xf numFmtId="9" fontId="3" fillId="12" borderId="2" xfId="25"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1" applyFont="1" applyFill="1" applyBorder="1" applyAlignment="1" applyProtection="1">
      <alignment horizontal="center" vertical="center" wrapText="1"/>
      <protection locked="0"/>
    </xf>
    <xf numFmtId="9" fontId="3" fillId="10" borderId="9" xfId="25" applyNumberFormat="1" applyFont="1" applyFill="1" applyBorder="1" applyAlignment="1">
      <alignment horizontal="center" vertical="center" wrapText="1"/>
    </xf>
    <xf numFmtId="9" fontId="3" fillId="12" borderId="8" xfId="25"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2" fillId="0" borderId="0" xfId="31" applyFont="1" applyBorder="1" applyAlignment="1">
      <alignment horizontal="center" vertical="center"/>
    </xf>
    <xf numFmtId="0" fontId="0" fillId="0" borderId="0" xfId="0" applyAlignment="1">
      <alignment vertical="center"/>
    </xf>
    <xf numFmtId="0" fontId="12" fillId="19" borderId="75" xfId="25" applyFont="1" applyFill="1" applyBorder="1" applyAlignment="1">
      <alignment vertical="center" wrapText="1"/>
    </xf>
    <xf numFmtId="0" fontId="12" fillId="19" borderId="76" xfId="25" applyFont="1" applyFill="1" applyBorder="1" applyAlignment="1">
      <alignment vertical="center" wrapText="1"/>
    </xf>
    <xf numFmtId="0" fontId="12" fillId="19" borderId="77" xfId="25" applyFont="1" applyFill="1" applyBorder="1" applyAlignment="1">
      <alignment vertical="center" wrapText="1"/>
    </xf>
    <xf numFmtId="0" fontId="12" fillId="19" borderId="0" xfId="25" applyFont="1" applyFill="1" applyAlignment="1">
      <alignment vertical="center" wrapText="1"/>
    </xf>
    <xf numFmtId="0" fontId="14" fillId="19" borderId="0" xfId="25" applyFont="1" applyFill="1" applyAlignment="1">
      <alignment vertical="center" wrapText="1"/>
    </xf>
    <xf numFmtId="0" fontId="12" fillId="19" borderId="11" xfId="25" applyFont="1" applyFill="1" applyBorder="1" applyAlignment="1">
      <alignment vertical="center" wrapText="1"/>
    </xf>
    <xf numFmtId="0" fontId="11" fillId="19" borderId="11" xfId="25" applyFont="1" applyFill="1" applyBorder="1" applyAlignment="1">
      <alignment vertical="center" wrapText="1"/>
    </xf>
    <xf numFmtId="0" fontId="11" fillId="19" borderId="12" xfId="25" applyFont="1" applyFill="1" applyBorder="1" applyAlignment="1">
      <alignment vertical="center" wrapText="1"/>
    </xf>
    <xf numFmtId="0" fontId="12" fillId="19" borderId="13" xfId="25" applyFont="1" applyFill="1" applyBorder="1" applyAlignment="1">
      <alignment vertical="center" wrapText="1"/>
    </xf>
    <xf numFmtId="0" fontId="11" fillId="19" borderId="0" xfId="25" applyFont="1" applyFill="1" applyAlignment="1">
      <alignment vertical="center" wrapText="1"/>
    </xf>
    <xf numFmtId="0" fontId="11" fillId="19" borderId="14" xfId="25"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19" borderId="13" xfId="25" applyFont="1" applyFill="1" applyBorder="1" applyAlignment="1">
      <alignment horizontal="center" vertical="center" wrapText="1"/>
    </xf>
    <xf numFmtId="0" fontId="12" fillId="19" borderId="81" xfId="25" applyFont="1" applyFill="1" applyBorder="1" applyAlignment="1">
      <alignment horizontal="center" vertical="center" wrapText="1"/>
    </xf>
    <xf numFmtId="0" fontId="15" fillId="19" borderId="0" xfId="25" applyFont="1" applyFill="1" applyAlignment="1">
      <alignment horizontal="center" vertical="center" wrapText="1"/>
    </xf>
    <xf numFmtId="0" fontId="12" fillId="19" borderId="0" xfId="25" applyFont="1" applyFill="1" applyAlignment="1">
      <alignment horizontal="center" vertical="center" wrapText="1"/>
    </xf>
    <xf numFmtId="0" fontId="15" fillId="0" borderId="0" xfId="25" applyFont="1" applyAlignment="1">
      <alignment horizontal="center" vertical="center" wrapText="1"/>
    </xf>
    <xf numFmtId="0" fontId="0" fillId="0" borderId="0" xfId="0" applyAlignment="1">
      <alignment horizontal="center" vertical="center" wrapText="1"/>
    </xf>
    <xf numFmtId="0" fontId="11" fillId="19" borderId="15" xfId="25" applyFont="1" applyFill="1" applyBorder="1" applyAlignment="1">
      <alignment vertical="center" wrapText="1"/>
    </xf>
    <xf numFmtId="0" fontId="11" fillId="19" borderId="16" xfId="25" applyFont="1" applyFill="1" applyBorder="1" applyAlignment="1">
      <alignment vertical="center" wrapText="1"/>
    </xf>
    <xf numFmtId="9" fontId="12" fillId="0" borderId="17" xfId="31" applyFont="1" applyFill="1" applyBorder="1" applyAlignment="1" applyProtection="1">
      <alignment horizontal="center" vertical="center" wrapText="1"/>
    </xf>
    <xf numFmtId="0" fontId="16" fillId="2" borderId="0" xfId="25" applyFont="1" applyFill="1" applyAlignment="1">
      <alignment vertical="center" wrapText="1"/>
    </xf>
    <xf numFmtId="0" fontId="43" fillId="19" borderId="13" xfId="0" applyFont="1" applyFill="1" applyBorder="1" applyAlignment="1">
      <alignment vertical="center"/>
    </xf>
    <xf numFmtId="0" fontId="43" fillId="19" borderId="0" xfId="0" applyFont="1" applyFill="1" applyAlignment="1">
      <alignment vertical="center"/>
    </xf>
    <xf numFmtId="0" fontId="43" fillId="19" borderId="14" xfId="0" applyFont="1" applyFill="1" applyBorder="1" applyAlignment="1">
      <alignment vertical="center"/>
    </xf>
    <xf numFmtId="0" fontId="12" fillId="19" borderId="0" xfId="25" applyFont="1" applyFill="1" applyAlignment="1">
      <alignment horizontal="left" vertical="center" wrapText="1"/>
    </xf>
    <xf numFmtId="0" fontId="0" fillId="19" borderId="0" xfId="0" applyFill="1" applyAlignment="1">
      <alignment vertical="center"/>
    </xf>
    <xf numFmtId="0" fontId="11" fillId="19" borderId="13" xfId="25"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5"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31" fillId="0" borderId="0" xfId="18" applyFont="1" applyAlignment="1">
      <alignment vertical="center"/>
    </xf>
    <xf numFmtId="0" fontId="12" fillId="20" borderId="1" xfId="25" applyFont="1" applyFill="1" applyBorder="1" applyAlignment="1">
      <alignment horizontal="center" vertical="center" wrapText="1"/>
    </xf>
    <xf numFmtId="0" fontId="12" fillId="0" borderId="10" xfId="25" applyFont="1" applyBorder="1" applyAlignment="1">
      <alignment horizontal="center" vertical="center" wrapText="1"/>
    </xf>
    <xf numFmtId="0" fontId="12" fillId="0" borderId="4" xfId="25" applyFont="1" applyBorder="1" applyAlignment="1">
      <alignment horizontal="left" vertical="center" wrapText="1"/>
    </xf>
    <xf numFmtId="0" fontId="12" fillId="9" borderId="19" xfId="25" applyFont="1" applyFill="1" applyBorder="1" applyAlignment="1">
      <alignment horizontal="left" vertical="center" wrapText="1"/>
    </xf>
    <xf numFmtId="9" fontId="44" fillId="9" borderId="19" xfId="33" applyFont="1" applyFill="1" applyBorder="1" applyAlignment="1" applyProtection="1">
      <alignment vertical="center" wrapText="1"/>
    </xf>
    <xf numFmtId="174" fontId="12" fillId="9" borderId="19" xfId="31" applyNumberFormat="1" applyFont="1" applyFill="1" applyBorder="1" applyAlignment="1" applyProtection="1">
      <alignment vertical="center" wrapText="1"/>
    </xf>
    <xf numFmtId="166" fontId="42" fillId="0" borderId="0" xfId="18" applyFont="1" applyAlignment="1">
      <alignment vertical="center"/>
    </xf>
    <xf numFmtId="9" fontId="11" fillId="0" borderId="4" xfId="32" applyFont="1" applyFill="1" applyBorder="1" applyAlignment="1" applyProtection="1">
      <alignment horizontal="center" vertical="center" wrapText="1"/>
      <protection locked="0"/>
    </xf>
    <xf numFmtId="9" fontId="12" fillId="0" borderId="20" xfId="25" applyNumberFormat="1" applyFont="1" applyBorder="1" applyAlignment="1">
      <alignment horizontal="center" vertical="center" wrapText="1"/>
    </xf>
    <xf numFmtId="9" fontId="12" fillId="0" borderId="0" xfId="25" applyNumberFormat="1" applyFont="1" applyAlignment="1">
      <alignment vertical="center" wrapText="1"/>
    </xf>
    <xf numFmtId="0" fontId="42" fillId="0" borderId="0" xfId="0" applyFont="1" applyAlignment="1">
      <alignment vertical="center"/>
    </xf>
    <xf numFmtId="0" fontId="12" fillId="9" borderId="1" xfId="25" applyFont="1" applyFill="1" applyBorder="1" applyAlignment="1">
      <alignment horizontal="left" vertical="center" wrapText="1"/>
    </xf>
    <xf numFmtId="9" fontId="11" fillId="9" borderId="1" xfId="31" applyFont="1" applyFill="1" applyBorder="1" applyAlignment="1" applyProtection="1">
      <alignment horizontal="center" vertical="center" wrapText="1"/>
      <protection locked="0"/>
    </xf>
    <xf numFmtId="9" fontId="12" fillId="0" borderId="2" xfId="25" applyNumberFormat="1" applyFont="1" applyBorder="1" applyAlignment="1">
      <alignment horizontal="center" vertical="center" wrapText="1"/>
    </xf>
    <xf numFmtId="0" fontId="12" fillId="0" borderId="1" xfId="25" applyFont="1" applyBorder="1" applyAlignment="1">
      <alignment horizontal="left" vertical="center" wrapText="1"/>
    </xf>
    <xf numFmtId="9" fontId="11" fillId="0" borderId="1" xfId="32" applyFont="1" applyFill="1" applyBorder="1" applyAlignment="1" applyProtection="1">
      <alignment horizontal="center" vertical="center" wrapText="1"/>
      <protection locked="0"/>
    </xf>
    <xf numFmtId="9" fontId="11" fillId="9" borderId="2" xfId="31" applyFont="1" applyFill="1" applyBorder="1" applyAlignment="1" applyProtection="1">
      <alignment horizontal="center" vertical="center" wrapText="1"/>
      <protection locked="0"/>
    </xf>
    <xf numFmtId="9" fontId="11" fillId="9" borderId="19" xfId="31" applyFont="1" applyFill="1" applyBorder="1" applyAlignment="1" applyProtection="1">
      <alignment horizontal="center" vertical="center" wrapText="1"/>
      <protection locked="0"/>
    </xf>
    <xf numFmtId="9" fontId="11" fillId="9" borderId="21" xfId="31" applyFont="1" applyFill="1" applyBorder="1" applyAlignment="1" applyProtection="1">
      <alignment horizontal="center" vertical="center" wrapText="1"/>
      <protection locked="0"/>
    </xf>
    <xf numFmtId="9" fontId="12" fillId="0" borderId="21" xfId="25" applyNumberFormat="1" applyFont="1" applyBorder="1" applyAlignment="1">
      <alignment horizontal="center" vertical="center" wrapText="1"/>
    </xf>
    <xf numFmtId="0" fontId="43" fillId="0" borderId="0" xfId="0" applyFont="1" applyAlignment="1">
      <alignment vertical="center"/>
    </xf>
    <xf numFmtId="0" fontId="43" fillId="0" borderId="1" xfId="0" applyFont="1" applyBorder="1" applyAlignment="1">
      <alignment horizontal="center" vertical="center" wrapText="1"/>
    </xf>
    <xf numFmtId="0" fontId="43" fillId="0" borderId="1" xfId="0" applyFont="1" applyBorder="1" applyAlignment="1">
      <alignment vertical="center"/>
    </xf>
    <xf numFmtId="0" fontId="43" fillId="0" borderId="1" xfId="0" applyFont="1" applyBorder="1" applyAlignment="1">
      <alignment horizontal="center" vertical="center"/>
    </xf>
    <xf numFmtId="0" fontId="45" fillId="9" borderId="1" xfId="0" applyFont="1" applyFill="1" applyBorder="1" applyAlignment="1">
      <alignment horizontal="center" vertical="center"/>
    </xf>
    <xf numFmtId="0" fontId="43" fillId="0" borderId="0" xfId="0" applyFont="1" applyAlignment="1">
      <alignment horizontal="center" vertical="center"/>
    </xf>
    <xf numFmtId="0" fontId="46" fillId="0" borderId="1" xfId="0" applyFont="1" applyBorder="1" applyAlignment="1">
      <alignment vertical="center"/>
    </xf>
    <xf numFmtId="0" fontId="45" fillId="9" borderId="1" xfId="0" applyFont="1" applyFill="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41" fontId="43" fillId="0" borderId="1" xfId="12" applyFont="1" applyFill="1" applyBorder="1" applyAlignment="1">
      <alignment vertical="center"/>
    </xf>
    <xf numFmtId="0" fontId="46" fillId="0" borderId="0" xfId="0" applyFont="1" applyAlignment="1">
      <alignment vertical="center"/>
    </xf>
    <xf numFmtId="0" fontId="47" fillId="0" borderId="0" xfId="0" applyFont="1" applyAlignment="1">
      <alignment horizontal="left" vertical="center"/>
    </xf>
    <xf numFmtId="0" fontId="47" fillId="9" borderId="1" xfId="0" applyFont="1" applyFill="1" applyBorder="1" applyAlignment="1">
      <alignment vertical="center"/>
    </xf>
    <xf numFmtId="41" fontId="43" fillId="0" borderId="2" xfId="12" applyFont="1" applyFill="1" applyBorder="1" applyAlignment="1">
      <alignment vertical="center"/>
    </xf>
    <xf numFmtId="49" fontId="43" fillId="0" borderId="2" xfId="12" applyNumberFormat="1" applyFont="1" applyFill="1" applyBorder="1" applyAlignment="1">
      <alignment vertical="center"/>
    </xf>
    <xf numFmtId="49" fontId="43" fillId="0" borderId="1" xfId="12" applyNumberFormat="1" applyFont="1" applyFill="1" applyBorder="1" applyAlignment="1">
      <alignment vertical="center"/>
    </xf>
    <xf numFmtId="0" fontId="43" fillId="0" borderId="0" xfId="0" applyFont="1" applyAlignment="1">
      <alignment horizontal="left" vertical="center"/>
    </xf>
    <xf numFmtId="0" fontId="47" fillId="21" borderId="1" xfId="0" applyFont="1" applyFill="1" applyBorder="1" applyAlignment="1">
      <alignment horizontal="center" vertical="center"/>
    </xf>
    <xf numFmtId="0" fontId="43" fillId="0" borderId="4"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vertical="center" wrapText="1"/>
    </xf>
    <xf numFmtId="0" fontId="47" fillId="0" borderId="1" xfId="0" applyFont="1" applyBorder="1" applyAlignment="1">
      <alignment vertical="center" wrapText="1"/>
    </xf>
    <xf numFmtId="0" fontId="11" fillId="19" borderId="1" xfId="0" applyFont="1" applyFill="1" applyBorder="1" applyAlignment="1">
      <alignment horizontal="left" vertical="center" wrapText="1"/>
    </xf>
    <xf numFmtId="0" fontId="47" fillId="0" borderId="10" xfId="0" applyFont="1" applyBorder="1" applyAlignment="1">
      <alignment horizontal="left" vertical="center" wrapText="1"/>
    </xf>
    <xf numFmtId="0" fontId="43" fillId="0" borderId="10" xfId="0" applyFont="1" applyBorder="1" applyAlignment="1">
      <alignment horizontal="left" vertical="center"/>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9" fontId="12" fillId="0" borderId="10" xfId="31" applyFont="1" applyFill="1" applyBorder="1" applyAlignment="1" applyProtection="1">
      <alignment horizontal="center" vertical="center" wrapText="1"/>
    </xf>
    <xf numFmtId="9" fontId="12" fillId="9" borderId="19" xfId="31" applyFont="1" applyFill="1" applyBorder="1" applyAlignment="1" applyProtection="1">
      <alignment horizontal="center" vertical="center" wrapText="1"/>
    </xf>
    <xf numFmtId="0" fontId="12" fillId="19" borderId="23" xfId="25" applyFont="1" applyFill="1" applyBorder="1" applyAlignment="1">
      <alignment horizontal="center" vertical="center" wrapText="1"/>
    </xf>
    <xf numFmtId="0" fontId="12" fillId="19" borderId="24" xfId="25" applyFont="1" applyFill="1" applyBorder="1" applyAlignment="1">
      <alignment horizontal="center" vertical="center" wrapText="1"/>
    </xf>
    <xf numFmtId="0" fontId="12" fillId="19" borderId="25" xfId="25" applyFont="1" applyFill="1" applyBorder="1" applyAlignment="1">
      <alignment horizontal="center" vertical="center" wrapText="1"/>
    </xf>
    <xf numFmtId="0" fontId="47" fillId="21" borderId="1" xfId="0" applyFont="1" applyFill="1" applyBorder="1" applyAlignment="1">
      <alignment horizontal="left" vertical="center"/>
    </xf>
    <xf numFmtId="0" fontId="47" fillId="0" borderId="1" xfId="0" applyFont="1" applyBorder="1" applyAlignment="1">
      <alignment horizontal="left" vertical="center"/>
    </xf>
    <xf numFmtId="0" fontId="47" fillId="0" borderId="1" xfId="0" applyFont="1" applyBorder="1" applyAlignment="1">
      <alignment horizontal="left" vertical="center" wrapText="1"/>
    </xf>
    <xf numFmtId="0" fontId="13" fillId="0" borderId="10" xfId="0" applyFont="1" applyBorder="1" applyAlignment="1">
      <alignment horizontal="left" vertical="center" wrapText="1"/>
    </xf>
    <xf numFmtId="0" fontId="47" fillId="0" borderId="1" xfId="0" applyFont="1" applyBorder="1" applyAlignment="1">
      <alignment horizontal="center" vertical="center" wrapText="1"/>
    </xf>
    <xf numFmtId="41" fontId="49" fillId="0" borderId="1" xfId="12" applyFont="1" applyFill="1" applyBorder="1" applyAlignment="1">
      <alignment horizontal="justify" vertical="center" wrapText="1"/>
    </xf>
    <xf numFmtId="0" fontId="12" fillId="0" borderId="10" xfId="0" applyFont="1" applyBorder="1" applyAlignment="1">
      <alignment horizontal="center" vertical="center" wrapText="1"/>
    </xf>
    <xf numFmtId="9" fontId="47" fillId="0" borderId="1" xfId="31" applyFont="1" applyFill="1" applyBorder="1" applyAlignment="1">
      <alignment horizontal="center" vertical="center" wrapText="1"/>
    </xf>
    <xf numFmtId="0" fontId="50" fillId="0" borderId="8" xfId="0" applyFont="1" applyBorder="1" applyAlignment="1">
      <alignment horizontal="center"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4" fontId="49" fillId="0" borderId="1" xfId="0" applyNumberFormat="1" applyFont="1" applyBorder="1" applyAlignment="1">
      <alignment horizontal="center" vertical="center" wrapText="1"/>
    </xf>
    <xf numFmtId="0" fontId="49" fillId="0" borderId="8"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49" fillId="0" borderId="1" xfId="0" applyFont="1" applyBorder="1" applyAlignment="1">
      <alignment vertical="center"/>
    </xf>
    <xf numFmtId="4" fontId="49" fillId="0" borderId="1" xfId="0" applyNumberFormat="1" applyFont="1" applyBorder="1" applyAlignment="1">
      <alignment horizontal="center" vertical="center"/>
    </xf>
    <xf numFmtId="9" fontId="43" fillId="0" borderId="0" xfId="31" applyFont="1" applyFill="1" applyAlignment="1">
      <alignment vertical="center"/>
    </xf>
    <xf numFmtId="0" fontId="49" fillId="0" borderId="1" xfId="0" applyFont="1" applyBorder="1" applyAlignment="1">
      <alignment horizontal="left" vertical="center" wrapText="1"/>
    </xf>
    <xf numFmtId="179" fontId="22" fillId="22" borderId="0" xfId="0" applyNumberFormat="1" applyFont="1" applyFill="1" applyAlignment="1">
      <alignment horizontal="center" vertical="center"/>
    </xf>
    <xf numFmtId="180" fontId="22" fillId="22" borderId="0" xfId="0" applyNumberFormat="1" applyFont="1" applyFill="1" applyAlignment="1">
      <alignment horizontal="center" vertical="center"/>
    </xf>
    <xf numFmtId="0" fontId="23" fillId="22" borderId="0" xfId="0" applyFont="1" applyFill="1" applyAlignment="1">
      <alignment vertical="center"/>
    </xf>
    <xf numFmtId="181" fontId="23" fillId="23" borderId="0" xfId="0" applyNumberFormat="1" applyFont="1" applyFill="1" applyAlignment="1">
      <alignment horizontal="center" vertical="center"/>
    </xf>
    <xf numFmtId="0" fontId="4" fillId="0" borderId="0" xfId="0" applyFont="1" applyAlignment="1">
      <alignment vertical="center"/>
    </xf>
    <xf numFmtId="0" fontId="22" fillId="0" borderId="0" xfId="0" applyFont="1" applyAlignment="1">
      <alignment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0" fontId="22" fillId="23" borderId="0" xfId="0" applyFont="1" applyFill="1" applyAlignment="1">
      <alignment horizontal="center" vertical="center"/>
    </xf>
    <xf numFmtId="179" fontId="23" fillId="24" borderId="0" xfId="0" applyNumberFormat="1" applyFont="1" applyFill="1" applyAlignment="1">
      <alignment horizontal="center" vertical="center"/>
    </xf>
    <xf numFmtId="179" fontId="22" fillId="24" borderId="0" xfId="0" applyNumberFormat="1" applyFont="1" applyFill="1" applyAlignment="1">
      <alignment horizontal="center" vertical="center"/>
    </xf>
    <xf numFmtId="0" fontId="23" fillId="24" borderId="84" xfId="0" applyFont="1" applyFill="1" applyBorder="1" applyAlignment="1">
      <alignment horizontal="center" vertical="center" wrapText="1"/>
    </xf>
    <xf numFmtId="179" fontId="23" fillId="25" borderId="0" xfId="0" applyNumberFormat="1" applyFont="1" applyFill="1" applyAlignment="1">
      <alignment horizontal="center" vertical="center"/>
    </xf>
    <xf numFmtId="9" fontId="22" fillId="0" borderId="0" xfId="0" applyNumberFormat="1" applyFont="1" applyAlignment="1">
      <alignment horizontal="center" vertical="center"/>
    </xf>
    <xf numFmtId="0" fontId="23" fillId="0" borderId="84" xfId="0" applyFont="1" applyBorder="1" applyAlignment="1">
      <alignment horizontal="center" vertical="center" wrapText="1"/>
    </xf>
    <xf numFmtId="0" fontId="23" fillId="26" borderId="84" xfId="0" applyFont="1" applyFill="1" applyBorder="1" applyAlignment="1">
      <alignment horizontal="center" vertical="center" wrapText="1"/>
    </xf>
    <xf numFmtId="0" fontId="49" fillId="0" borderId="0" xfId="0" applyFont="1" applyAlignment="1">
      <alignment vertical="center"/>
    </xf>
    <xf numFmtId="4" fontId="49" fillId="0" borderId="1" xfId="12" applyNumberFormat="1" applyFont="1" applyFill="1" applyBorder="1" applyAlignment="1">
      <alignment horizontal="center" vertical="center" wrapText="1"/>
    </xf>
    <xf numFmtId="41" fontId="49" fillId="0" borderId="1" xfId="12" applyFont="1" applyFill="1" applyBorder="1" applyAlignment="1">
      <alignment vertical="center" wrapText="1"/>
    </xf>
    <xf numFmtId="0" fontId="23" fillId="24" borderId="85" xfId="0" applyFont="1" applyFill="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0" fontId="23" fillId="0" borderId="0" xfId="0" applyFont="1" applyAlignment="1">
      <alignment horizontal="center" vertical="center" wrapText="1"/>
    </xf>
    <xf numFmtId="179" fontId="23" fillId="0" borderId="0" xfId="0" applyNumberFormat="1" applyFont="1" applyAlignment="1">
      <alignment horizontal="center" vertical="center"/>
    </xf>
    <xf numFmtId="0" fontId="24" fillId="0" borderId="0" xfId="0" applyFont="1" applyAlignment="1">
      <alignment horizontal="justify" vertical="center" wrapText="1"/>
    </xf>
    <xf numFmtId="174" fontId="11" fillId="0" borderId="0" xfId="0" applyNumberFormat="1" applyFont="1" applyAlignment="1">
      <alignment vertical="center"/>
    </xf>
    <xf numFmtId="0" fontId="23" fillId="26" borderId="86" xfId="0" applyFont="1" applyFill="1" applyBorder="1" applyAlignment="1">
      <alignment horizontal="center" vertical="center" wrapText="1"/>
    </xf>
    <xf numFmtId="179" fontId="23" fillId="25" borderId="14" xfId="0" applyNumberFormat="1" applyFont="1" applyFill="1" applyBorder="1" applyAlignment="1">
      <alignment horizontal="center" vertical="center"/>
    </xf>
    <xf numFmtId="179" fontId="23" fillId="24" borderId="14" xfId="0" applyNumberFormat="1" applyFont="1" applyFill="1" applyBorder="1" applyAlignment="1">
      <alignment horizontal="center" vertical="center"/>
    </xf>
    <xf numFmtId="0" fontId="23" fillId="24" borderId="87" xfId="0" applyFont="1" applyFill="1" applyBorder="1" applyAlignment="1">
      <alignment horizontal="center" vertical="center" wrapText="1"/>
    </xf>
    <xf numFmtId="179" fontId="22" fillId="24" borderId="15" xfId="0" applyNumberFormat="1" applyFont="1" applyFill="1" applyBorder="1" applyAlignment="1">
      <alignment horizontal="center" vertical="center"/>
    </xf>
    <xf numFmtId="179" fontId="23" fillId="24" borderId="16" xfId="0" applyNumberFormat="1" applyFont="1" applyFill="1" applyBorder="1" applyAlignment="1">
      <alignment horizontal="center" vertical="center"/>
    </xf>
    <xf numFmtId="0" fontId="0" fillId="0" borderId="0" xfId="0" applyAlignment="1">
      <alignment horizontal="justify" vertical="center" wrapText="1"/>
    </xf>
    <xf numFmtId="0" fontId="22" fillId="0" borderId="0" xfId="0" applyFont="1" applyAlignment="1">
      <alignment horizontal="justify" vertical="center" wrapText="1"/>
    </xf>
    <xf numFmtId="0" fontId="4" fillId="0" borderId="0" xfId="0" applyFont="1" applyAlignment="1">
      <alignment horizontal="justify" vertical="center" wrapText="1"/>
    </xf>
    <xf numFmtId="0" fontId="43" fillId="0" borderId="0" xfId="0" applyFont="1" applyAlignment="1">
      <alignment horizontal="justify" vertical="center" wrapText="1"/>
    </xf>
    <xf numFmtId="179" fontId="22" fillId="0" borderId="0" xfId="0" applyNumberFormat="1" applyFont="1" applyAlignment="1">
      <alignment horizontal="justify" vertical="center" wrapText="1"/>
    </xf>
    <xf numFmtId="179" fontId="43" fillId="0" borderId="0" xfId="0" applyNumberFormat="1" applyFont="1" applyAlignment="1">
      <alignment horizontal="justify" vertical="center" wrapText="1"/>
    </xf>
    <xf numFmtId="0" fontId="51" fillId="0" borderId="0" xfId="0" applyFont="1" applyAlignment="1">
      <alignment vertical="center"/>
    </xf>
    <xf numFmtId="0" fontId="27" fillId="9" borderId="1" xfId="0" applyFont="1" applyFill="1" applyBorder="1" applyAlignment="1">
      <alignment horizontal="left" vertical="center" wrapText="1"/>
    </xf>
    <xf numFmtId="0" fontId="27" fillId="9" borderId="1" xfId="0" applyFont="1" applyFill="1" applyBorder="1" applyAlignment="1">
      <alignment vertical="center" wrapText="1"/>
    </xf>
    <xf numFmtId="0" fontId="29" fillId="19" borderId="0" xfId="0" applyFont="1" applyFill="1" applyAlignment="1">
      <alignment vertical="center"/>
    </xf>
    <xf numFmtId="0" fontId="29" fillId="19" borderId="0" xfId="0" applyFont="1" applyFill="1" applyAlignment="1">
      <alignment horizontal="center" vertical="center"/>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4" xfId="0" applyFont="1" applyFill="1" applyBorder="1" applyAlignment="1">
      <alignment horizontal="center" vertical="center" wrapText="1"/>
    </xf>
    <xf numFmtId="49" fontId="27" fillId="9" borderId="10" xfId="0" applyNumberFormat="1" applyFont="1" applyFill="1" applyBorder="1" applyAlignment="1">
      <alignment horizontal="center" vertical="center" wrapText="1"/>
    </xf>
    <xf numFmtId="0" fontId="29" fillId="0" borderId="1" xfId="0" applyFont="1" applyBorder="1" applyAlignment="1">
      <alignment vertical="center"/>
    </xf>
    <xf numFmtId="178" fontId="29" fillId="0" borderId="1" xfId="17" applyNumberFormat="1" applyFont="1" applyBorder="1" applyAlignment="1">
      <alignment vertical="center"/>
    </xf>
    <xf numFmtId="0" fontId="29" fillId="27" borderId="1" xfId="0" applyFont="1" applyFill="1" applyBorder="1" applyAlignment="1">
      <alignment horizontal="center" vertical="center"/>
    </xf>
    <xf numFmtId="177" fontId="28" fillId="28" borderId="1" xfId="18" applyNumberFormat="1" applyFont="1" applyFill="1" applyBorder="1" applyAlignment="1">
      <alignment horizontal="center" vertical="center"/>
    </xf>
    <xf numFmtId="177" fontId="28" fillId="0" borderId="1" xfId="18" applyNumberFormat="1" applyFont="1" applyFill="1" applyBorder="1" applyAlignment="1">
      <alignment horizontal="center" vertical="center"/>
    </xf>
    <xf numFmtId="0" fontId="28" fillId="0" borderId="1" xfId="0" applyFont="1" applyBorder="1" applyAlignment="1">
      <alignment vertical="center"/>
    </xf>
    <xf numFmtId="0" fontId="28" fillId="0" borderId="1" xfId="0" applyFont="1" applyBorder="1" applyAlignment="1">
      <alignment vertical="center" wrapText="1"/>
    </xf>
    <xf numFmtId="0" fontId="28" fillId="28" borderId="1" xfId="0" applyFont="1" applyFill="1" applyBorder="1" applyAlignment="1">
      <alignment horizontal="left" vertical="center"/>
    </xf>
    <xf numFmtId="0" fontId="28" fillId="28" borderId="1" xfId="0" applyFont="1" applyFill="1" applyBorder="1" applyAlignment="1">
      <alignment horizontal="center" vertical="center"/>
    </xf>
    <xf numFmtId="178" fontId="28" fillId="28" borderId="1" xfId="17" applyNumberFormat="1" applyFont="1" applyFill="1" applyBorder="1" applyAlignment="1">
      <alignment horizontal="center" vertical="center"/>
    </xf>
    <xf numFmtId="0" fontId="28" fillId="27" borderId="1" xfId="0" applyFont="1" applyFill="1" applyBorder="1" applyAlignment="1">
      <alignment horizontal="center" vertical="center"/>
    </xf>
    <xf numFmtId="177" fontId="28" fillId="28"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31" fillId="0" borderId="0" xfId="0" applyFont="1" applyAlignment="1">
      <alignment horizontal="justify" vertical="center" wrapText="1"/>
    </xf>
    <xf numFmtId="3" fontId="43" fillId="0" borderId="1" xfId="11" applyNumberFormat="1" applyFont="1" applyFill="1" applyBorder="1" applyAlignment="1">
      <alignment horizontal="center" vertical="center" wrapText="1"/>
    </xf>
    <xf numFmtId="168" fontId="43" fillId="0" borderId="1" xfId="11" applyFont="1" applyFill="1" applyBorder="1" applyAlignment="1">
      <alignment horizontal="center" vertical="center" wrapText="1"/>
    </xf>
    <xf numFmtId="0" fontId="43" fillId="0" borderId="1" xfId="0" applyFont="1" applyBorder="1" applyAlignment="1">
      <alignment horizontal="justify" vertical="center" wrapText="1"/>
    </xf>
    <xf numFmtId="3" fontId="43"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43" fillId="19" borderId="1" xfId="0" applyFont="1" applyFill="1" applyBorder="1" applyAlignment="1">
      <alignment horizontal="center" vertical="center"/>
    </xf>
    <xf numFmtId="3" fontId="43" fillId="0" borderId="1" xfId="0" applyNumberFormat="1" applyFont="1" applyBorder="1" applyAlignment="1">
      <alignment horizontal="center" vertical="center" wrapText="1"/>
    </xf>
    <xf numFmtId="0" fontId="11" fillId="19" borderId="1" xfId="0" applyFont="1" applyFill="1" applyBorder="1" applyAlignment="1">
      <alignment horizontal="center" vertical="center"/>
    </xf>
    <xf numFmtId="0" fontId="11" fillId="0" borderId="1" xfId="0" applyFont="1" applyBorder="1" applyAlignment="1">
      <alignment horizontal="center" vertical="center"/>
    </xf>
    <xf numFmtId="9" fontId="11" fillId="19" borderId="1" xfId="31" applyFont="1" applyFill="1" applyBorder="1" applyAlignment="1">
      <alignment vertical="center"/>
    </xf>
    <xf numFmtId="169" fontId="31" fillId="0" borderId="0" xfId="10" applyFont="1" applyBorder="1" applyAlignment="1">
      <alignment vertical="center"/>
    </xf>
    <xf numFmtId="169" fontId="0" fillId="0" borderId="0" xfId="10" applyFont="1" applyAlignment="1">
      <alignment vertical="center"/>
    </xf>
    <xf numFmtId="0" fontId="43" fillId="19" borderId="1" xfId="0" applyFont="1" applyFill="1" applyBorder="1" applyAlignment="1">
      <alignment vertical="center"/>
    </xf>
    <xf numFmtId="9" fontId="43" fillId="19" borderId="1" xfId="31" applyFont="1" applyFill="1" applyBorder="1" applyAlignment="1">
      <alignment vertical="center"/>
    </xf>
    <xf numFmtId="3" fontId="43" fillId="19" borderId="1" xfId="0" applyNumberFormat="1" applyFont="1" applyFill="1" applyBorder="1" applyAlignment="1">
      <alignment horizontal="center" vertical="center"/>
    </xf>
    <xf numFmtId="0" fontId="11" fillId="19" borderId="1" xfId="0" applyFont="1" applyFill="1" applyBorder="1" applyAlignment="1">
      <alignment vertical="center"/>
    </xf>
    <xf numFmtId="0" fontId="19" fillId="19" borderId="75" xfId="25" applyFont="1" applyFill="1" applyBorder="1" applyAlignment="1">
      <alignment vertical="center" wrapText="1"/>
    </xf>
    <xf numFmtId="0" fontId="19" fillId="19" borderId="82" xfId="25" applyFont="1" applyFill="1" applyBorder="1" applyAlignment="1">
      <alignment vertical="center" wrapText="1"/>
    </xf>
    <xf numFmtId="0" fontId="19" fillId="19" borderId="83" xfId="25" applyFont="1" applyFill="1" applyBorder="1" applyAlignment="1">
      <alignment vertical="center" wrapText="1"/>
    </xf>
    <xf numFmtId="0" fontId="19" fillId="19" borderId="0" xfId="25" applyFont="1" applyFill="1" applyAlignment="1">
      <alignment vertical="center" wrapText="1"/>
    </xf>
    <xf numFmtId="0" fontId="57" fillId="19" borderId="0" xfId="25" applyFont="1" applyFill="1" applyAlignment="1">
      <alignment vertical="center" wrapText="1"/>
    </xf>
    <xf numFmtId="0" fontId="19" fillId="19" borderId="11" xfId="25" applyFont="1" applyFill="1" applyBorder="1" applyAlignment="1">
      <alignment vertical="center" wrapText="1"/>
    </xf>
    <xf numFmtId="0" fontId="56" fillId="19" borderId="11" xfId="25" applyFont="1" applyFill="1" applyBorder="1" applyAlignment="1">
      <alignment vertical="center" wrapText="1"/>
    </xf>
    <xf numFmtId="0" fontId="56" fillId="19" borderId="12" xfId="25" applyFont="1" applyFill="1" applyBorder="1" applyAlignment="1">
      <alignment vertical="center" wrapText="1"/>
    </xf>
    <xf numFmtId="0" fontId="19" fillId="19" borderId="13" xfId="25" applyFont="1" applyFill="1" applyBorder="1" applyAlignment="1">
      <alignment vertical="center" wrapText="1"/>
    </xf>
    <xf numFmtId="0" fontId="56" fillId="19" borderId="0" xfId="25" applyFont="1" applyFill="1" applyAlignment="1">
      <alignment vertical="center" wrapText="1"/>
    </xf>
    <xf numFmtId="0" fontId="56" fillId="19" borderId="14" xfId="25" applyFont="1" applyFill="1" applyBorder="1" applyAlignment="1">
      <alignment vertical="center" wrapText="1"/>
    </xf>
    <xf numFmtId="0" fontId="19" fillId="19" borderId="0" xfId="25" applyFont="1" applyFill="1" applyAlignment="1">
      <alignment horizontal="justify" vertical="center" wrapText="1"/>
    </xf>
    <xf numFmtId="0" fontId="57" fillId="19" borderId="0" xfId="25" applyFont="1" applyFill="1" applyAlignment="1">
      <alignment horizontal="justify" vertical="center" wrapText="1"/>
    </xf>
    <xf numFmtId="0" fontId="56" fillId="19" borderId="0" xfId="25" applyFont="1" applyFill="1" applyAlignment="1">
      <alignment horizontal="justify" vertical="center" wrapText="1"/>
    </xf>
    <xf numFmtId="0" fontId="56" fillId="19" borderId="14" xfId="25" applyFont="1" applyFill="1" applyBorder="1" applyAlignment="1">
      <alignment horizontal="justify" vertical="center" wrapText="1"/>
    </xf>
    <xf numFmtId="0" fontId="19" fillId="0" borderId="13" xfId="25" applyFont="1" applyBorder="1" applyAlignment="1">
      <alignment vertical="center" wrapText="1"/>
    </xf>
    <xf numFmtId="0" fontId="19" fillId="0" borderId="0" xfId="25" applyFont="1" applyAlignment="1">
      <alignment vertical="center" wrapText="1"/>
    </xf>
    <xf numFmtId="0" fontId="19" fillId="0" borderId="0" xfId="25" applyFont="1" applyAlignment="1">
      <alignment horizontal="center" vertical="center" wrapText="1"/>
    </xf>
    <xf numFmtId="0" fontId="58" fillId="0" borderId="0" xfId="0" applyFont="1" applyAlignment="1">
      <alignment horizontal="center" vertical="center"/>
    </xf>
    <xf numFmtId="0" fontId="59" fillId="0" borderId="0" xfId="0" applyFont="1" applyAlignment="1">
      <alignment horizontal="center" vertical="center" wrapText="1"/>
    </xf>
    <xf numFmtId="0" fontId="60" fillId="0" borderId="0" xfId="0" applyFont="1" applyAlignment="1">
      <alignment horizontal="center" vertical="center"/>
    </xf>
    <xf numFmtId="0" fontId="57" fillId="0" borderId="0" xfId="25" applyFont="1" applyAlignment="1">
      <alignment vertical="center" wrapText="1"/>
    </xf>
    <xf numFmtId="0" fontId="56" fillId="0" borderId="0" xfId="25" applyFont="1" applyAlignment="1">
      <alignment vertical="center" wrapText="1"/>
    </xf>
    <xf numFmtId="0" fontId="56" fillId="0" borderId="14" xfId="25" applyFont="1" applyBorder="1" applyAlignment="1">
      <alignment vertical="center" wrapText="1"/>
    </xf>
    <xf numFmtId="0" fontId="19" fillId="19" borderId="13" xfId="25" applyFont="1" applyFill="1" applyBorder="1" applyAlignment="1">
      <alignment horizontal="center" vertical="center" wrapText="1"/>
    </xf>
    <xf numFmtId="0" fontId="19" fillId="19" borderId="81" xfId="25" applyFont="1" applyFill="1" applyBorder="1" applyAlignment="1">
      <alignment horizontal="center" vertical="center" wrapText="1"/>
    </xf>
    <xf numFmtId="0" fontId="61" fillId="19" borderId="0" xfId="25" applyFont="1" applyFill="1" applyAlignment="1">
      <alignment horizontal="center" vertical="center" wrapText="1"/>
    </xf>
    <xf numFmtId="0" fontId="19" fillId="19" borderId="0" xfId="25" applyFont="1" applyFill="1" applyAlignment="1">
      <alignment horizontal="center" vertical="center" wrapText="1"/>
    </xf>
    <xf numFmtId="0" fontId="61" fillId="0" borderId="0" xfId="25" applyFont="1" applyAlignment="1">
      <alignment horizontal="center" vertical="center" wrapText="1"/>
    </xf>
    <xf numFmtId="0" fontId="19" fillId="0" borderId="14" xfId="25" applyFont="1" applyBorder="1" applyAlignment="1">
      <alignment horizontal="center" vertical="center" wrapText="1"/>
    </xf>
    <xf numFmtId="0" fontId="56" fillId="19" borderId="15" xfId="25" applyFont="1" applyFill="1" applyBorder="1" applyAlignment="1">
      <alignment vertical="center" wrapText="1"/>
    </xf>
    <xf numFmtId="0" fontId="56" fillId="19" borderId="16" xfId="25" applyFont="1" applyFill="1" applyBorder="1" applyAlignment="1">
      <alignment vertical="center" wrapText="1"/>
    </xf>
    <xf numFmtId="0" fontId="62" fillId="19" borderId="13" xfId="0" applyFont="1" applyFill="1" applyBorder="1" applyAlignment="1">
      <alignment vertical="center"/>
    </xf>
    <xf numFmtId="0" fontId="62" fillId="19" borderId="0" xfId="0" applyFont="1" applyFill="1" applyAlignment="1">
      <alignment vertical="center"/>
    </xf>
    <xf numFmtId="0" fontId="62" fillId="19" borderId="14" xfId="0" applyFont="1" applyFill="1" applyBorder="1" applyAlignment="1">
      <alignment vertical="center"/>
    </xf>
    <xf numFmtId="0" fontId="56" fillId="19" borderId="13" xfId="25" applyFont="1" applyFill="1" applyBorder="1" applyAlignment="1">
      <alignment vertical="center" wrapText="1"/>
    </xf>
    <xf numFmtId="0" fontId="19" fillId="20" borderId="29" xfId="25" applyFont="1" applyFill="1" applyBorder="1" applyAlignment="1">
      <alignment horizontal="center" vertical="center" wrapText="1"/>
    </xf>
    <xf numFmtId="0" fontId="19" fillId="20" borderId="30" xfId="25" applyFont="1" applyFill="1" applyBorder="1" applyAlignment="1">
      <alignment horizontal="center" vertical="center" wrapText="1"/>
    </xf>
    <xf numFmtId="0" fontId="19" fillId="20" borderId="31" xfId="25" applyFont="1" applyFill="1" applyBorder="1" applyAlignment="1">
      <alignment horizontal="center" vertical="center" wrapText="1"/>
    </xf>
    <xf numFmtId="173" fontId="60" fillId="0" borderId="27" xfId="10" applyNumberFormat="1" applyFont="1" applyBorder="1" applyAlignment="1">
      <alignment vertical="center"/>
    </xf>
    <xf numFmtId="173" fontId="60" fillId="0" borderId="4" xfId="10" applyNumberFormat="1" applyFont="1" applyBorder="1" applyAlignment="1">
      <alignment vertical="center"/>
    </xf>
    <xf numFmtId="173" fontId="60" fillId="0" borderId="20" xfId="10" applyNumberFormat="1" applyFont="1" applyBorder="1" applyAlignment="1">
      <alignment vertical="center"/>
    </xf>
    <xf numFmtId="173" fontId="60" fillId="19" borderId="34" xfId="10" applyNumberFormat="1" applyFont="1" applyFill="1" applyBorder="1" applyAlignment="1">
      <alignment vertical="center"/>
    </xf>
    <xf numFmtId="173" fontId="60" fillId="19" borderId="35" xfId="10" applyNumberFormat="1" applyFont="1" applyFill="1" applyBorder="1" applyAlignment="1">
      <alignment vertical="center"/>
    </xf>
    <xf numFmtId="173" fontId="60" fillId="0" borderId="35" xfId="10" applyNumberFormat="1" applyFont="1" applyBorder="1" applyAlignment="1">
      <alignment vertical="center"/>
    </xf>
    <xf numFmtId="9" fontId="60" fillId="0" borderId="49" xfId="31" applyFont="1" applyBorder="1" applyAlignment="1">
      <alignment vertical="center"/>
    </xf>
    <xf numFmtId="0" fontId="19" fillId="20" borderId="8" xfId="25" applyFont="1" applyFill="1" applyBorder="1" applyAlignment="1">
      <alignment horizontal="center" vertical="center" wrapText="1"/>
    </xf>
    <xf numFmtId="173" fontId="60" fillId="0" borderId="8" xfId="10" applyNumberFormat="1" applyFont="1" applyBorder="1" applyAlignment="1">
      <alignment vertical="center"/>
    </xf>
    <xf numFmtId="173" fontId="60" fillId="0" borderId="1" xfId="10" applyNumberFormat="1" applyFont="1" applyBorder="1" applyAlignment="1">
      <alignment vertical="center"/>
    </xf>
    <xf numFmtId="9" fontId="60" fillId="0" borderId="2" xfId="31" applyFont="1" applyBorder="1" applyAlignment="1">
      <alignment vertical="center"/>
    </xf>
    <xf numFmtId="173" fontId="60" fillId="19" borderId="8" xfId="10" applyNumberFormat="1" applyFont="1" applyFill="1" applyBorder="1" applyAlignment="1">
      <alignment vertical="center"/>
    </xf>
    <xf numFmtId="173" fontId="60" fillId="19" borderId="1" xfId="10" applyNumberFormat="1" applyFont="1" applyFill="1" applyBorder="1" applyAlignment="1">
      <alignment vertical="center"/>
    </xf>
    <xf numFmtId="9" fontId="60" fillId="0" borderId="9" xfId="31" applyFont="1" applyBorder="1" applyAlignment="1">
      <alignment vertical="center"/>
    </xf>
    <xf numFmtId="173" fontId="60" fillId="0" borderId="2" xfId="10" applyNumberFormat="1" applyFont="1" applyBorder="1" applyAlignment="1">
      <alignment vertical="center"/>
    </xf>
    <xf numFmtId="173" fontId="60" fillId="0" borderId="9" xfId="10" applyNumberFormat="1" applyFont="1" applyBorder="1" applyAlignment="1">
      <alignment vertical="center"/>
    </xf>
    <xf numFmtId="0" fontId="19" fillId="20" borderId="26" xfId="25" applyFont="1" applyFill="1" applyBorder="1" applyAlignment="1">
      <alignment horizontal="center" vertical="center" wrapText="1"/>
    </xf>
    <xf numFmtId="0" fontId="19" fillId="20" borderId="21" xfId="25" applyFont="1" applyFill="1" applyBorder="1" applyAlignment="1">
      <alignment horizontal="center" vertical="center" wrapText="1"/>
    </xf>
    <xf numFmtId="173" fontId="60" fillId="0" borderId="26" xfId="10" applyNumberFormat="1" applyFont="1" applyBorder="1" applyAlignment="1">
      <alignment vertical="center"/>
    </xf>
    <xf numFmtId="173" fontId="60" fillId="0" borderId="19" xfId="10" applyNumberFormat="1" applyFont="1" applyBorder="1" applyAlignment="1">
      <alignment vertical="center"/>
    </xf>
    <xf numFmtId="173" fontId="60" fillId="19" borderId="19" xfId="10" applyNumberFormat="1" applyFont="1" applyFill="1" applyBorder="1" applyAlignment="1">
      <alignment vertical="center"/>
    </xf>
    <xf numFmtId="9" fontId="60" fillId="0" borderId="21" xfId="31" applyFont="1" applyBorder="1" applyAlignment="1">
      <alignment vertical="center"/>
    </xf>
    <xf numFmtId="173" fontId="60" fillId="0" borderId="32" xfId="10" applyNumberFormat="1" applyFont="1" applyBorder="1" applyAlignment="1">
      <alignment vertical="center"/>
    </xf>
    <xf numFmtId="173" fontId="60" fillId="0" borderId="33" xfId="10" applyNumberFormat="1" applyFont="1" applyBorder="1" applyAlignment="1">
      <alignment vertical="center"/>
    </xf>
    <xf numFmtId="174" fontId="60" fillId="0" borderId="37" xfId="31" applyNumberFormat="1" applyFont="1" applyBorder="1" applyAlignment="1">
      <alignment vertical="center"/>
    </xf>
    <xf numFmtId="173" fontId="19" fillId="19" borderId="0" xfId="25" applyNumberFormat="1" applyFont="1" applyFill="1" applyAlignment="1">
      <alignment horizontal="left" vertical="center" wrapText="1"/>
    </xf>
    <xf numFmtId="0" fontId="19" fillId="19" borderId="0" xfId="25" applyFont="1" applyFill="1" applyAlignment="1">
      <alignment horizontal="left" vertical="center" wrapText="1"/>
    </xf>
    <xf numFmtId="0" fontId="19" fillId="20" borderId="1" xfId="25" applyFont="1" applyFill="1" applyBorder="1" applyAlignment="1">
      <alignment horizontal="center" vertical="center" wrapText="1"/>
    </xf>
    <xf numFmtId="0" fontId="19" fillId="20" borderId="9" xfId="25" applyFont="1" applyFill="1" applyBorder="1" applyAlignment="1">
      <alignment horizontal="center" vertical="center" wrapText="1"/>
    </xf>
    <xf numFmtId="0" fontId="19" fillId="0" borderId="18" xfId="25" applyFont="1" applyBorder="1" applyAlignment="1">
      <alignment horizontal="justify" vertical="center" wrapText="1"/>
    </xf>
    <xf numFmtId="0" fontId="19" fillId="0" borderId="10" xfId="25" applyFont="1" applyBorder="1" applyAlignment="1">
      <alignment horizontal="center" vertical="center" wrapText="1"/>
    </xf>
    <xf numFmtId="168" fontId="19" fillId="0" borderId="10" xfId="11" applyFont="1" applyFill="1" applyBorder="1" applyAlignment="1" applyProtection="1">
      <alignment horizontal="center" vertical="center" wrapText="1"/>
    </xf>
    <xf numFmtId="9" fontId="19" fillId="0" borderId="10" xfId="25" applyNumberFormat="1" applyFont="1" applyBorder="1" applyAlignment="1">
      <alignment horizontal="center" vertical="center" wrapText="1"/>
    </xf>
    <xf numFmtId="0" fontId="19" fillId="0" borderId="4" xfId="25" applyFont="1" applyBorder="1" applyAlignment="1">
      <alignment horizontal="left" vertical="center" wrapText="1"/>
    </xf>
    <xf numFmtId="4" fontId="19" fillId="0" borderId="10" xfId="31" applyNumberFormat="1" applyFont="1" applyFill="1" applyBorder="1" applyAlignment="1" applyProtection="1">
      <alignment horizontal="center" vertical="center" wrapText="1"/>
    </xf>
    <xf numFmtId="4" fontId="19" fillId="0" borderId="36" xfId="31" applyNumberFormat="1" applyFont="1" applyFill="1" applyBorder="1" applyAlignment="1" applyProtection="1">
      <alignment horizontal="center" vertical="center" wrapText="1"/>
    </xf>
    <xf numFmtId="0" fontId="19" fillId="9" borderId="19" xfId="25" applyFont="1" applyFill="1" applyBorder="1" applyAlignment="1">
      <alignment horizontal="left" vertical="center" wrapText="1"/>
    </xf>
    <xf numFmtId="4" fontId="19" fillId="9" borderId="19" xfId="31" applyNumberFormat="1" applyFont="1" applyFill="1" applyBorder="1" applyAlignment="1" applyProtection="1">
      <alignment horizontal="center" vertical="center" wrapText="1"/>
    </xf>
    <xf numFmtId="4" fontId="19" fillId="9" borderId="37" xfId="31" applyNumberFormat="1" applyFont="1" applyFill="1" applyBorder="1" applyAlignment="1" applyProtection="1">
      <alignment horizontal="center" vertical="center" wrapText="1"/>
    </xf>
    <xf numFmtId="0" fontId="19" fillId="20" borderId="19" xfId="25" applyFont="1" applyFill="1" applyBorder="1" applyAlignment="1">
      <alignment horizontal="center" vertical="center" wrapText="1"/>
    </xf>
    <xf numFmtId="0" fontId="19" fillId="20" borderId="37" xfId="25" applyFont="1" applyFill="1" applyBorder="1" applyAlignment="1">
      <alignment horizontal="center" vertical="center" wrapText="1"/>
    </xf>
    <xf numFmtId="9" fontId="56" fillId="0" borderId="4" xfId="32" applyFont="1" applyFill="1" applyBorder="1" applyAlignment="1" applyProtection="1">
      <alignment horizontal="center" vertical="center" wrapText="1"/>
      <protection locked="0"/>
    </xf>
    <xf numFmtId="9" fontId="19" fillId="0" borderId="28" xfId="25" applyNumberFormat="1" applyFont="1" applyBorder="1" applyAlignment="1">
      <alignment horizontal="center" vertical="center" wrapText="1"/>
    </xf>
    <xf numFmtId="0" fontId="19" fillId="9" borderId="1" xfId="25" applyFont="1" applyFill="1" applyBorder="1" applyAlignment="1">
      <alignment horizontal="left" vertical="center" wrapText="1"/>
    </xf>
    <xf numFmtId="9" fontId="56" fillId="9" borderId="1" xfId="31" applyFont="1" applyFill="1" applyBorder="1" applyAlignment="1" applyProtection="1">
      <alignment horizontal="center" vertical="center" wrapText="1"/>
      <protection locked="0"/>
    </xf>
    <xf numFmtId="9" fontId="19" fillId="0" borderId="9" xfId="25" applyNumberFormat="1" applyFont="1" applyBorder="1" applyAlignment="1">
      <alignment horizontal="center" vertical="center" wrapText="1"/>
    </xf>
    <xf numFmtId="0" fontId="19" fillId="0" borderId="1" xfId="25" applyFont="1" applyBorder="1" applyAlignment="1">
      <alignment horizontal="left" vertical="center" wrapText="1"/>
    </xf>
    <xf numFmtId="9" fontId="56" fillId="0" borderId="1" xfId="32" applyFont="1" applyFill="1" applyBorder="1" applyAlignment="1" applyProtection="1">
      <alignment horizontal="center" vertical="center" wrapText="1"/>
      <protection locked="0"/>
    </xf>
    <xf numFmtId="9" fontId="56" fillId="9" borderId="2" xfId="31" applyFont="1" applyFill="1" applyBorder="1" applyAlignment="1" applyProtection="1">
      <alignment horizontal="center" vertical="center" wrapText="1"/>
      <protection locked="0"/>
    </xf>
    <xf numFmtId="9" fontId="56" fillId="9" borderId="19" xfId="31" applyFont="1" applyFill="1" applyBorder="1" applyAlignment="1" applyProtection="1">
      <alignment horizontal="center" vertical="center" wrapText="1"/>
      <protection locked="0"/>
    </xf>
    <xf numFmtId="9" fontId="56" fillId="9" borderId="21" xfId="31" applyFont="1" applyFill="1" applyBorder="1" applyAlignment="1" applyProtection="1">
      <alignment horizontal="center" vertical="center" wrapText="1"/>
      <protection locked="0"/>
    </xf>
    <xf numFmtId="9" fontId="19" fillId="0" borderId="37" xfId="25" applyNumberFormat="1" applyFont="1" applyBorder="1" applyAlignment="1">
      <alignment horizontal="center" vertical="center" wrapText="1"/>
    </xf>
    <xf numFmtId="173" fontId="65" fillId="19" borderId="35" xfId="10" applyNumberFormat="1" applyFont="1" applyFill="1" applyBorder="1" applyAlignment="1">
      <alignment vertical="center"/>
    </xf>
    <xf numFmtId="173" fontId="65" fillId="19" borderId="1" xfId="10" applyNumberFormat="1" applyFont="1" applyFill="1" applyBorder="1" applyAlignment="1">
      <alignment vertical="center"/>
    </xf>
    <xf numFmtId="0" fontId="56" fillId="0" borderId="18" xfId="25" applyFont="1" applyBorder="1" applyAlignment="1">
      <alignment horizontal="justify" vertical="center" wrapText="1"/>
    </xf>
    <xf numFmtId="174" fontId="19" fillId="9" borderId="19" xfId="31" applyNumberFormat="1" applyFont="1" applyFill="1" applyBorder="1" applyAlignment="1" applyProtection="1">
      <alignment vertical="center" wrapText="1"/>
    </xf>
    <xf numFmtId="0" fontId="19" fillId="0" borderId="27" xfId="25" applyFont="1" applyBorder="1" applyAlignment="1">
      <alignment horizontal="left" vertical="center" wrapText="1"/>
    </xf>
    <xf numFmtId="0" fontId="19" fillId="9" borderId="8" xfId="25" applyFont="1" applyFill="1" applyBorder="1" applyAlignment="1">
      <alignment horizontal="left" vertical="center" wrapText="1"/>
    </xf>
    <xf numFmtId="9" fontId="56" fillId="9" borderId="9" xfId="31" applyFont="1" applyFill="1" applyBorder="1" applyAlignment="1" applyProtection="1">
      <alignment horizontal="center" vertical="center" wrapText="1"/>
      <protection locked="0"/>
    </xf>
    <xf numFmtId="0" fontId="19" fillId="0" borderId="8" xfId="25" applyFont="1" applyBorder="1" applyAlignment="1">
      <alignment horizontal="left" vertical="center" wrapText="1"/>
    </xf>
    <xf numFmtId="0" fontId="19" fillId="19" borderId="8" xfId="25" applyFont="1" applyFill="1" applyBorder="1" applyAlignment="1">
      <alignment horizontal="left" vertical="center" wrapText="1"/>
    </xf>
    <xf numFmtId="9" fontId="56" fillId="19" borderId="1" xfId="32" applyFont="1" applyFill="1" applyBorder="1" applyAlignment="1" applyProtection="1">
      <alignment horizontal="center" vertical="center" wrapText="1"/>
      <protection locked="0"/>
    </xf>
    <xf numFmtId="0" fontId="19" fillId="9" borderId="26" xfId="25" applyFont="1" applyFill="1" applyBorder="1" applyAlignment="1">
      <alignment horizontal="left" vertical="center" wrapText="1"/>
    </xf>
    <xf numFmtId="9" fontId="56" fillId="9" borderId="37" xfId="31" applyFont="1" applyFill="1" applyBorder="1" applyAlignment="1" applyProtection="1">
      <alignment horizontal="center" vertical="center" wrapText="1"/>
      <protection locked="0"/>
    </xf>
    <xf numFmtId="173" fontId="60" fillId="0" borderId="8" xfId="10" applyNumberFormat="1" applyFont="1" applyFill="1" applyBorder="1" applyAlignment="1">
      <alignment vertical="center"/>
    </xf>
    <xf numFmtId="9" fontId="60" fillId="0" borderId="9" xfId="31" applyFont="1" applyFill="1" applyBorder="1" applyAlignment="1">
      <alignment vertical="center"/>
    </xf>
    <xf numFmtId="173" fontId="60" fillId="0" borderId="1" xfId="10" applyNumberFormat="1" applyFont="1" applyFill="1" applyBorder="1" applyAlignment="1">
      <alignment vertical="center"/>
    </xf>
    <xf numFmtId="5" fontId="62" fillId="19" borderId="4" xfId="10" applyNumberFormat="1" applyFont="1" applyFill="1" applyBorder="1" applyAlignment="1">
      <alignment horizontal="right" vertical="center"/>
    </xf>
    <xf numFmtId="5" fontId="62" fillId="19" borderId="1" xfId="10" applyNumberFormat="1" applyFont="1" applyFill="1" applyBorder="1" applyAlignment="1">
      <alignment horizontal="right" vertical="center"/>
    </xf>
    <xf numFmtId="5" fontId="56" fillId="19" borderId="1" xfId="10" applyNumberFormat="1" applyFont="1" applyFill="1" applyBorder="1" applyAlignment="1">
      <alignment horizontal="right" vertical="center"/>
    </xf>
    <xf numFmtId="173" fontId="60" fillId="19" borderId="26" xfId="10" applyNumberFormat="1" applyFont="1" applyFill="1" applyBorder="1" applyAlignment="1">
      <alignment vertical="center"/>
    </xf>
    <xf numFmtId="9" fontId="19" fillId="0" borderId="38" xfId="25" applyNumberFormat="1" applyFont="1" applyBorder="1" applyAlignment="1">
      <alignment horizontal="center" vertical="center" wrapText="1"/>
    </xf>
    <xf numFmtId="9" fontId="19" fillId="0" borderId="1" xfId="25" applyNumberFormat="1" applyFont="1" applyBorder="1" applyAlignment="1">
      <alignment horizontal="center" vertical="center" wrapText="1"/>
    </xf>
    <xf numFmtId="0" fontId="19" fillId="20" borderId="10" xfId="25" applyFont="1" applyFill="1" applyBorder="1" applyAlignment="1">
      <alignment horizontal="center" vertical="center" wrapText="1"/>
    </xf>
    <xf numFmtId="0" fontId="19" fillId="0" borderId="35" xfId="25" applyFont="1" applyBorder="1" applyAlignment="1">
      <alignment horizontal="left" vertical="center" wrapText="1"/>
    </xf>
    <xf numFmtId="4" fontId="19" fillId="0" borderId="62" xfId="31" applyNumberFormat="1" applyFont="1" applyFill="1" applyBorder="1" applyAlignment="1" applyProtection="1">
      <alignment horizontal="center" vertical="center" wrapText="1"/>
    </xf>
    <xf numFmtId="9" fontId="19" fillId="0" borderId="20" xfId="25" applyNumberFormat="1" applyFont="1" applyBorder="1" applyAlignment="1">
      <alignment horizontal="center" vertical="center" wrapText="1"/>
    </xf>
    <xf numFmtId="9" fontId="19" fillId="0" borderId="2" xfId="25" applyNumberFormat="1" applyFont="1" applyBorder="1" applyAlignment="1">
      <alignment horizontal="center" vertical="center" wrapText="1"/>
    </xf>
    <xf numFmtId="9" fontId="19" fillId="0" borderId="21" xfId="25" applyNumberFormat="1" applyFont="1" applyBorder="1" applyAlignment="1">
      <alignment horizontal="center" vertical="center" wrapText="1"/>
    </xf>
    <xf numFmtId="0" fontId="19" fillId="0" borderId="20" xfId="25" applyFont="1" applyBorder="1" applyAlignment="1">
      <alignment horizontal="left" vertical="center" wrapText="1"/>
    </xf>
    <xf numFmtId="4" fontId="19" fillId="0" borderId="18" xfId="31" applyNumberFormat="1" applyFont="1" applyFill="1" applyBorder="1" applyAlignment="1" applyProtection="1">
      <alignment horizontal="center" vertical="center" wrapText="1"/>
    </xf>
    <xf numFmtId="0" fontId="19" fillId="9" borderId="21" xfId="25" applyFont="1" applyFill="1" applyBorder="1" applyAlignment="1">
      <alignment horizontal="left" vertical="center" wrapText="1"/>
    </xf>
    <xf numFmtId="4" fontId="19" fillId="9" borderId="26" xfId="31" applyNumberFormat="1" applyFont="1" applyFill="1" applyBorder="1" applyAlignment="1" applyProtection="1">
      <alignment horizontal="center" vertical="center" wrapText="1"/>
    </xf>
    <xf numFmtId="173" fontId="60" fillId="19" borderId="27" xfId="10" applyNumberFormat="1" applyFont="1" applyFill="1" applyBorder="1" applyAlignment="1">
      <alignment vertical="center"/>
    </xf>
    <xf numFmtId="173" fontId="60" fillId="19" borderId="4" xfId="10" applyNumberFormat="1" applyFont="1" applyFill="1" applyBorder="1" applyAlignment="1">
      <alignment vertical="center"/>
    </xf>
    <xf numFmtId="9" fontId="60" fillId="0" borderId="28" xfId="31" applyFont="1" applyBorder="1" applyAlignment="1">
      <alignment vertical="center"/>
    </xf>
    <xf numFmtId="4" fontId="19" fillId="0" borderId="40" xfId="31" applyNumberFormat="1" applyFont="1" applyFill="1" applyBorder="1" applyAlignment="1" applyProtection="1">
      <alignment horizontal="center" vertical="center" wrapText="1"/>
    </xf>
    <xf numFmtId="4" fontId="19" fillId="0" borderId="38" xfId="31" applyNumberFormat="1" applyFont="1" applyFill="1" applyBorder="1" applyAlignment="1" applyProtection="1">
      <alignment horizontal="center" vertical="center" wrapText="1"/>
    </xf>
    <xf numFmtId="4" fontId="19" fillId="0" borderId="39" xfId="31" applyNumberFormat="1" applyFont="1" applyFill="1" applyBorder="1" applyAlignment="1" applyProtection="1">
      <alignment horizontal="center" vertical="center" wrapText="1"/>
    </xf>
    <xf numFmtId="0" fontId="43" fillId="19" borderId="1" xfId="0" applyFont="1" applyFill="1" applyBorder="1" applyAlignment="1">
      <alignment horizontal="justify" vertical="top" wrapText="1"/>
    </xf>
    <xf numFmtId="0" fontId="43" fillId="19" borderId="1" xfId="0" applyFont="1" applyFill="1" applyBorder="1" applyAlignment="1">
      <alignment horizontal="justify" vertical="top"/>
    </xf>
    <xf numFmtId="9" fontId="43" fillId="19" borderId="1" xfId="31" applyFont="1" applyFill="1" applyBorder="1" applyAlignment="1">
      <alignment horizontal="justify" vertical="top" wrapText="1"/>
    </xf>
    <xf numFmtId="0" fontId="43" fillId="19" borderId="0" xfId="0" applyFont="1" applyFill="1" applyAlignment="1">
      <alignment horizontal="justify" vertical="top" wrapText="1"/>
    </xf>
    <xf numFmtId="0" fontId="68" fillId="19" borderId="1" xfId="31" applyNumberFormat="1" applyFont="1" applyFill="1" applyBorder="1" applyAlignment="1">
      <alignment horizontal="justify" vertical="top" wrapText="1"/>
    </xf>
    <xf numFmtId="0" fontId="43" fillId="19" borderId="1" xfId="31" applyNumberFormat="1" applyFont="1" applyFill="1" applyBorder="1" applyAlignment="1">
      <alignment horizontal="justify" vertical="top" wrapText="1"/>
    </xf>
    <xf numFmtId="0" fontId="11" fillId="19" borderId="1" xfId="0" applyFont="1" applyFill="1" applyBorder="1" applyAlignment="1">
      <alignment horizontal="justify" vertical="top" wrapText="1"/>
    </xf>
    <xf numFmtId="9" fontId="11" fillId="19" borderId="1" xfId="31" applyFont="1" applyFill="1" applyBorder="1" applyAlignment="1">
      <alignment horizontal="justify" vertical="top" wrapText="1"/>
    </xf>
    <xf numFmtId="0" fontId="11" fillId="31" borderId="1" xfId="0" applyFont="1" applyFill="1" applyBorder="1" applyAlignment="1">
      <alignment horizontal="justify" vertical="top" wrapText="1"/>
    </xf>
    <xf numFmtId="0" fontId="11" fillId="19" borderId="1" xfId="31" applyNumberFormat="1" applyFont="1" applyFill="1" applyBorder="1" applyAlignment="1">
      <alignment horizontal="justify" vertical="top" wrapText="1"/>
    </xf>
    <xf numFmtId="0" fontId="11" fillId="19" borderId="1" xfId="31" applyNumberFormat="1" applyFont="1" applyFill="1" applyBorder="1" applyAlignment="1">
      <alignment horizontal="justify" vertical="center" wrapText="1"/>
    </xf>
    <xf numFmtId="0" fontId="11" fillId="19" borderId="1" xfId="0" applyFont="1" applyFill="1" applyBorder="1" applyAlignment="1">
      <alignment horizontal="justify" vertical="center" wrapText="1"/>
    </xf>
    <xf numFmtId="9" fontId="56" fillId="0" borderId="1" xfId="25" applyNumberFormat="1" applyFont="1" applyBorder="1" applyAlignment="1">
      <alignment horizontal="center" vertical="center" wrapText="1"/>
    </xf>
    <xf numFmtId="9" fontId="56" fillId="0" borderId="19" xfId="25" applyNumberFormat="1" applyFont="1" applyBorder="1" applyAlignment="1">
      <alignment horizontal="center" vertical="center" wrapText="1"/>
    </xf>
    <xf numFmtId="2" fontId="56" fillId="0" borderId="8" xfId="25" applyNumberFormat="1" applyFont="1" applyBorder="1" applyAlignment="1">
      <alignment horizontal="justify" vertical="center" wrapText="1"/>
    </xf>
    <xf numFmtId="174" fontId="56" fillId="0" borderId="1" xfId="25" applyNumberFormat="1" applyFont="1" applyBorder="1" applyAlignment="1">
      <alignment horizontal="center" vertical="center" wrapText="1"/>
    </xf>
    <xf numFmtId="9" fontId="56" fillId="19" borderId="23" xfId="25" applyNumberFormat="1" applyFont="1" applyFill="1" applyBorder="1" applyAlignment="1">
      <alignment horizontal="justify" vertical="center" wrapText="1"/>
    </xf>
    <xf numFmtId="9" fontId="56" fillId="19" borderId="24" xfId="25" applyNumberFormat="1" applyFont="1" applyFill="1" applyBorder="1" applyAlignment="1">
      <alignment horizontal="justify" vertical="center" wrapText="1"/>
    </xf>
    <xf numFmtId="9" fontId="56" fillId="19" borderId="65" xfId="25" applyNumberFormat="1" applyFont="1" applyFill="1" applyBorder="1" applyAlignment="1">
      <alignment horizontal="justify" vertical="center" wrapText="1"/>
    </xf>
    <xf numFmtId="9" fontId="56" fillId="19" borderId="6" xfId="25" applyNumberFormat="1" applyFont="1" applyFill="1" applyBorder="1" applyAlignment="1">
      <alignment horizontal="justify" vertical="center" wrapText="1"/>
    </xf>
    <xf numFmtId="9" fontId="56" fillId="19" borderId="3" xfId="25" applyNumberFormat="1" applyFont="1" applyFill="1" applyBorder="1" applyAlignment="1">
      <alignment horizontal="justify" vertical="center" wrapText="1"/>
    </xf>
    <xf numFmtId="9" fontId="56" fillId="19" borderId="7" xfId="25" applyNumberFormat="1" applyFont="1" applyFill="1" applyBorder="1" applyAlignment="1">
      <alignment horizontal="justify" vertical="center" wrapText="1"/>
    </xf>
    <xf numFmtId="2" fontId="62" fillId="0" borderId="8" xfId="25" applyNumberFormat="1" applyFont="1" applyBorder="1" applyAlignment="1">
      <alignment horizontal="justify" vertical="center" wrapText="1"/>
    </xf>
    <xf numFmtId="9" fontId="56" fillId="0" borderId="23" xfId="25" applyNumberFormat="1" applyFont="1" applyBorder="1" applyAlignment="1">
      <alignment horizontal="justify" vertical="center" wrapText="1"/>
    </xf>
    <xf numFmtId="9" fontId="56" fillId="0" borderId="24" xfId="25" applyNumberFormat="1" applyFont="1" applyBorder="1" applyAlignment="1">
      <alignment horizontal="justify" vertical="center" wrapText="1"/>
    </xf>
    <xf numFmtId="9" fontId="56" fillId="0" borderId="65" xfId="25" applyNumberFormat="1" applyFont="1" applyBorder="1" applyAlignment="1">
      <alignment horizontal="justify" vertical="center" wrapText="1"/>
    </xf>
    <xf numFmtId="9" fontId="56" fillId="0" borderId="6" xfId="25" applyNumberFormat="1" applyFont="1" applyBorder="1" applyAlignment="1">
      <alignment horizontal="justify" vertical="center" wrapText="1"/>
    </xf>
    <xf numFmtId="9" fontId="56" fillId="0" borderId="3" xfId="25" applyNumberFormat="1" applyFont="1" applyBorder="1" applyAlignment="1">
      <alignment horizontal="justify" vertical="center" wrapText="1"/>
    </xf>
    <xf numFmtId="9" fontId="56" fillId="0" borderId="7" xfId="25" applyNumberFormat="1" applyFont="1" applyBorder="1" applyAlignment="1">
      <alignment horizontal="justify" vertical="center" wrapText="1"/>
    </xf>
    <xf numFmtId="0" fontId="19" fillId="20" borderId="34" xfId="25" applyFont="1" applyFill="1" applyBorder="1" applyAlignment="1">
      <alignment horizontal="center" vertical="center" wrapText="1"/>
    </xf>
    <xf numFmtId="0" fontId="19" fillId="20" borderId="26" xfId="25" applyFont="1" applyFill="1" applyBorder="1" applyAlignment="1">
      <alignment horizontal="center" vertical="center" wrapText="1"/>
    </xf>
    <xf numFmtId="0" fontId="19" fillId="20" borderId="62" xfId="25" applyFont="1" applyFill="1" applyBorder="1" applyAlignment="1">
      <alignment horizontal="center" vertical="center" wrapText="1"/>
    </xf>
    <xf numFmtId="0" fontId="19" fillId="20" borderId="33" xfId="25" applyFont="1" applyFill="1" applyBorder="1" applyAlignment="1">
      <alignment horizontal="center" vertical="center" wrapText="1"/>
    </xf>
    <xf numFmtId="0" fontId="19" fillId="20" borderId="35" xfId="25" applyFont="1" applyFill="1" applyBorder="1" applyAlignment="1">
      <alignment horizontal="center" vertical="center" wrapText="1"/>
    </xf>
    <xf numFmtId="0" fontId="19" fillId="20" borderId="49" xfId="25" applyFont="1" applyFill="1" applyBorder="1" applyAlignment="1">
      <alignment horizontal="center" vertical="center" wrapText="1"/>
    </xf>
    <xf numFmtId="0" fontId="19" fillId="20" borderId="50" xfId="25" applyFont="1" applyFill="1" applyBorder="1" applyAlignment="1">
      <alignment horizontal="center" vertical="center" wrapText="1"/>
    </xf>
    <xf numFmtId="0" fontId="19" fillId="20" borderId="66" xfId="25" applyFont="1" applyFill="1" applyBorder="1" applyAlignment="1">
      <alignment horizontal="center" vertical="center" wrapText="1"/>
    </xf>
    <xf numFmtId="0" fontId="19" fillId="20" borderId="51" xfId="25" applyFont="1" applyFill="1" applyBorder="1" applyAlignment="1">
      <alignment horizontal="center" vertical="center" wrapText="1"/>
    </xf>
    <xf numFmtId="0" fontId="19" fillId="20" borderId="56" xfId="25" applyFont="1" applyFill="1" applyBorder="1" applyAlignment="1">
      <alignment horizontal="center" vertical="center" wrapText="1"/>
    </xf>
    <xf numFmtId="0" fontId="19" fillId="20" borderId="67" xfId="25" applyFont="1" applyFill="1" applyBorder="1" applyAlignment="1">
      <alignment horizontal="center" vertical="center" wrapText="1"/>
    </xf>
    <xf numFmtId="0" fontId="19" fillId="20" borderId="57" xfId="25" applyFont="1" applyFill="1" applyBorder="1" applyAlignment="1">
      <alignment horizontal="center" vertical="center" wrapText="1"/>
    </xf>
    <xf numFmtId="2" fontId="56" fillId="0" borderId="27" xfId="25" applyNumberFormat="1" applyFont="1" applyBorder="1" applyAlignment="1">
      <alignment horizontal="justify" vertical="center" wrapText="1"/>
    </xf>
    <xf numFmtId="9" fontId="56" fillId="0" borderId="4" xfId="25" applyNumberFormat="1" applyFont="1" applyBorder="1" applyAlignment="1">
      <alignment horizontal="center" vertical="center" wrapText="1"/>
    </xf>
    <xf numFmtId="9" fontId="56" fillId="19" borderId="47" xfId="25" applyNumberFormat="1" applyFont="1" applyFill="1" applyBorder="1" applyAlignment="1">
      <alignment horizontal="justify" vertical="center" wrapText="1"/>
    </xf>
    <xf numFmtId="9" fontId="56" fillId="19" borderId="11" xfId="25" applyNumberFormat="1" applyFont="1" applyFill="1" applyBorder="1" applyAlignment="1">
      <alignment horizontal="justify" vertical="center" wrapText="1"/>
    </xf>
    <xf numFmtId="9" fontId="56" fillId="19" borderId="12" xfId="25" applyNumberFormat="1" applyFont="1" applyFill="1" applyBorder="1" applyAlignment="1">
      <alignment horizontal="justify" vertical="center" wrapText="1"/>
    </xf>
    <xf numFmtId="0" fontId="19" fillId="0" borderId="18" xfId="25" applyFont="1" applyBorder="1" applyAlignment="1">
      <alignment horizontal="justify" vertical="center" wrapText="1"/>
    </xf>
    <xf numFmtId="0" fontId="19" fillId="0" borderId="32" xfId="25" applyFont="1" applyBorder="1" applyAlignment="1">
      <alignment horizontal="justify" vertical="center" wrapText="1"/>
    </xf>
    <xf numFmtId="9" fontId="19" fillId="0" borderId="10" xfId="25" applyNumberFormat="1" applyFont="1" applyBorder="1" applyAlignment="1">
      <alignment horizontal="center" vertical="center" wrapText="1"/>
    </xf>
    <xf numFmtId="0" fontId="19" fillId="0" borderId="33" xfId="25" applyFont="1" applyBorder="1" applyAlignment="1">
      <alignment horizontal="center" vertical="center" wrapText="1"/>
    </xf>
    <xf numFmtId="9" fontId="56" fillId="19" borderId="59" xfId="33" applyFont="1" applyFill="1" applyBorder="1" applyAlignment="1" applyProtection="1">
      <alignment horizontal="justify" vertical="top" wrapText="1"/>
    </xf>
    <xf numFmtId="9" fontId="56" fillId="19" borderId="24" xfId="33" applyFont="1" applyFill="1" applyBorder="1" applyAlignment="1" applyProtection="1">
      <alignment horizontal="justify" vertical="top" wrapText="1"/>
    </xf>
    <xf numFmtId="9" fontId="56" fillId="19" borderId="25" xfId="33" applyFont="1" applyFill="1" applyBorder="1" applyAlignment="1" applyProtection="1">
      <alignment horizontal="justify" vertical="top" wrapText="1"/>
    </xf>
    <xf numFmtId="9" fontId="56" fillId="19" borderId="63" xfId="33" applyFont="1" applyFill="1" applyBorder="1" applyAlignment="1" applyProtection="1">
      <alignment horizontal="justify" vertical="top" wrapText="1"/>
    </xf>
    <xf numFmtId="9" fontId="56" fillId="19" borderId="15" xfId="33" applyFont="1" applyFill="1" applyBorder="1" applyAlignment="1" applyProtection="1">
      <alignment horizontal="justify" vertical="top" wrapText="1"/>
    </xf>
    <xf numFmtId="9" fontId="56" fillId="19" borderId="64" xfId="33" applyFont="1" applyFill="1" applyBorder="1" applyAlignment="1" applyProtection="1">
      <alignment horizontal="justify" vertical="top" wrapText="1"/>
    </xf>
    <xf numFmtId="9" fontId="56" fillId="19" borderId="65" xfId="33" applyFont="1" applyFill="1" applyBorder="1" applyAlignment="1" applyProtection="1">
      <alignment horizontal="justify" vertical="top" wrapText="1"/>
    </xf>
    <xf numFmtId="9" fontId="56" fillId="19" borderId="16" xfId="33" applyFont="1" applyFill="1" applyBorder="1" applyAlignment="1" applyProtection="1">
      <alignment horizontal="justify" vertical="top" wrapText="1"/>
    </xf>
    <xf numFmtId="9" fontId="56" fillId="19" borderId="23" xfId="33" applyFont="1" applyFill="1" applyBorder="1" applyAlignment="1" applyProtection="1">
      <alignment horizontal="justify" vertical="top" wrapText="1"/>
    </xf>
    <xf numFmtId="9" fontId="56" fillId="19" borderId="45" xfId="33" applyFont="1" applyFill="1" applyBorder="1" applyAlignment="1" applyProtection="1">
      <alignment horizontal="justify" vertical="top" wrapText="1"/>
    </xf>
    <xf numFmtId="0" fontId="19" fillId="20" borderId="5" xfId="25" applyFont="1" applyFill="1" applyBorder="1" applyAlignment="1">
      <alignment horizontal="center" vertical="center" wrapText="1"/>
    </xf>
    <xf numFmtId="0" fontId="19" fillId="20" borderId="1" xfId="25" applyFont="1" applyFill="1" applyBorder="1" applyAlignment="1">
      <alignment horizontal="center" vertical="center" wrapText="1"/>
    </xf>
    <xf numFmtId="0" fontId="19" fillId="20" borderId="9" xfId="25" applyFont="1" applyFill="1" applyBorder="1" applyAlignment="1">
      <alignment horizontal="center" vertical="center" wrapText="1"/>
    </xf>
    <xf numFmtId="0" fontId="19" fillId="20" borderId="20" xfId="25" applyFont="1" applyFill="1" applyBorder="1" applyAlignment="1">
      <alignment horizontal="center" vertical="center" wrapText="1"/>
    </xf>
    <xf numFmtId="0" fontId="19" fillId="20" borderId="3" xfId="25" applyFont="1" applyFill="1" applyBorder="1" applyAlignment="1">
      <alignment horizontal="center" vertical="center" wrapText="1"/>
    </xf>
    <xf numFmtId="0" fontId="19" fillId="20" borderId="58" xfId="25" applyFont="1" applyFill="1" applyBorder="1" applyAlignment="1">
      <alignment horizontal="center" vertical="center" wrapText="1"/>
    </xf>
    <xf numFmtId="0" fontId="19" fillId="20" borderId="7" xfId="25" applyFont="1" applyFill="1" applyBorder="1" applyAlignment="1">
      <alignment horizontal="center" vertical="center" wrapText="1"/>
    </xf>
    <xf numFmtId="0" fontId="19" fillId="19" borderId="34" xfId="25" applyFont="1" applyFill="1" applyBorder="1" applyAlignment="1">
      <alignment horizontal="center" vertical="center" wrapText="1"/>
    </xf>
    <xf numFmtId="0" fontId="19" fillId="19" borderId="48" xfId="25" applyFont="1" applyFill="1" applyBorder="1" applyAlignment="1">
      <alignment horizontal="center" vertical="center" wrapText="1"/>
    </xf>
    <xf numFmtId="0" fontId="19" fillId="19" borderId="35" xfId="25" applyFont="1" applyFill="1" applyBorder="1" applyAlignment="1">
      <alignment horizontal="center" vertical="center" wrapText="1"/>
    </xf>
    <xf numFmtId="0" fontId="19" fillId="19" borderId="49" xfId="25" applyFont="1" applyFill="1" applyBorder="1" applyAlignment="1">
      <alignment horizontal="center" vertical="center" wrapText="1"/>
    </xf>
    <xf numFmtId="0" fontId="19" fillId="20" borderId="8" xfId="25" applyFont="1" applyFill="1" applyBorder="1" applyAlignment="1">
      <alignment horizontal="center" vertical="center" wrapText="1"/>
    </xf>
    <xf numFmtId="0" fontId="19" fillId="20" borderId="2" xfId="25" applyFont="1" applyFill="1" applyBorder="1" applyAlignment="1">
      <alignment horizontal="center" vertical="center" wrapText="1"/>
    </xf>
    <xf numFmtId="0" fontId="19" fillId="20" borderId="21" xfId="25" applyFont="1" applyFill="1" applyBorder="1" applyAlignment="1">
      <alignment horizontal="center" vertical="center" wrapText="1"/>
    </xf>
    <xf numFmtId="0" fontId="19" fillId="19" borderId="42" xfId="25" applyFont="1" applyFill="1" applyBorder="1" applyAlignment="1">
      <alignment horizontal="center" vertical="center" wrapText="1"/>
    </xf>
    <xf numFmtId="0" fontId="19" fillId="19" borderId="43" xfId="25" applyFont="1" applyFill="1" applyBorder="1" applyAlignment="1">
      <alignment horizontal="center" vertical="center" wrapText="1"/>
    </xf>
    <xf numFmtId="0" fontId="19" fillId="19" borderId="44" xfId="25" applyFont="1" applyFill="1" applyBorder="1" applyAlignment="1">
      <alignment horizontal="center" vertical="center" wrapText="1"/>
    </xf>
    <xf numFmtId="0" fontId="19" fillId="20" borderId="23" xfId="25" applyFont="1" applyFill="1" applyBorder="1" applyAlignment="1">
      <alignment horizontal="center" vertical="center" wrapText="1"/>
    </xf>
    <xf numFmtId="0" fontId="19" fillId="20" borderId="6" xfId="25" applyFont="1" applyFill="1" applyBorder="1" applyAlignment="1">
      <alignment horizontal="center" vertical="center" wrapText="1"/>
    </xf>
    <xf numFmtId="0" fontId="19" fillId="20" borderId="59" xfId="25" applyFont="1" applyFill="1" applyBorder="1" applyAlignment="1">
      <alignment horizontal="center" vertical="center" wrapText="1"/>
    </xf>
    <xf numFmtId="0" fontId="19" fillId="20" borderId="25" xfId="25" applyFont="1" applyFill="1" applyBorder="1" applyAlignment="1">
      <alignment horizontal="center" vertical="center" wrapText="1"/>
    </xf>
    <xf numFmtId="0" fontId="19" fillId="20" borderId="60" xfId="25" applyFont="1" applyFill="1" applyBorder="1" applyAlignment="1">
      <alignment horizontal="center" vertical="center" wrapText="1"/>
    </xf>
    <xf numFmtId="0" fontId="19" fillId="20" borderId="46" xfId="25" applyFont="1" applyFill="1" applyBorder="1" applyAlignment="1">
      <alignment horizontal="center" vertical="center" wrapText="1"/>
    </xf>
    <xf numFmtId="9" fontId="19" fillId="0" borderId="42" xfId="25" applyNumberFormat="1" applyFont="1" applyBorder="1" applyAlignment="1">
      <alignment horizontal="center" vertical="center" wrapText="1"/>
    </xf>
    <xf numFmtId="9" fontId="19" fillId="0" borderId="44" xfId="25" applyNumberFormat="1" applyFont="1" applyBorder="1" applyAlignment="1">
      <alignment horizontal="center" vertical="center" wrapText="1"/>
    </xf>
    <xf numFmtId="0" fontId="19" fillId="19" borderId="15" xfId="25" applyFont="1" applyFill="1" applyBorder="1" applyAlignment="1">
      <alignment horizontal="left" vertical="center" wrapText="1"/>
    </xf>
    <xf numFmtId="0" fontId="19" fillId="20" borderId="42" xfId="25" applyFont="1" applyFill="1" applyBorder="1" applyAlignment="1">
      <alignment horizontal="left" vertical="center" wrapText="1"/>
    </xf>
    <xf numFmtId="0" fontId="19" fillId="20" borderId="44" xfId="25" applyFont="1" applyFill="1" applyBorder="1" applyAlignment="1">
      <alignment horizontal="left" vertical="center" wrapText="1"/>
    </xf>
    <xf numFmtId="0" fontId="19" fillId="0" borderId="42" xfId="25" applyFont="1" applyBorder="1" applyAlignment="1">
      <alignment horizontal="center" vertical="center" wrapText="1"/>
    </xf>
    <xf numFmtId="0" fontId="19" fillId="0" borderId="43" xfId="25" applyFont="1" applyBorder="1" applyAlignment="1">
      <alignment horizontal="center" vertical="center" wrapText="1"/>
    </xf>
    <xf numFmtId="0" fontId="19" fillId="0" borderId="44" xfId="25" applyFont="1" applyBorder="1" applyAlignment="1">
      <alignment horizontal="center" vertical="center" wrapText="1"/>
    </xf>
    <xf numFmtId="4" fontId="19" fillId="0" borderId="59" xfId="25" applyNumberFormat="1" applyFont="1" applyBorder="1" applyAlignment="1">
      <alignment horizontal="center" vertical="center" wrapText="1"/>
    </xf>
    <xf numFmtId="4" fontId="19" fillId="0" borderId="25" xfId="25" applyNumberFormat="1" applyFont="1" applyBorder="1" applyAlignment="1">
      <alignment horizontal="center" vertical="center" wrapText="1"/>
    </xf>
    <xf numFmtId="0" fontId="63" fillId="0" borderId="1" xfId="25" applyFont="1" applyBorder="1" applyAlignment="1">
      <alignment horizontal="left" vertical="center" wrapText="1"/>
    </xf>
    <xf numFmtId="0" fontId="63" fillId="0" borderId="9" xfId="25" applyFont="1" applyBorder="1" applyAlignment="1">
      <alignment horizontal="left" vertical="center" wrapText="1"/>
    </xf>
    <xf numFmtId="0" fontId="19" fillId="0" borderId="61" xfId="25" applyFont="1" applyBorder="1" applyAlignment="1">
      <alignment horizontal="center" vertical="center" wrapText="1"/>
    </xf>
    <xf numFmtId="0" fontId="19" fillId="0" borderId="62" xfId="25" applyFont="1" applyBorder="1" applyAlignment="1">
      <alignment horizontal="center" vertical="center" wrapText="1"/>
    </xf>
    <xf numFmtId="0" fontId="19" fillId="0" borderId="35" xfId="25" applyFont="1" applyBorder="1" applyAlignment="1">
      <alignment horizontal="center" vertical="center" wrapText="1"/>
    </xf>
    <xf numFmtId="0" fontId="19" fillId="0" borderId="49" xfId="25" applyFont="1" applyBorder="1" applyAlignment="1">
      <alignment horizontal="center" vertical="center" wrapText="1"/>
    </xf>
    <xf numFmtId="0" fontId="56" fillId="20" borderId="1" xfId="25" applyFont="1" applyFill="1" applyBorder="1" applyAlignment="1">
      <alignment horizontal="center" vertical="center" wrapText="1"/>
    </xf>
    <xf numFmtId="0" fontId="60" fillId="0" borderId="52" xfId="0" applyFont="1" applyBorder="1" applyAlignment="1">
      <alignment horizontal="justify" vertical="center" wrapText="1"/>
    </xf>
    <xf numFmtId="0" fontId="60" fillId="0" borderId="22" xfId="0" applyFont="1" applyBorder="1" applyAlignment="1">
      <alignment horizontal="justify" vertical="center" wrapText="1"/>
    </xf>
    <xf numFmtId="0" fontId="59" fillId="0" borderId="50" xfId="0" applyFont="1" applyBorder="1" applyAlignment="1">
      <alignment horizontal="justify" vertical="center" wrapText="1"/>
    </xf>
    <xf numFmtId="0" fontId="59" fillId="0" borderId="51" xfId="0" applyFont="1" applyBorder="1" applyAlignment="1">
      <alignment horizontal="justify" vertical="center" wrapText="1"/>
    </xf>
    <xf numFmtId="0" fontId="19" fillId="20" borderId="47" xfId="25" applyFont="1" applyFill="1" applyBorder="1" applyAlignment="1">
      <alignment horizontal="left" vertical="center" wrapText="1"/>
    </xf>
    <xf numFmtId="0" fontId="19" fillId="20" borderId="12" xfId="25" applyFont="1" applyFill="1" applyBorder="1" applyAlignment="1">
      <alignment horizontal="left" vertical="center" wrapText="1"/>
    </xf>
    <xf numFmtId="0" fontId="19" fillId="20" borderId="13" xfId="25" applyFont="1" applyFill="1" applyBorder="1" applyAlignment="1">
      <alignment horizontal="left" vertical="center" wrapText="1"/>
    </xf>
    <xf numFmtId="0" fontId="19" fillId="20" borderId="14" xfId="25" applyFont="1" applyFill="1" applyBorder="1" applyAlignment="1">
      <alignment horizontal="left" vertical="center" wrapText="1"/>
    </xf>
    <xf numFmtId="0" fontId="19" fillId="20" borderId="45" xfId="25" applyFont="1" applyFill="1" applyBorder="1" applyAlignment="1">
      <alignment horizontal="left" vertical="center" wrapText="1"/>
    </xf>
    <xf numFmtId="0" fontId="19" fillId="20" borderId="16" xfId="25" applyFont="1" applyFill="1" applyBorder="1" applyAlignment="1">
      <alignment horizontal="left" vertical="center" wrapText="1"/>
    </xf>
    <xf numFmtId="0" fontId="58" fillId="0" borderId="53" xfId="0" applyFont="1" applyBorder="1" applyAlignment="1">
      <alignment horizontal="center" vertical="center"/>
    </xf>
    <xf numFmtId="0" fontId="58" fillId="0" borderId="54" xfId="0" applyFont="1" applyBorder="1" applyAlignment="1">
      <alignment horizontal="center" vertical="center"/>
    </xf>
    <xf numFmtId="0" fontId="58" fillId="0" borderId="55" xfId="0" applyFont="1" applyBorder="1" applyAlignment="1">
      <alignment horizontal="center" vertical="center"/>
    </xf>
    <xf numFmtId="0" fontId="19" fillId="0" borderId="29" xfId="25" applyFont="1" applyBorder="1" applyAlignment="1">
      <alignment horizontal="center" vertical="center" wrapText="1"/>
    </xf>
    <xf numFmtId="0" fontId="19" fillId="0" borderId="30" xfId="25" applyFont="1" applyBorder="1" applyAlignment="1">
      <alignment horizontal="center" vertical="center" wrapText="1"/>
    </xf>
    <xf numFmtId="0" fontId="19" fillId="0" borderId="31" xfId="25" applyFont="1" applyBorder="1" applyAlignment="1">
      <alignment horizontal="center" vertical="center" wrapText="1"/>
    </xf>
    <xf numFmtId="0" fontId="19" fillId="20" borderId="42" xfId="25" applyFont="1" applyFill="1" applyBorder="1" applyAlignment="1">
      <alignment horizontal="center" vertical="center" wrapText="1"/>
    </xf>
    <xf numFmtId="0" fontId="19" fillId="20" borderId="44" xfId="25" applyFont="1" applyFill="1" applyBorder="1" applyAlignment="1">
      <alignment horizontal="center" vertical="center" wrapText="1"/>
    </xf>
    <xf numFmtId="2" fontId="19" fillId="0" borderId="42" xfId="31" applyNumberFormat="1" applyFont="1" applyFill="1" applyBorder="1" applyAlignment="1" applyProtection="1">
      <alignment horizontal="center" vertical="center" wrapText="1"/>
    </xf>
    <xf numFmtId="2" fontId="19" fillId="0" borderId="44" xfId="31" applyNumberFormat="1" applyFont="1" applyFill="1" applyBorder="1" applyAlignment="1" applyProtection="1">
      <alignment horizontal="center" vertical="center" wrapText="1"/>
    </xf>
    <xf numFmtId="0" fontId="19" fillId="20" borderId="43" xfId="25" applyFont="1" applyFill="1" applyBorder="1" applyAlignment="1">
      <alignment horizontal="center" vertical="center" wrapText="1"/>
    </xf>
    <xf numFmtId="0" fontId="59" fillId="0" borderId="56" xfId="0" applyFont="1" applyBorder="1" applyAlignment="1">
      <alignment horizontal="justify" vertical="center" wrapText="1"/>
    </xf>
    <xf numFmtId="0" fontId="59" fillId="0" borderId="57" xfId="0" applyFont="1" applyBorder="1" applyAlignment="1">
      <alignment horizontal="justify" vertical="center" wrapText="1"/>
    </xf>
    <xf numFmtId="0" fontId="59" fillId="0" borderId="56" xfId="0" applyFont="1" applyBorder="1" applyAlignment="1">
      <alignment horizontal="center" vertical="center" wrapText="1"/>
    </xf>
    <xf numFmtId="0" fontId="59" fillId="0" borderId="57" xfId="0" applyFont="1" applyBorder="1" applyAlignment="1">
      <alignment horizontal="center" vertical="center" wrapText="1"/>
    </xf>
    <xf numFmtId="0" fontId="19" fillId="0" borderId="47" xfId="25" applyFont="1" applyBorder="1" applyAlignment="1">
      <alignment horizontal="left" vertical="center" wrapText="1"/>
    </xf>
    <xf numFmtId="0" fontId="19" fillId="0" borderId="11" xfId="25" applyFont="1" applyBorder="1" applyAlignment="1">
      <alignment horizontal="left" vertical="center" wrapText="1"/>
    </xf>
    <xf numFmtId="0" fontId="19" fillId="0" borderId="12" xfId="25" applyFont="1" applyBorder="1" applyAlignment="1">
      <alignment horizontal="left" vertical="center" wrapText="1"/>
    </xf>
    <xf numFmtId="0" fontId="19" fillId="0" borderId="13" xfId="25" applyFont="1" applyBorder="1" applyAlignment="1">
      <alignment horizontal="left" vertical="center" wrapText="1"/>
    </xf>
    <xf numFmtId="0" fontId="19" fillId="0" borderId="0" xfId="25" applyFont="1" applyAlignment="1">
      <alignment horizontal="left" vertical="center" wrapText="1"/>
    </xf>
    <xf numFmtId="0" fontId="19" fillId="0" borderId="14" xfId="25" applyFont="1" applyBorder="1" applyAlignment="1">
      <alignment horizontal="left" vertical="center" wrapText="1"/>
    </xf>
    <xf numFmtId="0" fontId="19" fillId="0" borderId="45" xfId="25" applyFont="1" applyBorder="1" applyAlignment="1">
      <alignment horizontal="left" vertical="center" wrapText="1"/>
    </xf>
    <xf numFmtId="0" fontId="19" fillId="0" borderId="15" xfId="25" applyFont="1" applyBorder="1" applyAlignment="1">
      <alignment horizontal="left" vertical="center" wrapText="1"/>
    </xf>
    <xf numFmtId="0" fontId="19" fillId="0" borderId="16" xfId="25" applyFont="1" applyBorder="1" applyAlignment="1">
      <alignment horizontal="left" vertical="center" wrapText="1"/>
    </xf>
    <xf numFmtId="0" fontId="19" fillId="20" borderId="13" xfId="25" applyFont="1" applyFill="1" applyBorder="1" applyAlignment="1">
      <alignment horizontal="center" vertical="center" wrapText="1"/>
    </xf>
    <xf numFmtId="0" fontId="19" fillId="20" borderId="0" xfId="25" applyFont="1" applyFill="1" applyAlignment="1">
      <alignment horizontal="center" vertical="center" wrapText="1"/>
    </xf>
    <xf numFmtId="0" fontId="19" fillId="20" borderId="14" xfId="25" applyFont="1" applyFill="1" applyBorder="1" applyAlignment="1">
      <alignment horizontal="center" vertical="center" wrapText="1"/>
    </xf>
    <xf numFmtId="0" fontId="19" fillId="20" borderId="45" xfId="25" applyFont="1" applyFill="1" applyBorder="1" applyAlignment="1">
      <alignment horizontal="center" vertical="center" wrapText="1"/>
    </xf>
    <xf numFmtId="0" fontId="19" fillId="20" borderId="15" xfId="25" applyFont="1" applyFill="1" applyBorder="1" applyAlignment="1">
      <alignment horizontal="center" vertical="center" wrapText="1"/>
    </xf>
    <xf numFmtId="0" fontId="19" fillId="20" borderId="16" xfId="25" applyFont="1" applyFill="1" applyBorder="1" applyAlignment="1">
      <alignment horizontal="center" vertical="center" wrapText="1"/>
    </xf>
    <xf numFmtId="0" fontId="56" fillId="0" borderId="47" xfId="25" applyFont="1" applyBorder="1" applyAlignment="1">
      <alignment horizontal="center" vertical="center" wrapText="1"/>
    </xf>
    <xf numFmtId="0" fontId="56" fillId="0" borderId="13" xfId="25" applyFont="1" applyBorder="1" applyAlignment="1">
      <alignment horizontal="center" vertical="center" wrapText="1"/>
    </xf>
    <xf numFmtId="0" fontId="56" fillId="0" borderId="45" xfId="25" applyFont="1" applyBorder="1" applyAlignment="1">
      <alignment horizontal="center" vertical="center" wrapText="1"/>
    </xf>
    <xf numFmtId="0" fontId="19" fillId="0" borderId="29" xfId="25" applyFont="1" applyBorder="1" applyAlignment="1">
      <alignment horizontal="center" vertical="center"/>
    </xf>
    <xf numFmtId="0" fontId="19" fillId="0" borderId="30" xfId="25" applyFont="1" applyBorder="1" applyAlignment="1">
      <alignment horizontal="center" vertical="center"/>
    </xf>
    <xf numFmtId="0" fontId="19" fillId="0" borderId="31" xfId="25" applyFont="1" applyBorder="1" applyAlignment="1">
      <alignment horizontal="center" vertical="center"/>
    </xf>
    <xf numFmtId="0" fontId="19" fillId="0" borderId="48" xfId="0" applyFont="1" applyBorder="1" applyAlignment="1">
      <alignment horizontal="left" vertical="center" wrapText="1"/>
    </xf>
    <xf numFmtId="0" fontId="19" fillId="0" borderId="35" xfId="0" applyFont="1" applyBorder="1" applyAlignment="1">
      <alignment horizontal="left" vertical="center" wrapText="1"/>
    </xf>
    <xf numFmtId="0" fontId="19" fillId="0" borderId="49"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61" fillId="0" borderId="42" xfId="25" applyFont="1" applyBorder="1" applyAlignment="1">
      <alignment horizontal="left" vertical="center" wrapText="1"/>
    </xf>
    <xf numFmtId="0" fontId="61" fillId="0" borderId="43" xfId="25" applyFont="1" applyBorder="1" applyAlignment="1">
      <alignment horizontal="left" vertical="center" wrapText="1"/>
    </xf>
    <xf numFmtId="0" fontId="61" fillId="0" borderId="44" xfId="25" applyFont="1" applyBorder="1" applyAlignment="1">
      <alignment horizontal="left" vertical="center" wrapText="1"/>
    </xf>
    <xf numFmtId="0" fontId="19" fillId="30" borderId="34" xfId="25" applyFont="1" applyFill="1" applyBorder="1" applyAlignment="1">
      <alignment horizontal="center" vertical="center" wrapText="1"/>
    </xf>
    <xf numFmtId="0" fontId="19" fillId="30" borderId="35" xfId="25" applyFont="1" applyFill="1" applyBorder="1" applyAlignment="1">
      <alignment horizontal="center" vertical="center" wrapText="1"/>
    </xf>
    <xf numFmtId="0" fontId="19" fillId="30" borderId="49" xfId="25" applyFont="1" applyFill="1" applyBorder="1" applyAlignment="1">
      <alignment horizontal="center" vertical="center" wrapText="1"/>
    </xf>
    <xf numFmtId="0" fontId="19" fillId="30" borderId="26" xfId="25" applyFont="1" applyFill="1" applyBorder="1" applyAlignment="1">
      <alignment horizontal="center" vertical="center" wrapText="1"/>
    </xf>
    <xf numFmtId="0" fontId="19" fillId="30" borderId="19" xfId="25" applyFont="1" applyFill="1" applyBorder="1" applyAlignment="1">
      <alignment horizontal="center" vertical="center" wrapText="1"/>
    </xf>
    <xf numFmtId="0" fontId="19" fillId="30" borderId="37" xfId="25" applyFont="1" applyFill="1" applyBorder="1" applyAlignment="1">
      <alignment horizontal="center" vertical="center" wrapText="1"/>
    </xf>
    <xf numFmtId="0" fontId="52" fillId="0" borderId="41" xfId="0" applyFont="1" applyBorder="1" applyAlignment="1">
      <alignment horizontal="left" vertical="center" wrapText="1"/>
    </xf>
    <xf numFmtId="0" fontId="52" fillId="0" borderId="19" xfId="0" applyFont="1" applyBorder="1" applyAlignment="1">
      <alignment horizontal="left" vertical="center" wrapText="1"/>
    </xf>
    <xf numFmtId="0" fontId="52" fillId="0" borderId="37" xfId="0" applyFont="1" applyBorder="1" applyAlignment="1">
      <alignment horizontal="left" vertical="center" wrapText="1"/>
    </xf>
    <xf numFmtId="0" fontId="19" fillId="20" borderId="47" xfId="25" applyFont="1" applyFill="1" applyBorder="1" applyAlignment="1">
      <alignment horizontal="justify" vertical="center" wrapText="1"/>
    </xf>
    <xf numFmtId="0" fontId="19" fillId="20" borderId="11" xfId="25" applyFont="1" applyFill="1" applyBorder="1" applyAlignment="1">
      <alignment horizontal="justify" vertical="center" wrapText="1"/>
    </xf>
    <xf numFmtId="0" fontId="19" fillId="20" borderId="12" xfId="25" applyFont="1" applyFill="1" applyBorder="1" applyAlignment="1">
      <alignment horizontal="justify" vertical="center" wrapText="1"/>
    </xf>
    <xf numFmtId="0" fontId="19" fillId="20" borderId="13" xfId="25" applyFont="1" applyFill="1" applyBorder="1" applyAlignment="1">
      <alignment horizontal="justify" vertical="center" wrapText="1"/>
    </xf>
    <xf numFmtId="0" fontId="19" fillId="20" borderId="0" xfId="25" applyFont="1" applyFill="1" applyAlignment="1">
      <alignment horizontal="justify" vertical="center" wrapText="1"/>
    </xf>
    <xf numFmtId="0" fontId="19" fillId="20" borderId="14" xfId="25" applyFont="1" applyFill="1" applyBorder="1" applyAlignment="1">
      <alignment horizontal="justify" vertical="center" wrapText="1"/>
    </xf>
    <xf numFmtId="0" fontId="19" fillId="20" borderId="45" xfId="25" applyFont="1" applyFill="1" applyBorder="1" applyAlignment="1">
      <alignment horizontal="justify" vertical="center" wrapText="1"/>
    </xf>
    <xf numFmtId="0" fontId="19" fillId="20" borderId="15" xfId="25" applyFont="1" applyFill="1" applyBorder="1" applyAlignment="1">
      <alignment horizontal="justify" vertical="center" wrapText="1"/>
    </xf>
    <xf numFmtId="0" fontId="19" fillId="20" borderId="16" xfId="25" applyFont="1" applyFill="1" applyBorder="1" applyAlignment="1">
      <alignment horizontal="justify" vertical="center" wrapText="1"/>
    </xf>
    <xf numFmtId="14" fontId="58" fillId="0" borderId="47" xfId="0" applyNumberFormat="1" applyFont="1" applyBorder="1" applyAlignment="1">
      <alignment horizontal="center" vertical="center" wrapText="1"/>
    </xf>
    <xf numFmtId="0" fontId="58" fillId="0" borderId="12"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16"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52" xfId="0" applyFont="1" applyBorder="1" applyAlignment="1">
      <alignment horizontal="justify" vertical="center" wrapText="1"/>
    </xf>
    <xf numFmtId="0" fontId="59" fillId="0" borderId="22" xfId="0" applyFont="1" applyBorder="1" applyAlignment="1">
      <alignment horizontal="justify" vertical="center" wrapText="1"/>
    </xf>
    <xf numFmtId="9" fontId="24" fillId="0" borderId="85" xfId="0" applyNumberFormat="1" applyFont="1" applyBorder="1" applyAlignment="1">
      <alignment horizontal="justify" vertical="center" wrapText="1"/>
    </xf>
    <xf numFmtId="9" fontId="24" fillId="0" borderId="88" xfId="0" applyNumberFormat="1" applyFont="1" applyBorder="1" applyAlignment="1">
      <alignment horizontal="justify" vertical="center" wrapText="1"/>
    </xf>
    <xf numFmtId="174" fontId="22" fillId="0" borderId="85" xfId="0" applyNumberFormat="1" applyFont="1" applyBorder="1" applyAlignment="1">
      <alignment horizontal="center" vertical="center" wrapText="1"/>
    </xf>
    <xf numFmtId="174" fontId="22" fillId="0" borderId="88" xfId="0" applyNumberFormat="1" applyFont="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9" fontId="56" fillId="0" borderId="5" xfId="25" applyNumberFormat="1" applyFont="1" applyBorder="1" applyAlignment="1">
      <alignment horizontal="justify" vertical="center" wrapText="1"/>
    </xf>
    <xf numFmtId="9" fontId="56" fillId="0" borderId="1" xfId="25" applyNumberFormat="1" applyFont="1" applyBorder="1" applyAlignment="1">
      <alignment horizontal="justify" vertical="center" wrapText="1"/>
    </xf>
    <xf numFmtId="9" fontId="56" fillId="0" borderId="9" xfId="25" applyNumberFormat="1" applyFont="1" applyBorder="1" applyAlignment="1">
      <alignment horizontal="justify" vertical="center" wrapText="1"/>
    </xf>
    <xf numFmtId="9" fontId="56" fillId="0" borderId="41" xfId="25" applyNumberFormat="1" applyFont="1" applyBorder="1" applyAlignment="1">
      <alignment horizontal="justify" vertical="center" wrapText="1"/>
    </xf>
    <xf numFmtId="9" fontId="56" fillId="0" borderId="19" xfId="25" applyNumberFormat="1" applyFont="1" applyBorder="1" applyAlignment="1">
      <alignment horizontal="justify" vertical="center" wrapText="1"/>
    </xf>
    <xf numFmtId="9" fontId="56" fillId="0" borderId="37" xfId="25" applyNumberFormat="1" applyFont="1" applyBorder="1" applyAlignment="1">
      <alignment horizontal="justify" vertical="center" wrapText="1"/>
    </xf>
    <xf numFmtId="0" fontId="23" fillId="26" borderId="85" xfId="0" applyFont="1" applyFill="1" applyBorder="1" applyAlignment="1">
      <alignment horizontal="justify" vertical="center" wrapText="1"/>
    </xf>
    <xf numFmtId="0" fontId="23" fillId="26" borderId="88" xfId="0" applyFont="1" applyFill="1" applyBorder="1" applyAlignment="1">
      <alignment horizontal="justify" vertical="center" wrapText="1"/>
    </xf>
    <xf numFmtId="0" fontId="23" fillId="26" borderId="85" xfId="0" applyFont="1" applyFill="1" applyBorder="1" applyAlignment="1">
      <alignment horizontal="center" vertical="center" wrapText="1"/>
    </xf>
    <xf numFmtId="0" fontId="23" fillId="26" borderId="88" xfId="0" applyFont="1" applyFill="1" applyBorder="1" applyAlignment="1">
      <alignment horizontal="center" vertical="center" wrapText="1"/>
    </xf>
    <xf numFmtId="0" fontId="23" fillId="26" borderId="89" xfId="0" applyFont="1" applyFill="1" applyBorder="1" applyAlignment="1">
      <alignment horizontal="center" vertical="center" wrapText="1"/>
    </xf>
    <xf numFmtId="0" fontId="23" fillId="26" borderId="90" xfId="0" applyFont="1" applyFill="1" applyBorder="1" applyAlignment="1">
      <alignment horizontal="center" vertical="center" wrapText="1"/>
    </xf>
    <xf numFmtId="0" fontId="23" fillId="26" borderId="91" xfId="0" applyFont="1" applyFill="1" applyBorder="1" applyAlignment="1">
      <alignment horizontal="center" vertical="center" wrapText="1"/>
    </xf>
    <xf numFmtId="9" fontId="22" fillId="0" borderId="85" xfId="0" applyNumberFormat="1" applyFont="1" applyBorder="1" applyAlignment="1">
      <alignment horizontal="center" vertical="center" wrapText="1"/>
    </xf>
    <xf numFmtId="9" fontId="22" fillId="0" borderId="88" xfId="0" applyNumberFormat="1" applyFont="1" applyBorder="1" applyAlignment="1">
      <alignment horizontal="center" vertical="center" wrapText="1"/>
    </xf>
    <xf numFmtId="2" fontId="56" fillId="0" borderId="8" xfId="25" applyNumberFormat="1" applyFont="1" applyBorder="1" applyAlignment="1">
      <alignment horizontal="justify" vertical="top" wrapText="1"/>
    </xf>
    <xf numFmtId="2" fontId="56" fillId="0" borderId="26" xfId="25" applyNumberFormat="1" applyFont="1" applyBorder="1" applyAlignment="1">
      <alignment horizontal="justify" vertical="top" wrapText="1"/>
    </xf>
    <xf numFmtId="0" fontId="42" fillId="0" borderId="52" xfId="0" applyFont="1" applyBorder="1" applyAlignment="1">
      <alignment horizontal="center" vertical="center" wrapText="1"/>
    </xf>
    <xf numFmtId="0" fontId="42" fillId="0" borderId="22" xfId="0" applyFont="1" applyBorder="1" applyAlignment="1">
      <alignment horizontal="center" vertical="center" wrapText="1"/>
    </xf>
    <xf numFmtId="0" fontId="12" fillId="19" borderId="15" xfId="25" applyFont="1" applyFill="1" applyBorder="1" applyAlignment="1">
      <alignment horizontal="left" vertical="center" wrapText="1"/>
    </xf>
    <xf numFmtId="0" fontId="12" fillId="0" borderId="10" xfId="25" applyFont="1" applyBorder="1" applyAlignment="1">
      <alignment horizontal="center" vertical="center" wrapText="1"/>
    </xf>
    <xf numFmtId="0" fontId="12" fillId="0" borderId="33" xfId="25" applyFont="1" applyBorder="1" applyAlignment="1">
      <alignment horizontal="center" vertical="center" wrapText="1"/>
    </xf>
    <xf numFmtId="0" fontId="12" fillId="20" borderId="59" xfId="25" applyFont="1" applyFill="1" applyBorder="1" applyAlignment="1">
      <alignment horizontal="center" vertical="center" wrapText="1"/>
    </xf>
    <xf numFmtId="0" fontId="12" fillId="20" borderId="25" xfId="25" applyFont="1" applyFill="1" applyBorder="1" applyAlignment="1">
      <alignment horizontal="center" vertical="center" wrapText="1"/>
    </xf>
    <xf numFmtId="0" fontId="12" fillId="20" borderId="20" xfId="25" applyFont="1" applyFill="1" applyBorder="1" applyAlignment="1">
      <alignment horizontal="center" vertical="center" wrapText="1"/>
    </xf>
    <xf numFmtId="0" fontId="12" fillId="20" borderId="58" xfId="25" applyFont="1" applyFill="1"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12" fillId="19" borderId="20" xfId="25" applyFont="1" applyFill="1" applyBorder="1" applyAlignment="1">
      <alignment horizontal="center" vertical="center" wrapText="1"/>
    </xf>
    <xf numFmtId="0" fontId="12" fillId="19" borderId="3" xfId="25" applyFont="1" applyFill="1" applyBorder="1" applyAlignment="1">
      <alignment horizontal="center" vertical="center" wrapText="1"/>
    </xf>
    <xf numFmtId="0" fontId="12" fillId="19" borderId="7" xfId="25" applyFont="1" applyFill="1" applyBorder="1" applyAlignment="1">
      <alignment horizontal="center" vertical="center" wrapText="1"/>
    </xf>
    <xf numFmtId="0" fontId="48" fillId="0" borderId="47"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45" xfId="0" applyFont="1" applyBorder="1" applyAlignment="1">
      <alignment horizontal="center" vertical="center"/>
    </xf>
    <xf numFmtId="0" fontId="48" fillId="0" borderId="16" xfId="0" applyFont="1" applyBorder="1" applyAlignment="1">
      <alignment horizontal="center" vertical="center"/>
    </xf>
    <xf numFmtId="0" fontId="12" fillId="20" borderId="47" xfId="25" applyFont="1" applyFill="1" applyBorder="1" applyAlignment="1">
      <alignment horizontal="center" vertical="center" wrapText="1"/>
    </xf>
    <xf numFmtId="0" fontId="12" fillId="20" borderId="12" xfId="25" applyFont="1" applyFill="1" applyBorder="1" applyAlignment="1">
      <alignment horizontal="center" vertical="center" wrapText="1"/>
    </xf>
    <xf numFmtId="0" fontId="12" fillId="20" borderId="13" xfId="25" applyFont="1" applyFill="1" applyBorder="1" applyAlignment="1">
      <alignment horizontal="center" vertical="center" wrapText="1"/>
    </xf>
    <xf numFmtId="0" fontId="12" fillId="20" borderId="14" xfId="25" applyFont="1" applyFill="1" applyBorder="1" applyAlignment="1">
      <alignment horizontal="center" vertical="center" wrapText="1"/>
    </xf>
    <xf numFmtId="0" fontId="12" fillId="20" borderId="45" xfId="25" applyFont="1" applyFill="1" applyBorder="1" applyAlignment="1">
      <alignment horizontal="center" vertical="center" wrapText="1"/>
    </xf>
    <xf numFmtId="0" fontId="12" fillId="20" borderId="16" xfId="25" applyFont="1" applyFill="1" applyBorder="1" applyAlignment="1">
      <alignment horizontal="center" vertical="center" wrapText="1"/>
    </xf>
    <xf numFmtId="0" fontId="12" fillId="20" borderId="42" xfId="25" applyFont="1" applyFill="1" applyBorder="1" applyAlignment="1">
      <alignment horizontal="left" vertical="center" wrapText="1"/>
    </xf>
    <xf numFmtId="0" fontId="12" fillId="20" borderId="44" xfId="25" applyFont="1" applyFill="1" applyBorder="1" applyAlignment="1">
      <alignment horizontal="left" vertical="center" wrapText="1"/>
    </xf>
    <xf numFmtId="0" fontId="15" fillId="0" borderId="42"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44" xfId="25" applyFont="1" applyBorder="1" applyAlignment="1">
      <alignment horizontal="center" vertical="center" wrapText="1"/>
    </xf>
    <xf numFmtId="172" fontId="12" fillId="19" borderId="56" xfId="20" applyNumberFormat="1" applyFont="1" applyFill="1" applyBorder="1" applyAlignment="1" applyProtection="1">
      <alignment horizontal="center" vertical="center" wrapText="1"/>
    </xf>
    <xf numFmtId="172" fontId="12" fillId="19" borderId="67" xfId="20" applyNumberFormat="1" applyFont="1" applyFill="1" applyBorder="1" applyAlignment="1" applyProtection="1">
      <alignment horizontal="center" vertical="center" wrapText="1"/>
    </xf>
    <xf numFmtId="172" fontId="12" fillId="19" borderId="41" xfId="20" applyNumberFormat="1" applyFont="1" applyFill="1" applyBorder="1" applyAlignment="1" applyProtection="1">
      <alignment horizontal="center" vertical="center" wrapText="1"/>
    </xf>
    <xf numFmtId="0" fontId="12" fillId="19" borderId="52" xfId="25" applyFont="1" applyFill="1" applyBorder="1" applyAlignment="1">
      <alignment horizontal="center" vertical="center" wrapText="1"/>
    </xf>
    <xf numFmtId="0" fontId="12" fillId="19" borderId="60" xfId="25" applyFont="1" applyFill="1" applyBorder="1" applyAlignment="1">
      <alignment horizontal="center" vertical="center" wrapText="1"/>
    </xf>
    <xf numFmtId="0" fontId="12" fillId="19" borderId="5" xfId="25" applyFont="1" applyFill="1" applyBorder="1" applyAlignment="1">
      <alignment horizontal="center" vertical="center" wrapText="1"/>
    </xf>
    <xf numFmtId="172" fontId="12" fillId="0" borderId="2" xfId="20" applyNumberFormat="1" applyFont="1" applyFill="1" applyBorder="1" applyAlignment="1" applyProtection="1">
      <alignment horizontal="center" vertical="center" wrapText="1"/>
    </xf>
    <xf numFmtId="172" fontId="12" fillId="0" borderId="22" xfId="20" applyNumberFormat="1" applyFont="1" applyFill="1" applyBorder="1" applyAlignment="1" applyProtection="1">
      <alignment horizontal="center" vertical="center" wrapText="1"/>
    </xf>
    <xf numFmtId="172" fontId="12" fillId="19" borderId="21" xfId="20" applyNumberFormat="1" applyFont="1" applyFill="1" applyBorder="1" applyAlignment="1" applyProtection="1">
      <alignment horizontal="center" vertical="center" wrapText="1"/>
    </xf>
    <xf numFmtId="0" fontId="12" fillId="0" borderId="2" xfId="25" applyFont="1" applyBorder="1" applyAlignment="1">
      <alignment horizontal="center" vertical="center" wrapText="1"/>
    </xf>
    <xf numFmtId="0" fontId="12" fillId="0" borderId="60" xfId="25" applyFont="1" applyBorder="1" applyAlignment="1">
      <alignment horizontal="center" vertical="center" wrapText="1"/>
    </xf>
    <xf numFmtId="0" fontId="12" fillId="0" borderId="5" xfId="25" applyFont="1" applyBorder="1" applyAlignment="1">
      <alignment horizontal="center" vertical="center" wrapText="1"/>
    </xf>
    <xf numFmtId="0" fontId="12" fillId="0" borderId="47" xfId="25" applyFont="1" applyBorder="1" applyAlignment="1">
      <alignment horizontal="center" vertical="center"/>
    </xf>
    <xf numFmtId="0" fontId="12" fillId="0" borderId="11" xfId="25" applyFont="1" applyBorder="1" applyAlignment="1">
      <alignment horizontal="center" vertical="center"/>
    </xf>
    <xf numFmtId="0" fontId="12" fillId="0" borderId="12" xfId="25" applyFont="1" applyBorder="1" applyAlignment="1">
      <alignment horizontal="center" vertical="center"/>
    </xf>
    <xf numFmtId="9" fontId="44" fillId="0" borderId="59" xfId="25" applyNumberFormat="1" applyFont="1" applyBorder="1" applyAlignment="1">
      <alignment horizontal="center" vertical="center" wrapText="1"/>
    </xf>
    <xf numFmtId="9" fontId="44" fillId="0" borderId="24" xfId="25" applyNumberFormat="1" applyFont="1" applyBorder="1" applyAlignment="1">
      <alignment horizontal="center" vertical="center" wrapText="1"/>
    </xf>
    <xf numFmtId="9" fontId="44" fillId="0" borderId="65" xfId="25" applyNumberFormat="1" applyFont="1" applyBorder="1" applyAlignment="1">
      <alignment horizontal="center" vertical="center" wrapText="1"/>
    </xf>
    <xf numFmtId="9" fontId="44" fillId="0" borderId="68" xfId="25" applyNumberFormat="1" applyFont="1" applyBorder="1" applyAlignment="1">
      <alignment horizontal="center" vertical="center" wrapText="1"/>
    </xf>
    <xf numFmtId="9" fontId="44" fillId="0" borderId="0" xfId="25" applyNumberFormat="1" applyFont="1" applyAlignment="1">
      <alignment horizontal="center" vertical="center" wrapText="1"/>
    </xf>
    <xf numFmtId="9" fontId="44" fillId="0" borderId="14" xfId="25" applyNumberFormat="1" applyFont="1" applyBorder="1" applyAlignment="1">
      <alignment horizontal="center" vertical="center" wrapText="1"/>
    </xf>
    <xf numFmtId="0" fontId="12" fillId="19" borderId="34" xfId="25" applyFont="1" applyFill="1" applyBorder="1" applyAlignment="1">
      <alignment horizontal="center" vertical="center" wrapText="1"/>
    </xf>
    <xf numFmtId="0" fontId="12" fillId="19" borderId="48" xfId="25" applyFont="1" applyFill="1" applyBorder="1" applyAlignment="1">
      <alignment horizontal="center" vertical="center" wrapText="1"/>
    </xf>
    <xf numFmtId="0" fontId="12" fillId="19" borderId="35" xfId="25" applyFont="1" applyFill="1" applyBorder="1" applyAlignment="1">
      <alignment horizontal="center" vertical="center" wrapText="1"/>
    </xf>
    <xf numFmtId="0" fontId="12" fillId="19" borderId="49" xfId="25" applyFont="1" applyFill="1" applyBorder="1" applyAlignment="1">
      <alignment horizontal="center" vertical="center" wrapText="1"/>
    </xf>
    <xf numFmtId="0" fontId="12" fillId="20" borderId="1" xfId="25" applyFont="1" applyFill="1" applyBorder="1" applyAlignment="1">
      <alignment horizontal="center" vertical="center" wrapText="1"/>
    </xf>
    <xf numFmtId="0" fontId="12" fillId="20" borderId="5" xfId="25" applyFont="1" applyFill="1" applyBorder="1" applyAlignment="1">
      <alignment horizontal="center" vertical="center" wrapText="1"/>
    </xf>
    <xf numFmtId="0" fontId="12" fillId="20" borderId="35" xfId="25" applyFont="1" applyFill="1" applyBorder="1" applyAlignment="1">
      <alignment horizontal="center" vertical="center" wrapText="1"/>
    </xf>
    <xf numFmtId="0" fontId="12" fillId="0" borderId="13" xfId="25" applyFont="1" applyBorder="1" applyAlignment="1">
      <alignment horizontal="center" vertical="center"/>
    </xf>
    <xf numFmtId="0" fontId="12" fillId="0" borderId="0" xfId="25" applyFont="1" applyAlignment="1">
      <alignment horizontal="center" vertical="center"/>
    </xf>
    <xf numFmtId="0" fontId="12" fillId="0" borderId="14" xfId="25" applyFont="1" applyBorder="1" applyAlignment="1">
      <alignment horizontal="center" vertical="center"/>
    </xf>
    <xf numFmtId="0" fontId="12" fillId="19" borderId="0" xfId="25" applyFont="1" applyFill="1" applyAlignment="1">
      <alignment horizontal="center" vertical="center" wrapText="1"/>
    </xf>
    <xf numFmtId="0" fontId="12" fillId="0" borderId="42" xfId="25" applyFont="1" applyBorder="1" applyAlignment="1">
      <alignment horizontal="center" vertical="center" wrapText="1"/>
    </xf>
    <xf numFmtId="0" fontId="12" fillId="0" borderId="43" xfId="25" applyFont="1" applyBorder="1" applyAlignment="1">
      <alignment horizontal="center" vertical="center" wrapText="1"/>
    </xf>
    <xf numFmtId="0" fontId="12" fillId="0" borderId="44" xfId="25" applyFont="1" applyBorder="1" applyAlignment="1">
      <alignment horizontal="center" vertical="center" wrapText="1"/>
    </xf>
    <xf numFmtId="9" fontId="44" fillId="0" borderId="59" xfId="33" applyFont="1" applyFill="1" applyBorder="1" applyAlignment="1" applyProtection="1">
      <alignment horizontal="center" vertical="center" wrapText="1"/>
    </xf>
    <xf numFmtId="9" fontId="44" fillId="0" borderId="24" xfId="33" applyFont="1" applyFill="1" applyBorder="1" applyAlignment="1" applyProtection="1">
      <alignment horizontal="center" vertical="center" wrapText="1"/>
    </xf>
    <xf numFmtId="9" fontId="44" fillId="0" borderId="25" xfId="33" applyFont="1" applyFill="1" applyBorder="1" applyAlignment="1" applyProtection="1">
      <alignment horizontal="center" vertical="center" wrapText="1"/>
    </xf>
    <xf numFmtId="9" fontId="44" fillId="0" borderId="63" xfId="33" applyFont="1" applyFill="1" applyBorder="1" applyAlignment="1" applyProtection="1">
      <alignment horizontal="center" vertical="center" wrapText="1"/>
    </xf>
    <xf numFmtId="9" fontId="44" fillId="0" borderId="15" xfId="33" applyFont="1" applyFill="1" applyBorder="1" applyAlignment="1" applyProtection="1">
      <alignment horizontal="center" vertical="center" wrapText="1"/>
    </xf>
    <xf numFmtId="9" fontId="44" fillId="0" borderId="64" xfId="33" applyFont="1" applyFill="1" applyBorder="1" applyAlignment="1" applyProtection="1">
      <alignment horizontal="center" vertical="center" wrapText="1"/>
    </xf>
    <xf numFmtId="9" fontId="44" fillId="0" borderId="65" xfId="33" applyFont="1" applyFill="1" applyBorder="1" applyAlignment="1" applyProtection="1">
      <alignment horizontal="center" vertical="center" wrapText="1"/>
    </xf>
    <xf numFmtId="9" fontId="44" fillId="0" borderId="16" xfId="33" applyFont="1" applyFill="1" applyBorder="1" applyAlignment="1" applyProtection="1">
      <alignment horizontal="center" vertical="center" wrapText="1"/>
    </xf>
    <xf numFmtId="0" fontId="12" fillId="20" borderId="2" xfId="25" applyFont="1" applyFill="1" applyBorder="1" applyAlignment="1">
      <alignment horizontal="center" vertical="center" wrapText="1"/>
    </xf>
    <xf numFmtId="0" fontId="12" fillId="20" borderId="60" xfId="25" applyFont="1" applyFill="1" applyBorder="1" applyAlignment="1">
      <alignment horizontal="center" vertical="center" wrapText="1"/>
    </xf>
    <xf numFmtId="0" fontId="12" fillId="20" borderId="9" xfId="25" applyFont="1" applyFill="1" applyBorder="1" applyAlignment="1">
      <alignment horizontal="center" vertical="center" wrapText="1"/>
    </xf>
    <xf numFmtId="0" fontId="12" fillId="20" borderId="3" xfId="25" applyFont="1" applyFill="1" applyBorder="1" applyAlignment="1">
      <alignment horizontal="center" vertical="center" wrapText="1"/>
    </xf>
    <xf numFmtId="0" fontId="12" fillId="19" borderId="6" xfId="25" applyFont="1" applyFill="1" applyBorder="1" applyAlignment="1">
      <alignment horizontal="center" vertical="center" wrapText="1"/>
    </xf>
    <xf numFmtId="0" fontId="12" fillId="19" borderId="58" xfId="25" applyFont="1" applyFill="1" applyBorder="1" applyAlignment="1">
      <alignment horizontal="center" vertical="center" wrapText="1"/>
    </xf>
    <xf numFmtId="0" fontId="12" fillId="20" borderId="42" xfId="25" applyFont="1" applyFill="1" applyBorder="1" applyAlignment="1">
      <alignment horizontal="center" vertical="center" wrapText="1"/>
    </xf>
    <xf numFmtId="0" fontId="12" fillId="20" borderId="43" xfId="25" applyFont="1" applyFill="1" applyBorder="1" applyAlignment="1">
      <alignment horizontal="center" vertical="center" wrapText="1"/>
    </xf>
    <xf numFmtId="0" fontId="12" fillId="20" borderId="44" xfId="25" applyFont="1" applyFill="1" applyBorder="1" applyAlignment="1">
      <alignment horizontal="center" vertical="center" wrapText="1"/>
    </xf>
    <xf numFmtId="2" fontId="11" fillId="0" borderId="18" xfId="25" applyNumberFormat="1" applyFont="1" applyBorder="1" applyAlignment="1">
      <alignment vertical="center" wrapText="1"/>
    </xf>
    <xf numFmtId="0" fontId="0" fillId="0" borderId="32" xfId="0" applyBorder="1" applyAlignment="1">
      <alignment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9" fontId="12" fillId="0" borderId="42" xfId="25" applyNumberFormat="1" applyFont="1" applyBorder="1" applyAlignment="1">
      <alignment horizontal="center" vertical="center" wrapText="1"/>
    </xf>
    <xf numFmtId="9" fontId="12" fillId="0" borderId="44" xfId="25" applyNumberFormat="1" applyFont="1" applyBorder="1" applyAlignment="1">
      <alignment horizontal="center" vertical="center" wrapText="1"/>
    </xf>
    <xf numFmtId="172" fontId="12" fillId="19" borderId="2" xfId="20" applyNumberFormat="1" applyFont="1" applyFill="1" applyBorder="1" applyAlignment="1" applyProtection="1">
      <alignment horizontal="center" vertical="center"/>
    </xf>
    <xf numFmtId="172" fontId="12" fillId="19" borderId="5" xfId="20" applyNumberFormat="1" applyFont="1" applyFill="1" applyBorder="1" applyAlignment="1" applyProtection="1">
      <alignment horizontal="center" vertical="center"/>
    </xf>
    <xf numFmtId="0" fontId="12" fillId="20" borderId="7" xfId="25" applyFont="1" applyFill="1" applyBorder="1" applyAlignment="1">
      <alignment horizontal="center" vertical="center" wrapText="1"/>
    </xf>
    <xf numFmtId="0" fontId="12" fillId="20" borderId="22" xfId="25" applyFont="1" applyFill="1" applyBorder="1" applyAlignment="1">
      <alignment horizontal="center" vertical="center" wrapText="1"/>
    </xf>
    <xf numFmtId="9" fontId="44" fillId="0" borderId="59" xfId="25" applyNumberFormat="1" applyFont="1" applyBorder="1" applyAlignment="1">
      <alignment horizontal="left" vertical="center" wrapText="1"/>
    </xf>
    <xf numFmtId="9" fontId="44" fillId="0" borderId="24" xfId="25" applyNumberFormat="1" applyFont="1" applyBorder="1" applyAlignment="1">
      <alignment horizontal="left" vertical="center" wrapText="1"/>
    </xf>
    <xf numFmtId="9" fontId="44" fillId="0" borderId="65" xfId="25" applyNumberFormat="1" applyFont="1" applyBorder="1" applyAlignment="1">
      <alignment horizontal="left" vertical="center" wrapText="1"/>
    </xf>
    <xf numFmtId="9" fontId="44" fillId="0" borderId="68" xfId="25" applyNumberFormat="1" applyFont="1" applyBorder="1" applyAlignment="1">
      <alignment horizontal="left" vertical="center" wrapText="1"/>
    </xf>
    <xf numFmtId="9" fontId="44" fillId="0" borderId="0" xfId="25" applyNumberFormat="1" applyFont="1" applyAlignment="1">
      <alignment horizontal="left" vertical="center" wrapText="1"/>
    </xf>
    <xf numFmtId="9" fontId="44" fillId="0" borderId="14" xfId="25" applyNumberFormat="1" applyFont="1" applyBorder="1" applyAlignment="1">
      <alignment horizontal="left" vertical="center" wrapText="1"/>
    </xf>
    <xf numFmtId="0" fontId="12" fillId="20" borderId="46" xfId="25" applyFont="1" applyFill="1" applyBorder="1" applyAlignment="1">
      <alignment horizontal="center" vertical="center" wrapText="1"/>
    </xf>
    <xf numFmtId="0" fontId="12" fillId="20" borderId="66" xfId="25" applyFont="1" applyFill="1" applyBorder="1" applyAlignment="1">
      <alignment horizontal="center" vertical="center" wrapText="1"/>
    </xf>
    <xf numFmtId="0" fontId="12" fillId="20" borderId="51" xfId="25" applyFont="1" applyFill="1" applyBorder="1" applyAlignment="1">
      <alignment horizontal="center" vertical="center" wrapText="1"/>
    </xf>
    <xf numFmtId="0" fontId="48" fillId="0" borderId="53" xfId="0" applyFont="1" applyBorder="1" applyAlignment="1">
      <alignment horizontal="center" vertical="center"/>
    </xf>
    <xf numFmtId="0" fontId="48" fillId="0" borderId="55" xfId="0" applyFont="1" applyBorder="1" applyAlignment="1">
      <alignment horizontal="center" vertical="center"/>
    </xf>
    <xf numFmtId="2" fontId="11" fillId="0" borderId="10" xfId="25" applyNumberFormat="1" applyFont="1" applyBorder="1" applyAlignment="1">
      <alignment horizontal="center" vertical="center" wrapText="1"/>
    </xf>
    <xf numFmtId="2" fontId="11" fillId="0" borderId="33" xfId="25" applyNumberFormat="1" applyFont="1" applyBorder="1" applyAlignment="1">
      <alignment horizontal="center" vertical="center" wrapText="1"/>
    </xf>
    <xf numFmtId="0" fontId="11" fillId="0" borderId="42" xfId="25" applyFont="1" applyBorder="1" applyAlignment="1">
      <alignment horizontal="center" vertical="center" wrapText="1"/>
    </xf>
    <xf numFmtId="0" fontId="11" fillId="0" borderId="43" xfId="25" applyFont="1" applyBorder="1" applyAlignment="1">
      <alignment horizontal="center" vertical="center" wrapText="1"/>
    </xf>
    <xf numFmtId="0" fontId="11" fillId="0" borderId="44" xfId="25" applyFont="1" applyBorder="1" applyAlignment="1">
      <alignment horizontal="center" vertical="center" wrapText="1"/>
    </xf>
    <xf numFmtId="9" fontId="44" fillId="0" borderId="63" xfId="25" applyNumberFormat="1" applyFont="1" applyBorder="1" applyAlignment="1">
      <alignment horizontal="center" vertical="center" wrapText="1"/>
    </xf>
    <xf numFmtId="9" fontId="44" fillId="0" borderId="15" xfId="25" applyNumberFormat="1" applyFont="1" applyBorder="1" applyAlignment="1">
      <alignment horizontal="center" vertical="center" wrapText="1"/>
    </xf>
    <xf numFmtId="9" fontId="44" fillId="0" borderId="16" xfId="25" applyNumberFormat="1" applyFont="1" applyBorder="1" applyAlignment="1">
      <alignment horizontal="center" vertical="center" wrapText="1"/>
    </xf>
    <xf numFmtId="0" fontId="11" fillId="0" borderId="53" xfId="25" applyFont="1" applyBorder="1" applyAlignment="1">
      <alignment horizontal="center" vertical="center" wrapText="1"/>
    </xf>
    <xf numFmtId="0" fontId="11" fillId="0" borderId="54" xfId="25" applyFont="1" applyBorder="1" applyAlignment="1">
      <alignment horizontal="center" vertical="center" wrapText="1"/>
    </xf>
    <xf numFmtId="0" fontId="11" fillId="0" borderId="55" xfId="25" applyFont="1" applyBorder="1" applyAlignment="1">
      <alignment horizontal="center" vertical="center" wrapText="1"/>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7" fillId="0" borderId="41" xfId="0" applyFont="1" applyBorder="1" applyAlignment="1">
      <alignment horizontal="left" vertical="center" wrapText="1"/>
    </xf>
    <xf numFmtId="0" fontId="47" fillId="0" borderId="19" xfId="0" applyFont="1" applyBorder="1" applyAlignment="1">
      <alignment horizontal="left" vertical="center" wrapText="1"/>
    </xf>
    <xf numFmtId="0" fontId="47" fillId="0" borderId="37" xfId="0" applyFont="1" applyBorder="1" applyAlignment="1">
      <alignment horizontal="left" vertical="center" wrapText="1"/>
    </xf>
    <xf numFmtId="0" fontId="12" fillId="20" borderId="11" xfId="25" applyFont="1" applyFill="1" applyBorder="1" applyAlignment="1">
      <alignment horizontal="center" vertical="center" wrapText="1"/>
    </xf>
    <xf numFmtId="0" fontId="12" fillId="20" borderId="0" xfId="25" applyFont="1" applyFill="1" applyAlignment="1">
      <alignment horizontal="center" vertical="center" wrapText="1"/>
    </xf>
    <xf numFmtId="0" fontId="12" fillId="20" borderId="15" xfId="25" applyFont="1" applyFill="1" applyBorder="1" applyAlignment="1">
      <alignment horizontal="center" vertical="center" wrapText="1"/>
    </xf>
    <xf numFmtId="0" fontId="12" fillId="20" borderId="47" xfId="25" applyFont="1" applyFill="1" applyBorder="1" applyAlignment="1">
      <alignment horizontal="left" vertical="center" wrapText="1"/>
    </xf>
    <xf numFmtId="0" fontId="12" fillId="20" borderId="12" xfId="25" applyFont="1" applyFill="1" applyBorder="1" applyAlignment="1">
      <alignment horizontal="left" vertical="center" wrapText="1"/>
    </xf>
    <xf numFmtId="0" fontId="12" fillId="20" borderId="45" xfId="25" applyFont="1" applyFill="1" applyBorder="1" applyAlignment="1">
      <alignment horizontal="left" vertical="center" wrapText="1"/>
    </xf>
    <xf numFmtId="0" fontId="12" fillId="20" borderId="16" xfId="25" applyFont="1" applyFill="1" applyBorder="1" applyAlignment="1">
      <alignment horizontal="left" vertical="center" wrapText="1"/>
    </xf>
    <xf numFmtId="0" fontId="12" fillId="20" borderId="13" xfId="25" applyFont="1" applyFill="1" applyBorder="1" applyAlignment="1">
      <alignment horizontal="left" vertical="center" wrapText="1"/>
    </xf>
    <xf numFmtId="0" fontId="12" fillId="20" borderId="14" xfId="25" applyFont="1" applyFill="1" applyBorder="1" applyAlignment="1">
      <alignment horizontal="left" vertical="center" wrapText="1"/>
    </xf>
    <xf numFmtId="0" fontId="12" fillId="0" borderId="29" xfId="25" applyFont="1" applyBorder="1" applyAlignment="1">
      <alignment horizontal="center" vertical="center" wrapText="1"/>
    </xf>
    <xf numFmtId="0" fontId="12" fillId="0" borderId="30" xfId="25" applyFont="1" applyBorder="1" applyAlignment="1">
      <alignment horizontal="center" vertical="center" wrapText="1"/>
    </xf>
    <xf numFmtId="0" fontId="12" fillId="0" borderId="31" xfId="25"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12" fillId="0" borderId="13" xfId="25" applyFont="1" applyBorder="1" applyAlignment="1">
      <alignment horizontal="center" vertical="center" wrapText="1"/>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0" borderId="45" xfId="25" applyFont="1" applyBorder="1" applyAlignment="1">
      <alignment horizontal="center" vertical="center" wrapText="1"/>
    </xf>
    <xf numFmtId="0" fontId="12" fillId="0" borderId="15" xfId="25" applyFont="1" applyBorder="1" applyAlignment="1">
      <alignment horizontal="center" vertical="center" wrapText="1"/>
    </xf>
    <xf numFmtId="0" fontId="12" fillId="0" borderId="16" xfId="25" applyFont="1" applyBorder="1" applyAlignment="1">
      <alignment horizontal="center" vertical="center" wrapText="1"/>
    </xf>
    <xf numFmtId="0" fontId="12" fillId="0" borderId="47" xfId="25" applyFont="1" applyBorder="1" applyAlignment="1">
      <alignment horizontal="center" vertical="center" wrapText="1"/>
    </xf>
    <xf numFmtId="0" fontId="12" fillId="0" borderId="11" xfId="25" applyFont="1" applyBorder="1" applyAlignment="1">
      <alignment horizontal="center" vertical="center" wrapText="1"/>
    </xf>
    <xf numFmtId="0" fontId="12" fillId="0" borderId="12" xfId="25" applyFont="1" applyBorder="1" applyAlignment="1">
      <alignment horizontal="center" vertical="center" wrapText="1"/>
    </xf>
    <xf numFmtId="0" fontId="12" fillId="0" borderId="48"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19" borderId="2" xfId="25" applyFont="1" applyFill="1" applyBorder="1" applyAlignment="1">
      <alignment horizontal="center" vertical="center" wrapText="1"/>
    </xf>
    <xf numFmtId="0" fontId="12" fillId="0" borderId="22" xfId="25" applyFont="1" applyBorder="1" applyAlignment="1">
      <alignment horizontal="center" vertical="center" wrapText="1"/>
    </xf>
    <xf numFmtId="3" fontId="12" fillId="0" borderId="59" xfId="25" applyNumberFormat="1" applyFont="1" applyBorder="1" applyAlignment="1">
      <alignment horizontal="center" vertical="center" wrapText="1"/>
    </xf>
    <xf numFmtId="3" fontId="12" fillId="0" borderId="25" xfId="25" applyNumberFormat="1" applyFont="1" applyBorder="1" applyAlignment="1">
      <alignment horizontal="center" vertical="center" wrapText="1"/>
    </xf>
    <xf numFmtId="0" fontId="12" fillId="20" borderId="8" xfId="25" applyFont="1" applyFill="1" applyBorder="1" applyAlignment="1">
      <alignment horizontal="center" vertical="center" wrapText="1"/>
    </xf>
    <xf numFmtId="0" fontId="11" fillId="20" borderId="1" xfId="25" applyFont="1" applyFill="1" applyBorder="1" applyAlignment="1">
      <alignment horizontal="center" vertical="center" wrapText="1"/>
    </xf>
    <xf numFmtId="0" fontId="12" fillId="20" borderId="23" xfId="25" applyFont="1" applyFill="1" applyBorder="1" applyAlignment="1">
      <alignment horizontal="center" vertical="center" wrapText="1"/>
    </xf>
    <xf numFmtId="0" fontId="12" fillId="20" borderId="6" xfId="25" applyFont="1" applyFill="1" applyBorder="1" applyAlignment="1">
      <alignment horizontal="center" vertical="center" wrapText="1"/>
    </xf>
    <xf numFmtId="172" fontId="12" fillId="19" borderId="2" xfId="20" applyNumberFormat="1" applyFont="1" applyFill="1" applyBorder="1" applyAlignment="1" applyProtection="1">
      <alignment horizontal="center" vertical="center" wrapText="1"/>
    </xf>
    <xf numFmtId="172" fontId="12" fillId="19" borderId="5" xfId="20" applyNumberFormat="1" applyFont="1" applyFill="1" applyBorder="1" applyAlignment="1" applyProtection="1">
      <alignment horizontal="center" vertical="center" wrapText="1"/>
    </xf>
    <xf numFmtId="0" fontId="12" fillId="0" borderId="18" xfId="25" applyFont="1" applyBorder="1" applyAlignment="1">
      <alignment horizontal="center" vertical="center" wrapText="1"/>
    </xf>
    <xf numFmtId="0" fontId="12" fillId="0" borderId="32" xfId="25" applyFont="1" applyBorder="1" applyAlignment="1">
      <alignment horizontal="center" vertical="center" wrapText="1"/>
    </xf>
    <xf numFmtId="0" fontId="12" fillId="0" borderId="34" xfId="25" applyFont="1" applyBorder="1" applyAlignment="1">
      <alignment horizontal="center" vertical="center" wrapText="1"/>
    </xf>
    <xf numFmtId="0" fontId="12" fillId="0" borderId="35" xfId="25" applyFont="1" applyBorder="1" applyAlignment="1">
      <alignment horizontal="center" vertical="center" wrapText="1"/>
    </xf>
    <xf numFmtId="0" fontId="12" fillId="0" borderId="49" xfId="25" applyFont="1" applyBorder="1" applyAlignment="1">
      <alignment horizontal="center" vertical="center" wrapText="1"/>
    </xf>
    <xf numFmtId="0" fontId="44" fillId="0" borderId="1" xfId="25" applyFont="1" applyBorder="1" applyAlignment="1">
      <alignment horizontal="left" vertical="center" wrapText="1"/>
    </xf>
    <xf numFmtId="0" fontId="44" fillId="0" borderId="9" xfId="25" applyFont="1" applyBorder="1" applyAlignment="1">
      <alignment horizontal="left" vertical="center" wrapText="1"/>
    </xf>
    <xf numFmtId="2" fontId="11" fillId="0" borderId="18" xfId="25" applyNumberFormat="1" applyFont="1" applyBorder="1" applyAlignment="1">
      <alignment horizontal="center" vertical="center" wrapText="1"/>
    </xf>
    <xf numFmtId="2" fontId="11" fillId="0" borderId="27" xfId="25" applyNumberFormat="1" applyFont="1" applyBorder="1" applyAlignment="1">
      <alignment horizontal="center" vertical="center" wrapText="1"/>
    </xf>
    <xf numFmtId="2" fontId="11" fillId="0" borderId="38" xfId="25" applyNumberFormat="1" applyFont="1" applyBorder="1" applyAlignment="1">
      <alignment horizontal="center" vertical="center" wrapText="1"/>
    </xf>
    <xf numFmtId="2" fontId="11" fillId="0" borderId="4" xfId="25" applyNumberFormat="1" applyFont="1" applyBorder="1" applyAlignment="1">
      <alignment horizontal="center" vertical="center" wrapText="1"/>
    </xf>
    <xf numFmtId="0" fontId="12" fillId="20" borderId="62" xfId="25" applyFont="1" applyFill="1" applyBorder="1" applyAlignment="1">
      <alignment horizontal="center" vertical="center" wrapText="1"/>
    </xf>
    <xf numFmtId="0" fontId="12" fillId="20" borderId="4" xfId="25" applyFont="1" applyFill="1" applyBorder="1" applyAlignment="1">
      <alignment horizontal="center" vertical="center" wrapText="1"/>
    </xf>
    <xf numFmtId="2" fontId="11" fillId="0" borderId="27" xfId="25" applyNumberFormat="1" applyFont="1" applyBorder="1" applyAlignment="1">
      <alignment vertical="center" wrapText="1"/>
    </xf>
    <xf numFmtId="2" fontId="11" fillId="0" borderId="8" xfId="25" applyNumberFormat="1" applyFont="1" applyBorder="1" applyAlignment="1">
      <alignment vertical="center" wrapText="1"/>
    </xf>
    <xf numFmtId="0" fontId="12" fillId="20" borderId="34" xfId="25" applyFont="1" applyFill="1" applyBorder="1" applyAlignment="1">
      <alignment horizontal="center" vertical="center" wrapText="1"/>
    </xf>
    <xf numFmtId="2" fontId="56" fillId="0" borderId="26" xfId="25" applyNumberFormat="1" applyFont="1" applyBorder="1" applyAlignment="1">
      <alignment horizontal="justify" vertical="center" wrapText="1"/>
    </xf>
    <xf numFmtId="0" fontId="56" fillId="31" borderId="23" xfId="0" applyFont="1" applyFill="1" applyBorder="1" applyAlignment="1">
      <alignment horizontal="justify" vertical="top" wrapText="1"/>
    </xf>
    <xf numFmtId="0" fontId="56" fillId="31" borderId="24" xfId="0" applyFont="1" applyFill="1" applyBorder="1" applyAlignment="1">
      <alignment horizontal="justify" vertical="top" wrapText="1"/>
    </xf>
    <xf numFmtId="0" fontId="56" fillId="31" borderId="25" xfId="0" applyFont="1" applyFill="1" applyBorder="1" applyAlignment="1">
      <alignment horizontal="justify" vertical="top" wrapText="1"/>
    </xf>
    <xf numFmtId="0" fontId="56" fillId="31" borderId="6" xfId="0" applyFont="1" applyFill="1" applyBorder="1" applyAlignment="1">
      <alignment horizontal="justify" vertical="top" wrapText="1"/>
    </xf>
    <xf numFmtId="0" fontId="56" fillId="31" borderId="3" xfId="0" applyFont="1" applyFill="1" applyBorder="1" applyAlignment="1">
      <alignment horizontal="justify" vertical="top" wrapText="1"/>
    </xf>
    <xf numFmtId="0" fontId="56" fillId="31" borderId="58" xfId="0" applyFont="1" applyFill="1" applyBorder="1" applyAlignment="1">
      <alignment horizontal="justify" vertical="top" wrapText="1"/>
    </xf>
    <xf numFmtId="9" fontId="56" fillId="0" borderId="2" xfId="25" applyNumberFormat="1" applyFont="1" applyBorder="1" applyAlignment="1">
      <alignment horizontal="center" vertical="center" wrapText="1"/>
    </xf>
    <xf numFmtId="9" fontId="56" fillId="0" borderId="21" xfId="25" applyNumberFormat="1" applyFont="1" applyBorder="1" applyAlignment="1">
      <alignment horizontal="center" vertical="center" wrapText="1"/>
    </xf>
    <xf numFmtId="0" fontId="56" fillId="31" borderId="23" xfId="0" applyFont="1" applyFill="1" applyBorder="1" applyAlignment="1">
      <alignment horizontal="justify" vertical="center" wrapText="1"/>
    </xf>
    <xf numFmtId="0" fontId="56" fillId="31" borderId="24" xfId="0" applyFont="1" applyFill="1" applyBorder="1" applyAlignment="1">
      <alignment horizontal="justify" vertical="center" wrapText="1"/>
    </xf>
    <xf numFmtId="0" fontId="56" fillId="31" borderId="25" xfId="0" applyFont="1" applyFill="1" applyBorder="1" applyAlignment="1">
      <alignment horizontal="justify" vertical="center" wrapText="1"/>
    </xf>
    <xf numFmtId="0" fontId="56" fillId="31" borderId="6" xfId="0" applyFont="1" applyFill="1" applyBorder="1" applyAlignment="1">
      <alignment horizontal="justify" vertical="center" wrapText="1"/>
    </xf>
    <xf numFmtId="0" fontId="56" fillId="31" borderId="3" xfId="0" applyFont="1" applyFill="1" applyBorder="1" applyAlignment="1">
      <alignment horizontal="justify" vertical="center" wrapText="1"/>
    </xf>
    <xf numFmtId="0" fontId="56" fillId="31" borderId="58" xfId="0" applyFont="1" applyFill="1" applyBorder="1" applyAlignment="1">
      <alignment horizontal="justify" vertical="center" wrapText="1"/>
    </xf>
    <xf numFmtId="0" fontId="19" fillId="0" borderId="34" xfId="25" applyFont="1" applyBorder="1" applyAlignment="1">
      <alignment horizontal="center" vertical="center" wrapText="1"/>
    </xf>
    <xf numFmtId="0" fontId="19" fillId="0" borderId="26" xfId="25" applyFont="1" applyBorder="1" applyAlignment="1">
      <alignment horizontal="center" vertical="center" wrapText="1"/>
    </xf>
    <xf numFmtId="0" fontId="19" fillId="0" borderId="19" xfId="25" applyFont="1" applyBorder="1" applyAlignment="1">
      <alignment horizontal="center" vertical="center" wrapText="1"/>
    </xf>
    <xf numFmtId="0" fontId="19" fillId="0" borderId="37" xfId="25" applyFont="1" applyBorder="1" applyAlignment="1">
      <alignment horizontal="center" vertical="center" wrapText="1"/>
    </xf>
    <xf numFmtId="0" fontId="64" fillId="0" borderId="50" xfId="0" applyFont="1" applyBorder="1" applyAlignment="1">
      <alignment horizontal="center" vertical="center" wrapText="1"/>
    </xf>
    <xf numFmtId="0" fontId="64" fillId="0" borderId="51" xfId="0" applyFont="1" applyBorder="1" applyAlignment="1">
      <alignment horizontal="center" vertical="center" wrapText="1"/>
    </xf>
    <xf numFmtId="0" fontId="19" fillId="0" borderId="42" xfId="25" applyFont="1" applyBorder="1" applyAlignment="1">
      <alignment horizontal="left" vertical="center" wrapText="1"/>
    </xf>
    <xf numFmtId="0" fontId="19" fillId="0" borderId="43" xfId="25" applyFont="1" applyBorder="1" applyAlignment="1">
      <alignment horizontal="left" vertical="center" wrapText="1"/>
    </xf>
    <xf numFmtId="0" fontId="19" fillId="0" borderId="44" xfId="25" applyFont="1" applyBorder="1" applyAlignment="1">
      <alignment horizontal="left" vertical="center" wrapText="1"/>
    </xf>
    <xf numFmtId="3" fontId="19" fillId="0" borderId="59" xfId="25" applyNumberFormat="1" applyFont="1" applyBorder="1" applyAlignment="1">
      <alignment horizontal="center" vertical="center" wrapText="1"/>
    </xf>
    <xf numFmtId="3" fontId="19" fillId="0" borderId="25" xfId="25" applyNumberFormat="1" applyFont="1" applyBorder="1" applyAlignment="1">
      <alignment horizontal="center" vertical="center" wrapText="1"/>
    </xf>
    <xf numFmtId="0" fontId="19" fillId="20" borderId="61" xfId="25" applyFont="1" applyFill="1" applyBorder="1" applyAlignment="1">
      <alignment horizontal="center" vertical="center" wrapText="1"/>
    </xf>
    <xf numFmtId="0" fontId="19" fillId="20" borderId="32" xfId="25" applyFont="1" applyFill="1" applyBorder="1" applyAlignment="1">
      <alignment horizontal="center" vertical="center" wrapText="1"/>
    </xf>
    <xf numFmtId="0" fontId="19" fillId="20" borderId="69" xfId="25" applyFont="1" applyFill="1" applyBorder="1" applyAlignment="1">
      <alignment horizontal="center" vertical="center" wrapText="1"/>
    </xf>
    <xf numFmtId="0" fontId="19" fillId="20" borderId="63" xfId="25" applyFont="1" applyFill="1" applyBorder="1" applyAlignment="1">
      <alignment horizontal="center" vertical="center" wrapText="1"/>
    </xf>
    <xf numFmtId="9" fontId="56" fillId="19" borderId="58" xfId="25" applyNumberFormat="1" applyFont="1" applyFill="1" applyBorder="1" applyAlignment="1">
      <alignment horizontal="justify" vertical="top" wrapText="1"/>
    </xf>
    <xf numFmtId="9" fontId="56" fillId="19" borderId="4" xfId="25" applyNumberFormat="1" applyFont="1" applyFill="1" applyBorder="1" applyAlignment="1">
      <alignment horizontal="justify" vertical="top" wrapText="1"/>
    </xf>
    <xf numFmtId="9" fontId="56" fillId="19" borderId="28" xfId="25" applyNumberFormat="1" applyFont="1" applyFill="1" applyBorder="1" applyAlignment="1">
      <alignment horizontal="justify" vertical="top" wrapText="1"/>
    </xf>
    <xf numFmtId="9" fontId="56" fillId="19" borderId="5" xfId="25" applyNumberFormat="1" applyFont="1" applyFill="1" applyBorder="1" applyAlignment="1">
      <alignment horizontal="justify" vertical="top" wrapText="1"/>
    </xf>
    <xf numFmtId="9" fontId="56" fillId="19" borderId="1" xfId="25" applyNumberFormat="1" applyFont="1" applyFill="1" applyBorder="1" applyAlignment="1">
      <alignment horizontal="justify" vertical="top" wrapText="1"/>
    </xf>
    <xf numFmtId="9" fontId="56" fillId="19" borderId="9" xfId="25" applyNumberFormat="1" applyFont="1" applyFill="1" applyBorder="1" applyAlignment="1">
      <alignment horizontal="justify" vertical="top" wrapText="1"/>
    </xf>
    <xf numFmtId="9" fontId="56" fillId="0" borderId="20" xfId="25" applyNumberFormat="1" applyFont="1" applyBorder="1" applyAlignment="1">
      <alignment horizontal="center" vertical="center" wrapText="1"/>
    </xf>
    <xf numFmtId="9" fontId="56" fillId="19" borderId="2" xfId="25" applyNumberFormat="1" applyFont="1" applyFill="1" applyBorder="1" applyAlignment="1">
      <alignment horizontal="center" vertical="center" wrapText="1"/>
    </xf>
    <xf numFmtId="2" fontId="56" fillId="19" borderId="8" xfId="25" applyNumberFormat="1" applyFont="1" applyFill="1" applyBorder="1" applyAlignment="1">
      <alignment horizontal="justify" vertical="center" wrapText="1"/>
    </xf>
    <xf numFmtId="0" fontId="60" fillId="19" borderId="8" xfId="0" applyFont="1" applyFill="1" applyBorder="1" applyAlignment="1">
      <alignment horizontal="justify" vertical="center" wrapText="1"/>
    </xf>
    <xf numFmtId="9" fontId="56" fillId="19" borderId="5" xfId="25" applyNumberFormat="1" applyFont="1" applyFill="1" applyBorder="1" applyAlignment="1">
      <alignment horizontal="justify" vertical="center" wrapText="1"/>
    </xf>
    <xf numFmtId="9" fontId="56" fillId="19" borderId="1" xfId="25" applyNumberFormat="1" applyFont="1" applyFill="1" applyBorder="1" applyAlignment="1">
      <alignment horizontal="justify" vertical="center" wrapText="1"/>
    </xf>
    <xf numFmtId="9" fontId="56" fillId="19" borderId="9" xfId="25" applyNumberFormat="1" applyFont="1" applyFill="1" applyBorder="1" applyAlignment="1">
      <alignment horizontal="justify" vertical="center" wrapText="1"/>
    </xf>
    <xf numFmtId="9" fontId="56" fillId="19" borderId="5" xfId="25" applyNumberFormat="1" applyFont="1" applyFill="1" applyBorder="1" applyAlignment="1">
      <alignment horizontal="justify" wrapText="1"/>
    </xf>
    <xf numFmtId="9" fontId="56" fillId="19" borderId="1" xfId="25" applyNumberFormat="1" applyFont="1" applyFill="1" applyBorder="1" applyAlignment="1">
      <alignment horizontal="justify" wrapText="1"/>
    </xf>
    <xf numFmtId="9" fontId="56" fillId="19" borderId="9" xfId="25" applyNumberFormat="1" applyFont="1" applyFill="1" applyBorder="1" applyAlignment="1">
      <alignment horizontal="justify" wrapText="1"/>
    </xf>
    <xf numFmtId="0" fontId="11" fillId="0" borderId="88" xfId="0" applyFont="1" applyBorder="1" applyAlignment="1">
      <alignment horizontal="justify" vertical="center" wrapText="1"/>
    </xf>
    <xf numFmtId="0" fontId="11" fillId="0" borderId="88" xfId="0" applyFont="1" applyBorder="1" applyAlignment="1">
      <alignment vertical="center"/>
    </xf>
    <xf numFmtId="0" fontId="11" fillId="0" borderId="90" xfId="0" applyFont="1" applyBorder="1" applyAlignment="1">
      <alignment vertical="center"/>
    </xf>
    <xf numFmtId="0" fontId="11" fillId="0" borderId="91" xfId="0" applyFont="1" applyBorder="1" applyAlignment="1">
      <alignment vertical="center"/>
    </xf>
    <xf numFmtId="173" fontId="19" fillId="0" borderId="42" xfId="31" applyNumberFormat="1" applyFont="1" applyFill="1" applyBorder="1" applyAlignment="1" applyProtection="1">
      <alignment horizontal="center" vertical="center" wrapText="1"/>
    </xf>
    <xf numFmtId="173" fontId="19" fillId="0" borderId="44" xfId="31" applyNumberFormat="1" applyFont="1" applyFill="1" applyBorder="1" applyAlignment="1" applyProtection="1">
      <alignment horizontal="center" vertical="center" wrapText="1"/>
    </xf>
    <xf numFmtId="2" fontId="56" fillId="19" borderId="27" xfId="25" applyNumberFormat="1" applyFont="1" applyFill="1" applyBorder="1" applyAlignment="1">
      <alignment horizontal="justify" vertical="center" wrapText="1"/>
    </xf>
    <xf numFmtId="9" fontId="56" fillId="19" borderId="47" xfId="25" applyNumberFormat="1" applyFont="1" applyFill="1" applyBorder="1" applyAlignment="1">
      <alignment horizontal="justify" vertical="top" wrapText="1"/>
    </xf>
    <xf numFmtId="9" fontId="56" fillId="19" borderId="11" xfId="25" applyNumberFormat="1" applyFont="1" applyFill="1" applyBorder="1" applyAlignment="1">
      <alignment horizontal="justify" vertical="top" wrapText="1"/>
    </xf>
    <xf numFmtId="9" fontId="56" fillId="19" borderId="12" xfId="25" applyNumberFormat="1" applyFont="1" applyFill="1" applyBorder="1" applyAlignment="1">
      <alignment horizontal="justify" vertical="top" wrapText="1"/>
    </xf>
    <xf numFmtId="9" fontId="56" fillId="19" borderId="6" xfId="25" applyNumberFormat="1" applyFont="1" applyFill="1" applyBorder="1" applyAlignment="1">
      <alignment horizontal="justify" vertical="top" wrapText="1"/>
    </xf>
    <xf numFmtId="9" fontId="56" fillId="19" borderId="3" xfId="25" applyNumberFormat="1" applyFont="1" applyFill="1" applyBorder="1" applyAlignment="1">
      <alignment horizontal="justify" vertical="top" wrapText="1"/>
    </xf>
    <xf numFmtId="9" fontId="56" fillId="19" borderId="7" xfId="25" applyNumberFormat="1" applyFont="1" applyFill="1" applyBorder="1" applyAlignment="1">
      <alignment horizontal="justify" vertical="top" wrapText="1"/>
    </xf>
    <xf numFmtId="9" fontId="56" fillId="0" borderId="68" xfId="25" applyNumberFormat="1" applyFont="1" applyBorder="1" applyAlignment="1">
      <alignment horizontal="center" vertical="center" wrapText="1"/>
    </xf>
    <xf numFmtId="0" fontId="66" fillId="31" borderId="1" xfId="0" applyFont="1" applyFill="1" applyBorder="1" applyAlignment="1">
      <alignment horizontal="justify" vertical="top" wrapText="1"/>
    </xf>
    <xf numFmtId="0" fontId="56" fillId="31" borderId="1" xfId="0" applyFont="1" applyFill="1" applyBorder="1" applyAlignment="1">
      <alignment horizontal="justify" vertical="top" wrapText="1"/>
    </xf>
    <xf numFmtId="9" fontId="56" fillId="19" borderId="23" xfId="25" applyNumberFormat="1" applyFont="1" applyFill="1" applyBorder="1" applyAlignment="1">
      <alignment horizontal="justify" vertical="top" wrapText="1"/>
    </xf>
    <xf numFmtId="9" fontId="56" fillId="19" borderId="24" xfId="25" applyNumberFormat="1" applyFont="1" applyFill="1" applyBorder="1" applyAlignment="1">
      <alignment horizontal="justify" vertical="top" wrapText="1"/>
    </xf>
    <xf numFmtId="9" fontId="56" fillId="19" borderId="65" xfId="25" applyNumberFormat="1" applyFont="1" applyFill="1" applyBorder="1" applyAlignment="1">
      <alignment horizontal="justify" vertical="top" wrapText="1"/>
    </xf>
    <xf numFmtId="9" fontId="56" fillId="19" borderId="45" xfId="25" applyNumberFormat="1" applyFont="1" applyFill="1" applyBorder="1" applyAlignment="1">
      <alignment horizontal="justify" vertical="top" wrapText="1"/>
    </xf>
    <xf numFmtId="9" fontId="56" fillId="19" borderId="15" xfId="25" applyNumberFormat="1" applyFont="1" applyFill="1" applyBorder="1" applyAlignment="1">
      <alignment horizontal="justify" vertical="top" wrapText="1"/>
    </xf>
    <xf numFmtId="9" fontId="56" fillId="19" borderId="16" xfId="25" applyNumberFormat="1" applyFont="1" applyFill="1" applyBorder="1" applyAlignment="1">
      <alignment horizontal="justify" vertical="top" wrapText="1"/>
    </xf>
    <xf numFmtId="0" fontId="62" fillId="19" borderId="26" xfId="0" applyFont="1" applyFill="1" applyBorder="1" applyAlignment="1">
      <alignment horizontal="justify" vertical="center" wrapText="1"/>
    </xf>
    <xf numFmtId="0" fontId="23" fillId="26" borderId="96" xfId="0" applyFont="1" applyFill="1" applyBorder="1" applyAlignment="1">
      <alignment horizontal="justify" vertical="center" wrapText="1"/>
    </xf>
    <xf numFmtId="0" fontId="11" fillId="0" borderId="93" xfId="0" applyFont="1" applyBorder="1" applyAlignment="1">
      <alignment horizontal="justify" vertical="center" wrapText="1"/>
    </xf>
    <xf numFmtId="0" fontId="23" fillId="26" borderId="97" xfId="0" applyFont="1" applyFill="1" applyBorder="1" applyAlignment="1">
      <alignment horizontal="center" vertical="center" wrapText="1"/>
    </xf>
    <xf numFmtId="0" fontId="23" fillId="26" borderId="98" xfId="0" applyFont="1" applyFill="1" applyBorder="1" applyAlignment="1">
      <alignment horizontal="center" vertical="center" wrapText="1"/>
    </xf>
    <xf numFmtId="0" fontId="11" fillId="0" borderId="99" xfId="0" applyFont="1" applyBorder="1" applyAlignment="1">
      <alignment vertical="center"/>
    </xf>
    <xf numFmtId="0" fontId="11" fillId="0" borderId="100" xfId="0" applyFont="1" applyBorder="1" applyAlignment="1">
      <alignment vertical="center"/>
    </xf>
    <xf numFmtId="9" fontId="24" fillId="0" borderId="92" xfId="0" applyNumberFormat="1" applyFont="1" applyBorder="1" applyAlignment="1">
      <alignment horizontal="justify" vertical="center" wrapText="1"/>
    </xf>
    <xf numFmtId="9" fontId="24" fillId="0" borderId="93" xfId="0" applyNumberFormat="1" applyFont="1" applyBorder="1" applyAlignment="1">
      <alignment horizontal="justify" vertical="center" wrapText="1"/>
    </xf>
    <xf numFmtId="9" fontId="11" fillId="0" borderId="88" xfId="0" applyNumberFormat="1" applyFont="1" applyBorder="1" applyAlignment="1">
      <alignment vertical="center"/>
    </xf>
    <xf numFmtId="0" fontId="24" fillId="0" borderId="0" xfId="0" applyFont="1" applyAlignment="1">
      <alignment horizontal="justify" vertical="center" wrapText="1"/>
    </xf>
    <xf numFmtId="174" fontId="11" fillId="0" borderId="0" xfId="0" applyNumberFormat="1" applyFont="1" applyAlignment="1">
      <alignment vertical="center"/>
    </xf>
    <xf numFmtId="0" fontId="24" fillId="0" borderId="93" xfId="0" applyFont="1" applyBorder="1" applyAlignment="1">
      <alignment horizontal="justify" vertical="center" wrapText="1"/>
    </xf>
    <xf numFmtId="174" fontId="11" fillId="0" borderId="88" xfId="0" applyNumberFormat="1" applyFont="1" applyBorder="1" applyAlignment="1">
      <alignment vertical="center"/>
    </xf>
    <xf numFmtId="0" fontId="24" fillId="0" borderId="94" xfId="0" applyFont="1" applyBorder="1" applyAlignment="1">
      <alignment horizontal="justify" vertical="center" wrapText="1"/>
    </xf>
    <xf numFmtId="174" fontId="11" fillId="0" borderId="95" xfId="0" applyNumberFormat="1" applyFont="1" applyBorder="1" applyAlignment="1">
      <alignment vertical="center"/>
    </xf>
    <xf numFmtId="0" fontId="19" fillId="0" borderId="70" xfId="25" applyFont="1" applyBorder="1" applyAlignment="1">
      <alignment horizontal="center" vertical="center" wrapText="1"/>
    </xf>
    <xf numFmtId="0" fontId="19" fillId="20" borderId="18" xfId="25" applyFont="1" applyFill="1" applyBorder="1" applyAlignment="1">
      <alignment horizontal="center" vertical="center" wrapText="1"/>
    </xf>
    <xf numFmtId="0" fontId="19" fillId="20" borderId="10" xfId="25" applyFont="1" applyFill="1" applyBorder="1" applyAlignment="1">
      <alignment horizontal="center" vertical="center" wrapText="1"/>
    </xf>
    <xf numFmtId="0" fontId="56" fillId="20" borderId="10" xfId="25" applyFont="1" applyFill="1" applyBorder="1" applyAlignment="1">
      <alignment horizontal="center" vertical="center" wrapText="1"/>
    </xf>
    <xf numFmtId="0" fontId="56" fillId="31" borderId="27" xfId="0" applyFont="1" applyFill="1" applyBorder="1" applyAlignment="1">
      <alignment horizontal="justify" vertical="center" wrapText="1"/>
    </xf>
    <xf numFmtId="0" fontId="56" fillId="31" borderId="4" xfId="0" applyFont="1" applyFill="1" applyBorder="1" applyAlignment="1">
      <alignment horizontal="justify" vertical="center" wrapText="1"/>
    </xf>
    <xf numFmtId="0" fontId="56" fillId="31" borderId="28" xfId="0" applyFont="1" applyFill="1" applyBorder="1" applyAlignment="1">
      <alignment horizontal="justify" vertical="center" wrapText="1"/>
    </xf>
    <xf numFmtId="0" fontId="56" fillId="31" borderId="8" xfId="0" applyFont="1" applyFill="1" applyBorder="1" applyAlignment="1">
      <alignment horizontal="justify" vertical="center" wrapText="1"/>
    </xf>
    <xf numFmtId="0" fontId="56" fillId="31" borderId="1" xfId="0" applyFont="1" applyFill="1" applyBorder="1" applyAlignment="1">
      <alignment horizontal="justify" vertical="center" wrapText="1"/>
    </xf>
    <xf numFmtId="0" fontId="56" fillId="31" borderId="9" xfId="0" applyFont="1" applyFill="1" applyBorder="1" applyAlignment="1">
      <alignment horizontal="justify" vertical="center" wrapText="1"/>
    </xf>
    <xf numFmtId="0" fontId="19" fillId="20" borderId="68" xfId="25" applyFont="1" applyFill="1" applyBorder="1" applyAlignment="1">
      <alignment horizontal="center" vertical="center" wrapText="1"/>
    </xf>
    <xf numFmtId="0" fontId="19" fillId="20" borderId="71" xfId="25" applyFont="1" applyFill="1" applyBorder="1" applyAlignment="1">
      <alignment horizontal="center" vertical="center" wrapText="1"/>
    </xf>
    <xf numFmtId="0" fontId="56" fillId="0" borderId="61" xfId="25" applyFont="1" applyBorder="1" applyAlignment="1">
      <alignment horizontal="justify" vertical="center" wrapText="1"/>
    </xf>
    <xf numFmtId="0" fontId="56" fillId="0" borderId="32" xfId="25" applyFont="1" applyBorder="1" applyAlignment="1">
      <alignment horizontal="justify" vertical="center" wrapText="1"/>
    </xf>
    <xf numFmtId="9" fontId="19" fillId="0" borderId="62" xfId="25" applyNumberFormat="1" applyFont="1" applyBorder="1" applyAlignment="1">
      <alignment horizontal="center" vertical="center" wrapText="1"/>
    </xf>
    <xf numFmtId="0" fontId="56" fillId="31" borderId="35" xfId="0" applyFont="1" applyFill="1" applyBorder="1" applyAlignment="1">
      <alignment horizontal="justify" vertical="top" wrapText="1"/>
    </xf>
    <xf numFmtId="0" fontId="56" fillId="31" borderId="49" xfId="0" applyFont="1" applyFill="1" applyBorder="1" applyAlignment="1">
      <alignment horizontal="justify" vertical="top" wrapText="1"/>
    </xf>
    <xf numFmtId="0" fontId="56" fillId="31" borderId="19" xfId="0" applyFont="1" applyFill="1" applyBorder="1" applyAlignment="1">
      <alignment horizontal="justify" vertical="top" wrapText="1"/>
    </xf>
    <xf numFmtId="0" fontId="56" fillId="31" borderId="37" xfId="0" applyFont="1" applyFill="1" applyBorder="1" applyAlignment="1">
      <alignment horizontal="justify" vertical="top" wrapText="1"/>
    </xf>
    <xf numFmtId="0" fontId="56" fillId="31" borderId="69" xfId="0" applyFont="1" applyFill="1" applyBorder="1" applyAlignment="1">
      <alignment horizontal="justify" vertical="top" wrapText="1"/>
    </xf>
    <xf numFmtId="0" fontId="56" fillId="31" borderId="11" xfId="0" applyFont="1" applyFill="1" applyBorder="1" applyAlignment="1">
      <alignment horizontal="justify" vertical="top" wrapText="1"/>
    </xf>
    <xf numFmtId="0" fontId="56" fillId="31" borderId="105" xfId="0" applyFont="1" applyFill="1" applyBorder="1" applyAlignment="1">
      <alignment horizontal="justify" vertical="top" wrapText="1"/>
    </xf>
    <xf numFmtId="0" fontId="56" fillId="31" borderId="63" xfId="0" applyFont="1" applyFill="1" applyBorder="1" applyAlignment="1">
      <alignment horizontal="justify" vertical="top" wrapText="1"/>
    </xf>
    <xf numFmtId="0" fontId="56" fillId="31" borderId="15" xfId="0" applyFont="1" applyFill="1" applyBorder="1" applyAlignment="1">
      <alignment horizontal="justify" vertical="top" wrapText="1"/>
    </xf>
    <xf numFmtId="0" fontId="56" fillId="31" borderId="64" xfId="0" applyFont="1" applyFill="1" applyBorder="1" applyAlignment="1">
      <alignment horizontal="justify" vertical="top" wrapText="1"/>
    </xf>
    <xf numFmtId="0" fontId="19" fillId="20" borderId="19" xfId="25" applyFont="1" applyFill="1" applyBorder="1" applyAlignment="1">
      <alignment horizontal="center" vertical="center" wrapText="1"/>
    </xf>
    <xf numFmtId="0" fontId="19" fillId="20" borderId="37" xfId="25" applyFont="1" applyFill="1" applyBorder="1" applyAlignment="1">
      <alignment horizontal="center" vertical="center" wrapText="1"/>
    </xf>
    <xf numFmtId="0" fontId="56" fillId="31" borderId="8" xfId="0" applyFont="1" applyFill="1" applyBorder="1" applyAlignment="1">
      <alignment horizontal="left" vertical="center" wrapText="1"/>
    </xf>
    <xf numFmtId="0" fontId="56" fillId="31" borderId="1" xfId="0" applyFont="1" applyFill="1" applyBorder="1" applyAlignment="1">
      <alignment horizontal="left" vertical="center" wrapText="1"/>
    </xf>
    <xf numFmtId="0" fontId="56" fillId="31" borderId="9" xfId="0" applyFont="1" applyFill="1" applyBorder="1" applyAlignment="1">
      <alignment horizontal="left" vertical="center" wrapText="1"/>
    </xf>
    <xf numFmtId="2" fontId="56" fillId="0" borderId="40" xfId="25" applyNumberFormat="1" applyFont="1" applyBorder="1" applyAlignment="1">
      <alignment horizontal="justify" vertical="top" wrapText="1"/>
    </xf>
    <xf numFmtId="2" fontId="56" fillId="0" borderId="32" xfId="25" applyNumberFormat="1" applyFont="1" applyBorder="1" applyAlignment="1">
      <alignment horizontal="justify" vertical="top" wrapText="1"/>
    </xf>
    <xf numFmtId="0" fontId="56" fillId="31" borderId="26" xfId="0" applyFont="1" applyFill="1" applyBorder="1" applyAlignment="1">
      <alignment horizontal="justify" vertical="center" wrapText="1"/>
    </xf>
    <xf numFmtId="0" fontId="56" fillId="31" borderId="19" xfId="0" applyFont="1" applyFill="1" applyBorder="1" applyAlignment="1">
      <alignment horizontal="justify" vertical="center" wrapText="1"/>
    </xf>
    <xf numFmtId="0" fontId="56" fillId="31" borderId="37" xfId="0" applyFont="1" applyFill="1" applyBorder="1" applyAlignment="1">
      <alignment horizontal="justify" vertical="center" wrapText="1"/>
    </xf>
    <xf numFmtId="9" fontId="56" fillId="0" borderId="59" xfId="25" applyNumberFormat="1" applyFont="1" applyBorder="1" applyAlignment="1">
      <alignment horizontal="center" vertical="center" wrapText="1"/>
    </xf>
    <xf numFmtId="0" fontId="24" fillId="0" borderId="88" xfId="0" applyFont="1" applyBorder="1" applyAlignment="1">
      <alignment horizontal="justify" vertical="center" wrapText="1"/>
    </xf>
    <xf numFmtId="14" fontId="58" fillId="0" borderId="12" xfId="0" applyNumberFormat="1" applyFont="1" applyBorder="1" applyAlignment="1">
      <alignment horizontal="center" vertical="center" wrapText="1"/>
    </xf>
    <xf numFmtId="14" fontId="58" fillId="0" borderId="13" xfId="0" applyNumberFormat="1" applyFont="1" applyBorder="1" applyAlignment="1">
      <alignment horizontal="center" vertical="center" wrapText="1"/>
    </xf>
    <xf numFmtId="14" fontId="58" fillId="0" borderId="14" xfId="0" applyNumberFormat="1" applyFont="1" applyBorder="1" applyAlignment="1">
      <alignment horizontal="center" vertical="center" wrapText="1"/>
    </xf>
    <xf numFmtId="14" fontId="58" fillId="0" borderId="45" xfId="0" applyNumberFormat="1" applyFont="1" applyBorder="1" applyAlignment="1">
      <alignment horizontal="center" vertical="center" wrapText="1"/>
    </xf>
    <xf numFmtId="14" fontId="58" fillId="0" borderId="16" xfId="0" applyNumberFormat="1" applyFont="1" applyBorder="1" applyAlignment="1">
      <alignment horizontal="center" vertical="center" wrapText="1"/>
    </xf>
    <xf numFmtId="0" fontId="52" fillId="0" borderId="56" xfId="0" applyFont="1" applyBorder="1" applyAlignment="1">
      <alignment horizontal="left" vertical="center" wrapText="1"/>
    </xf>
    <xf numFmtId="0" fontId="52" fillId="0" borderId="67" xfId="0" applyFont="1" applyBorder="1" applyAlignment="1">
      <alignment horizontal="left" vertical="center" wrapText="1"/>
    </xf>
    <xf numFmtId="0" fontId="52" fillId="0" borderId="57" xfId="0" applyFont="1" applyBorder="1" applyAlignment="1">
      <alignment horizontal="left" vertical="center" wrapText="1"/>
    </xf>
    <xf numFmtId="0" fontId="19" fillId="0" borderId="47" xfId="25" applyFont="1" applyBorder="1" applyAlignment="1">
      <alignment horizontal="center" vertical="center" wrapText="1"/>
    </xf>
    <xf numFmtId="0" fontId="19" fillId="0" borderId="11" xfId="25" applyFont="1" applyBorder="1" applyAlignment="1">
      <alignment horizontal="center" vertical="center" wrapText="1"/>
    </xf>
    <xf numFmtId="0" fontId="19" fillId="0" borderId="12" xfId="25" applyFont="1" applyBorder="1" applyAlignment="1">
      <alignment horizontal="center" vertical="center" wrapText="1"/>
    </xf>
    <xf numFmtId="0" fontId="19" fillId="0" borderId="45" xfId="25" applyFont="1" applyBorder="1" applyAlignment="1">
      <alignment horizontal="center" vertical="center" wrapText="1"/>
    </xf>
    <xf numFmtId="0" fontId="19" fillId="0" borderId="15" xfId="25" applyFont="1" applyBorder="1" applyAlignment="1">
      <alignment horizontal="center" vertical="center" wrapText="1"/>
    </xf>
    <xf numFmtId="0" fontId="19" fillId="0" borderId="16" xfId="25" applyFont="1" applyBorder="1" applyAlignment="1">
      <alignment horizontal="center" vertical="center" wrapText="1"/>
    </xf>
    <xf numFmtId="0" fontId="19" fillId="0" borderId="52" xfId="0" applyFont="1" applyBorder="1" applyAlignment="1">
      <alignment horizontal="left" vertical="center" wrapText="1"/>
    </xf>
    <xf numFmtId="0" fontId="19" fillId="0" borderId="60" xfId="0" applyFont="1" applyBorder="1" applyAlignment="1">
      <alignment horizontal="left" vertical="center" wrapText="1"/>
    </xf>
    <xf numFmtId="0" fontId="19" fillId="0" borderId="22" xfId="0" applyFont="1" applyBorder="1" applyAlignment="1">
      <alignment horizontal="left" vertical="center" wrapText="1"/>
    </xf>
    <xf numFmtId="0" fontId="56" fillId="0" borderId="53" xfId="25" applyFont="1" applyBorder="1" applyAlignment="1">
      <alignment horizontal="center" vertical="center" wrapText="1"/>
    </xf>
    <xf numFmtId="0" fontId="56" fillId="0" borderId="54" xfId="25" applyFont="1" applyBorder="1" applyAlignment="1">
      <alignment horizontal="center" vertical="center" wrapText="1"/>
    </xf>
    <xf numFmtId="0" fontId="56" fillId="0" borderId="55" xfId="25" applyFont="1" applyBorder="1" applyAlignment="1">
      <alignment horizontal="center" vertical="center" wrapText="1"/>
    </xf>
    <xf numFmtId="0" fontId="19" fillId="0" borderId="42" xfId="25" applyFont="1" applyBorder="1" applyAlignment="1">
      <alignment horizontal="center" vertical="center"/>
    </xf>
    <xf numFmtId="0" fontId="19" fillId="0" borderId="43" xfId="25" applyFont="1" applyBorder="1" applyAlignment="1">
      <alignment horizontal="center" vertical="center"/>
    </xf>
    <xf numFmtId="0" fontId="19" fillId="0" borderId="44" xfId="25" applyFont="1" applyBorder="1" applyAlignment="1">
      <alignment horizontal="center" vertical="center"/>
    </xf>
    <xf numFmtId="0" fontId="19" fillId="0" borderId="50" xfId="0" applyFont="1" applyBorder="1" applyAlignment="1">
      <alignment horizontal="left" vertical="center" wrapText="1"/>
    </xf>
    <xf numFmtId="0" fontId="19" fillId="0" borderId="66" xfId="0" applyFont="1" applyBorder="1" applyAlignment="1">
      <alignment horizontal="left" vertical="center" wrapText="1"/>
    </xf>
    <xf numFmtId="0" fontId="19" fillId="0" borderId="51" xfId="0" applyFont="1" applyBorder="1" applyAlignment="1">
      <alignment horizontal="left" vertical="center" wrapText="1"/>
    </xf>
    <xf numFmtId="0" fontId="56" fillId="0" borderId="18" xfId="25" applyFont="1" applyBorder="1" applyAlignment="1">
      <alignment horizontal="justify" vertical="center" wrapText="1"/>
    </xf>
    <xf numFmtId="0" fontId="19" fillId="20" borderId="48" xfId="25" applyFont="1" applyFill="1" applyBorder="1" applyAlignment="1">
      <alignment horizontal="center" vertical="center" wrapText="1"/>
    </xf>
    <xf numFmtId="0" fontId="62" fillId="0" borderId="1" xfId="25" applyFont="1" applyBorder="1" applyAlignment="1">
      <alignment horizontal="left" vertical="center" wrapText="1"/>
    </xf>
    <xf numFmtId="0" fontId="62" fillId="0" borderId="9" xfId="25" applyFont="1" applyBorder="1" applyAlignment="1">
      <alignment horizontal="left" vertical="center" wrapText="1"/>
    </xf>
    <xf numFmtId="9" fontId="24" fillId="0" borderId="104" xfId="0" applyNumberFormat="1" applyFont="1" applyBorder="1" applyAlignment="1">
      <alignment horizontal="justify" vertical="center" wrapText="1"/>
    </xf>
    <xf numFmtId="174" fontId="22" fillId="0" borderId="104" xfId="0" applyNumberFormat="1" applyFont="1" applyBorder="1" applyAlignment="1">
      <alignment horizontal="center" vertical="center" wrapText="1"/>
    </xf>
    <xf numFmtId="0" fontId="19" fillId="19" borderId="43" xfId="25" applyFont="1" applyFill="1" applyBorder="1" applyAlignment="1">
      <alignment horizontal="left" vertical="center" wrapText="1"/>
    </xf>
    <xf numFmtId="0" fontId="56" fillId="0" borderId="42" xfId="25" applyFont="1" applyBorder="1" applyAlignment="1">
      <alignment horizontal="left" vertical="center" wrapText="1"/>
    </xf>
    <xf numFmtId="0" fontId="56" fillId="0" borderId="43" xfId="25" applyFont="1" applyBorder="1" applyAlignment="1">
      <alignment horizontal="left" vertical="center" wrapText="1"/>
    </xf>
    <xf numFmtId="0" fontId="56" fillId="0" borderId="44" xfId="25" applyFont="1" applyBorder="1" applyAlignment="1">
      <alignment horizontal="left" vertical="center" wrapText="1"/>
    </xf>
    <xf numFmtId="0" fontId="19" fillId="20" borderId="53" xfId="25" applyFont="1" applyFill="1" applyBorder="1" applyAlignment="1">
      <alignment horizontal="center" vertical="center" wrapText="1"/>
    </xf>
    <xf numFmtId="0" fontId="19" fillId="20" borderId="55" xfId="25" applyFont="1" applyFill="1" applyBorder="1" applyAlignment="1">
      <alignment horizontal="center" vertical="center" wrapText="1"/>
    </xf>
    <xf numFmtId="0" fontId="19" fillId="20" borderId="47" xfId="25" applyFont="1" applyFill="1" applyBorder="1" applyAlignment="1">
      <alignment horizontal="center" vertical="center" wrapText="1"/>
    </xf>
    <xf numFmtId="9" fontId="19" fillId="0" borderId="68" xfId="25" applyNumberFormat="1" applyFont="1" applyBorder="1" applyAlignment="1">
      <alignment horizontal="center" vertical="center" wrapText="1"/>
    </xf>
    <xf numFmtId="0" fontId="19" fillId="0" borderId="63" xfId="25" applyFont="1" applyBorder="1" applyAlignment="1">
      <alignment horizontal="center" vertical="center" wrapText="1"/>
    </xf>
    <xf numFmtId="9" fontId="56" fillId="0" borderId="47" xfId="25" applyNumberFormat="1" applyFont="1" applyBorder="1" applyAlignment="1">
      <alignment horizontal="justify" vertical="center" wrapText="1"/>
    </xf>
    <xf numFmtId="9" fontId="56" fillId="0" borderId="11" xfId="25" applyNumberFormat="1" applyFont="1" applyBorder="1" applyAlignment="1">
      <alignment horizontal="justify" vertical="center" wrapText="1"/>
    </xf>
    <xf numFmtId="9" fontId="56" fillId="0" borderId="12" xfId="25" applyNumberFormat="1" applyFont="1" applyBorder="1" applyAlignment="1">
      <alignment horizontal="justify" vertical="center" wrapText="1"/>
    </xf>
    <xf numFmtId="9" fontId="56" fillId="0" borderId="45" xfId="25" applyNumberFormat="1" applyFont="1" applyBorder="1" applyAlignment="1">
      <alignment horizontal="justify" vertical="center" wrapText="1"/>
    </xf>
    <xf numFmtId="9" fontId="56" fillId="0" borderId="15" xfId="25" applyNumberFormat="1" applyFont="1" applyBorder="1" applyAlignment="1">
      <alignment horizontal="justify" vertical="center" wrapText="1"/>
    </xf>
    <xf numFmtId="9" fontId="56" fillId="0" borderId="16" xfId="25" applyNumberFormat="1" applyFont="1" applyBorder="1" applyAlignment="1">
      <alignment horizontal="justify" vertical="center" wrapText="1"/>
    </xf>
    <xf numFmtId="0" fontId="66" fillId="0" borderId="59" xfId="0" applyFont="1" applyBorder="1" applyAlignment="1">
      <alignment horizontal="justify" vertical="center" wrapText="1"/>
    </xf>
    <xf numFmtId="0" fontId="66" fillId="0" borderId="24" xfId="0" applyFont="1" applyBorder="1" applyAlignment="1">
      <alignment horizontal="justify" vertical="center" wrapText="1"/>
    </xf>
    <xf numFmtId="0" fontId="66" fillId="0" borderId="25" xfId="0" applyFont="1" applyBorder="1" applyAlignment="1">
      <alignment horizontal="justify" vertical="center" wrapText="1"/>
    </xf>
    <xf numFmtId="0" fontId="66" fillId="0" borderId="101" xfId="0" applyFont="1" applyBorder="1" applyAlignment="1">
      <alignment horizontal="justify" vertical="center" wrapText="1"/>
    </xf>
    <xf numFmtId="0" fontId="66" fillId="0" borderId="102" xfId="0" applyFont="1" applyBorder="1" applyAlignment="1">
      <alignment horizontal="justify" vertical="center" wrapText="1"/>
    </xf>
    <xf numFmtId="0" fontId="66" fillId="0" borderId="103" xfId="0" applyFont="1" applyBorder="1" applyAlignment="1">
      <alignment horizontal="justify" vertical="center" wrapText="1"/>
    </xf>
    <xf numFmtId="9" fontId="56" fillId="0" borderId="24" xfId="33" applyFont="1" applyFill="1" applyBorder="1" applyAlignment="1" applyProtection="1">
      <alignment horizontal="justify" vertical="center" wrapText="1"/>
    </xf>
    <xf numFmtId="9" fontId="56" fillId="0" borderId="25" xfId="33" applyFont="1" applyFill="1" applyBorder="1" applyAlignment="1" applyProtection="1">
      <alignment horizontal="justify" vertical="center" wrapText="1"/>
    </xf>
    <xf numFmtId="9" fontId="56" fillId="0" borderId="15" xfId="33" applyFont="1" applyFill="1" applyBorder="1" applyAlignment="1" applyProtection="1">
      <alignment horizontal="justify" vertical="center" wrapText="1"/>
    </xf>
    <xf numFmtId="9" fontId="56" fillId="0" borderId="64" xfId="33" applyFont="1" applyFill="1" applyBorder="1" applyAlignment="1" applyProtection="1">
      <alignment horizontal="justify" vertical="center" wrapText="1"/>
    </xf>
    <xf numFmtId="0" fontId="19" fillId="20" borderId="24" xfId="25" applyFont="1" applyFill="1" applyBorder="1" applyAlignment="1">
      <alignment horizontal="center" vertical="center" wrapText="1"/>
    </xf>
    <xf numFmtId="0" fontId="19" fillId="20" borderId="65" xfId="25" applyFont="1" applyFill="1" applyBorder="1" applyAlignment="1">
      <alignment horizontal="center" vertical="center" wrapText="1"/>
    </xf>
    <xf numFmtId="0" fontId="56" fillId="20" borderId="2" xfId="25" applyFont="1" applyFill="1" applyBorder="1" applyAlignment="1">
      <alignment horizontal="center" vertical="center" wrapText="1"/>
    </xf>
    <xf numFmtId="0" fontId="19" fillId="19" borderId="50" xfId="25" applyFont="1" applyFill="1" applyBorder="1" applyAlignment="1">
      <alignment horizontal="center" vertical="center" wrapText="1"/>
    </xf>
    <xf numFmtId="0" fontId="19" fillId="19" borderId="66" xfId="25" applyFont="1" applyFill="1" applyBorder="1" applyAlignment="1">
      <alignment horizontal="center" vertical="center" wrapText="1"/>
    </xf>
    <xf numFmtId="0" fontId="19" fillId="19" borderId="51" xfId="25" applyFont="1" applyFill="1" applyBorder="1" applyAlignment="1">
      <alignment horizontal="center" vertical="center" wrapText="1"/>
    </xf>
    <xf numFmtId="0" fontId="19" fillId="20" borderId="52" xfId="25" applyFont="1" applyFill="1" applyBorder="1" applyAlignment="1">
      <alignment horizontal="center" vertical="center" wrapText="1"/>
    </xf>
    <xf numFmtId="0" fontId="19" fillId="20" borderId="22" xfId="25" applyFont="1" applyFill="1" applyBorder="1" applyAlignment="1">
      <alignment horizontal="center" vertical="center" wrapText="1"/>
    </xf>
    <xf numFmtId="9" fontId="62" fillId="0" borderId="23" xfId="25" applyNumberFormat="1" applyFont="1" applyBorder="1" applyAlignment="1">
      <alignment horizontal="justify" vertical="center" wrapText="1"/>
    </xf>
    <xf numFmtId="9" fontId="62" fillId="0" borderId="24" xfId="25" applyNumberFormat="1" applyFont="1" applyBorder="1" applyAlignment="1">
      <alignment horizontal="justify" vertical="center" wrapText="1"/>
    </xf>
    <xf numFmtId="9" fontId="62" fillId="0" borderId="65" xfId="25" applyNumberFormat="1" applyFont="1" applyBorder="1" applyAlignment="1">
      <alignment horizontal="justify" vertical="center" wrapText="1"/>
    </xf>
    <xf numFmtId="9" fontId="62" fillId="0" borderId="13" xfId="25" applyNumberFormat="1" applyFont="1" applyBorder="1" applyAlignment="1">
      <alignment horizontal="justify" vertical="center" wrapText="1"/>
    </xf>
    <xf numFmtId="9" fontId="62" fillId="0" borderId="0" xfId="25" applyNumberFormat="1" applyFont="1" applyAlignment="1">
      <alignment horizontal="justify" vertical="center" wrapText="1"/>
    </xf>
    <xf numFmtId="9" fontId="62" fillId="0" borderId="14" xfId="25" applyNumberFormat="1" applyFont="1" applyBorder="1" applyAlignment="1">
      <alignment horizontal="justify" vertical="center" wrapText="1"/>
    </xf>
    <xf numFmtId="10" fontId="56" fillId="0" borderId="9" xfId="25" applyNumberFormat="1" applyFont="1" applyBorder="1" applyAlignment="1">
      <alignment horizontal="center" vertical="center" wrapText="1"/>
    </xf>
    <xf numFmtId="9" fontId="66" fillId="0" borderId="59" xfId="33" applyFont="1" applyFill="1" applyBorder="1" applyAlignment="1" applyProtection="1">
      <alignment horizontal="justify" vertical="center" wrapText="1"/>
    </xf>
    <xf numFmtId="9" fontId="66" fillId="0" borderId="24" xfId="33" applyFont="1" applyFill="1" applyBorder="1" applyAlignment="1" applyProtection="1">
      <alignment horizontal="justify" vertical="center" wrapText="1"/>
    </xf>
    <xf numFmtId="9" fontId="66" fillId="0" borderId="25" xfId="33" applyFont="1" applyFill="1" applyBorder="1" applyAlignment="1" applyProtection="1">
      <alignment horizontal="justify" vertical="center" wrapText="1"/>
    </xf>
    <xf numFmtId="9" fontId="66" fillId="0" borderId="63" xfId="33" applyFont="1" applyFill="1" applyBorder="1" applyAlignment="1" applyProtection="1">
      <alignment horizontal="justify" vertical="center" wrapText="1"/>
    </xf>
    <xf numFmtId="9" fontId="66" fillId="0" borderId="15" xfId="33" applyFont="1" applyFill="1" applyBorder="1" applyAlignment="1" applyProtection="1">
      <alignment horizontal="justify" vertical="center" wrapText="1"/>
    </xf>
    <xf numFmtId="9" fontId="66" fillId="0" borderId="64" xfId="33" applyFont="1" applyFill="1" applyBorder="1" applyAlignment="1" applyProtection="1">
      <alignment horizontal="justify" vertical="center" wrapText="1"/>
    </xf>
    <xf numFmtId="0" fontId="19" fillId="20" borderId="70" xfId="25" applyFont="1" applyFill="1" applyBorder="1" applyAlignment="1">
      <alignment horizontal="center" vertical="center" wrapText="1"/>
    </xf>
    <xf numFmtId="0" fontId="19" fillId="20" borderId="28" xfId="25" applyFont="1" applyFill="1" applyBorder="1" applyAlignment="1">
      <alignment horizontal="center" vertical="center" wrapText="1"/>
    </xf>
    <xf numFmtId="1" fontId="19" fillId="0" borderId="42" xfId="31" applyNumberFormat="1" applyFont="1" applyFill="1" applyBorder="1" applyAlignment="1" applyProtection="1">
      <alignment horizontal="center" vertical="center" wrapText="1"/>
    </xf>
    <xf numFmtId="1" fontId="19" fillId="0" borderId="44" xfId="31" applyNumberFormat="1" applyFont="1" applyFill="1" applyBorder="1" applyAlignment="1" applyProtection="1">
      <alignment horizontal="center" vertical="center" wrapText="1"/>
    </xf>
    <xf numFmtId="10" fontId="56" fillId="0" borderId="37" xfId="25" applyNumberFormat="1" applyFont="1" applyBorder="1" applyAlignment="1">
      <alignment horizontal="center" vertical="center" wrapText="1"/>
    </xf>
    <xf numFmtId="9" fontId="56" fillId="19" borderId="8" xfId="25" applyNumberFormat="1" applyFont="1" applyFill="1" applyBorder="1" applyAlignment="1">
      <alignment horizontal="justify" vertical="center" wrapText="1"/>
    </xf>
    <xf numFmtId="9" fontId="56" fillId="19" borderId="26" xfId="25" applyNumberFormat="1" applyFont="1" applyFill="1" applyBorder="1" applyAlignment="1">
      <alignment horizontal="justify" vertical="center" wrapText="1"/>
    </xf>
    <xf numFmtId="9" fontId="56" fillId="19" borderId="19" xfId="25" applyNumberFormat="1" applyFont="1" applyFill="1" applyBorder="1" applyAlignment="1">
      <alignment horizontal="justify" vertical="center" wrapText="1"/>
    </xf>
    <xf numFmtId="9" fontId="56" fillId="19" borderId="37" xfId="25" applyNumberFormat="1" applyFont="1" applyFill="1" applyBorder="1" applyAlignment="1">
      <alignment horizontal="justify" vertical="center" wrapText="1"/>
    </xf>
    <xf numFmtId="0" fontId="56" fillId="20" borderId="21" xfId="25" applyFont="1" applyFill="1" applyBorder="1" applyAlignment="1">
      <alignment horizontal="center" vertical="center" wrapText="1"/>
    </xf>
    <xf numFmtId="0" fontId="19" fillId="20" borderId="64" xfId="25" applyFont="1" applyFill="1" applyBorder="1" applyAlignment="1">
      <alignment horizontal="center" vertical="center" wrapText="1"/>
    </xf>
    <xf numFmtId="9" fontId="56" fillId="19" borderId="58" xfId="25" applyNumberFormat="1" applyFont="1" applyFill="1" applyBorder="1" applyAlignment="1">
      <alignment horizontal="justify" vertical="center" wrapText="1"/>
    </xf>
    <xf numFmtId="9" fontId="56" fillId="19" borderId="4" xfId="25" applyNumberFormat="1" applyFont="1" applyFill="1" applyBorder="1" applyAlignment="1">
      <alignment horizontal="justify" vertical="center" wrapText="1"/>
    </xf>
    <xf numFmtId="9" fontId="56" fillId="19" borderId="28" xfId="25" applyNumberFormat="1" applyFont="1" applyFill="1" applyBorder="1" applyAlignment="1">
      <alignment horizontal="justify" vertical="center" wrapText="1"/>
    </xf>
    <xf numFmtId="0" fontId="19" fillId="0" borderId="40" xfId="25" applyFont="1" applyBorder="1" applyAlignment="1">
      <alignment horizontal="justify" vertical="center" wrapText="1"/>
    </xf>
    <xf numFmtId="9" fontId="19" fillId="0" borderId="38" xfId="25" applyNumberFormat="1" applyFont="1" applyBorder="1" applyAlignment="1">
      <alignment horizontal="center" vertical="center" wrapText="1"/>
    </xf>
    <xf numFmtId="9" fontId="19" fillId="0" borderId="33" xfId="25" applyNumberFormat="1" applyFont="1" applyBorder="1" applyAlignment="1">
      <alignment horizontal="center" vertical="center" wrapText="1"/>
    </xf>
    <xf numFmtId="9" fontId="56" fillId="0" borderId="63" xfId="25" applyNumberFormat="1" applyFont="1" applyBorder="1" applyAlignment="1">
      <alignment horizontal="center" vertical="center" wrapText="1"/>
    </xf>
    <xf numFmtId="0" fontId="47" fillId="0" borderId="1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9"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68" xfId="0" applyFont="1" applyBorder="1" applyAlignment="1">
      <alignment horizontal="center" vertical="center"/>
    </xf>
    <xf numFmtId="0" fontId="47" fillId="0" borderId="0" xfId="0" applyFont="1" applyAlignment="1">
      <alignment horizontal="center" vertical="center"/>
    </xf>
    <xf numFmtId="0" fontId="47" fillId="0" borderId="71" xfId="0" applyFont="1" applyBorder="1" applyAlignment="1">
      <alignment horizontal="center" vertical="center"/>
    </xf>
    <xf numFmtId="0" fontId="47" fillId="0" borderId="20" xfId="0" applyFont="1" applyBorder="1" applyAlignment="1">
      <alignment horizontal="center" vertical="center"/>
    </xf>
    <xf numFmtId="0" fontId="47" fillId="0" borderId="3" xfId="0" applyFont="1" applyBorder="1" applyAlignment="1">
      <alignment horizontal="center" vertical="center"/>
    </xf>
    <xf numFmtId="0" fontId="47" fillId="0" borderId="58" xfId="0" applyFont="1" applyBorder="1" applyAlignment="1">
      <alignment horizontal="center" vertical="center"/>
    </xf>
    <xf numFmtId="0" fontId="47" fillId="0" borderId="2" xfId="0" applyFont="1" applyBorder="1" applyAlignment="1">
      <alignment horizontal="center" vertical="center"/>
    </xf>
    <xf numFmtId="0" fontId="47" fillId="0" borderId="60" xfId="0" applyFont="1" applyBorder="1" applyAlignment="1">
      <alignment horizontal="center" vertical="center"/>
    </xf>
    <xf numFmtId="0" fontId="47" fillId="0" borderId="5" xfId="0" applyFont="1" applyBorder="1" applyAlignment="1">
      <alignment horizontal="center" vertical="center"/>
    </xf>
    <xf numFmtId="0" fontId="47" fillId="0" borderId="2" xfId="0" applyFont="1" applyBorder="1" applyAlignment="1">
      <alignment horizontal="center" vertical="center" wrapText="1"/>
    </xf>
    <xf numFmtId="0" fontId="47" fillId="0" borderId="5" xfId="0" applyFont="1" applyBorder="1" applyAlignment="1">
      <alignment horizontal="center" vertical="center" wrapText="1"/>
    </xf>
    <xf numFmtId="0" fontId="43" fillId="0" borderId="20" xfId="0" applyFont="1" applyBorder="1" applyAlignment="1">
      <alignment horizontal="left" vertical="center"/>
    </xf>
    <xf numFmtId="0" fontId="43" fillId="0" borderId="3" xfId="0" applyFont="1" applyBorder="1" applyAlignment="1">
      <alignment horizontal="left" vertical="center"/>
    </xf>
    <xf numFmtId="0" fontId="43" fillId="0" borderId="60" xfId="0" applyFont="1" applyBorder="1" applyAlignment="1">
      <alignment horizontal="left" vertical="center"/>
    </xf>
    <xf numFmtId="0" fontId="43" fillId="0" borderId="5" xfId="0" applyFont="1" applyBorder="1" applyAlignment="1">
      <alignment horizontal="left" vertical="center"/>
    </xf>
    <xf numFmtId="0" fontId="43" fillId="0" borderId="2" xfId="0" applyFont="1" applyBorder="1" applyAlignment="1">
      <alignment horizontal="left" vertical="center"/>
    </xf>
    <xf numFmtId="0" fontId="47" fillId="0" borderId="60" xfId="0" applyFont="1" applyBorder="1" applyAlignment="1">
      <alignment horizontal="center" vertical="center" wrapText="1"/>
    </xf>
    <xf numFmtId="0" fontId="47" fillId="0" borderId="1" xfId="0" applyFont="1" applyBorder="1" applyAlignment="1">
      <alignment horizontal="center" vertical="center"/>
    </xf>
    <xf numFmtId="14" fontId="53" fillId="0" borderId="1" xfId="0" applyNumberFormat="1" applyFont="1" applyBorder="1" applyAlignment="1">
      <alignment horizontal="center" vertical="center"/>
    </xf>
    <xf numFmtId="0" fontId="53" fillId="0" borderId="1"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7" fillId="0" borderId="1" xfId="0" applyFont="1" applyBorder="1" applyAlignment="1">
      <alignment horizontal="left" vertical="center" wrapText="1"/>
    </xf>
    <xf numFmtId="0" fontId="47" fillId="0" borderId="1" xfId="0" applyFont="1" applyBorder="1" applyAlignment="1">
      <alignment horizontal="center" vertical="center" wrapText="1"/>
    </xf>
    <xf numFmtId="0" fontId="54" fillId="0" borderId="1" xfId="25" applyFont="1" applyBorder="1" applyAlignment="1">
      <alignment horizontal="center" vertical="center" wrapText="1"/>
    </xf>
    <xf numFmtId="0" fontId="30" fillId="0" borderId="1" xfId="25" applyFont="1" applyBorder="1" applyAlignment="1">
      <alignment horizontal="center" vertical="center" wrapText="1"/>
    </xf>
    <xf numFmtId="0" fontId="30" fillId="0" borderId="1" xfId="25" applyFont="1" applyBorder="1" applyAlignment="1">
      <alignment horizontal="left" vertical="center" wrapText="1"/>
    </xf>
    <xf numFmtId="41" fontId="49" fillId="0" borderId="10" xfId="12" applyFont="1" applyFill="1" applyBorder="1" applyAlignment="1">
      <alignment vertical="center" wrapText="1"/>
    </xf>
    <xf numFmtId="0" fontId="49" fillId="0" borderId="4" xfId="0" applyFont="1" applyBorder="1" applyAlignment="1">
      <alignment vertical="center"/>
    </xf>
    <xf numFmtId="41" fontId="49" fillId="0" borderId="10" xfId="12" applyFont="1" applyFill="1" applyBorder="1" applyAlignment="1">
      <alignment horizontal="justify" vertical="center" wrapText="1"/>
    </xf>
    <xf numFmtId="0" fontId="49" fillId="0" borderId="4" xfId="0" applyFont="1" applyBorder="1" applyAlignment="1">
      <alignment horizontal="justify" vertical="center"/>
    </xf>
    <xf numFmtId="0" fontId="47" fillId="0" borderId="2" xfId="0" applyFont="1" applyBorder="1" applyAlignment="1">
      <alignment horizontal="left" vertical="center"/>
    </xf>
    <xf numFmtId="0" fontId="47" fillId="0" borderId="60" xfId="0" applyFont="1" applyBorder="1" applyAlignment="1">
      <alignment horizontal="left" vertical="center"/>
    </xf>
    <xf numFmtId="0" fontId="47" fillId="0" borderId="5" xfId="0" applyFont="1" applyBorder="1" applyAlignment="1">
      <alignment horizontal="left" vertical="center"/>
    </xf>
    <xf numFmtId="0" fontId="47" fillId="0" borderId="20" xfId="0" applyFont="1" applyBorder="1" applyAlignment="1">
      <alignment horizontal="left" vertical="center"/>
    </xf>
    <xf numFmtId="0" fontId="47" fillId="0" borderId="3" xfId="0" applyFont="1" applyBorder="1" applyAlignment="1">
      <alignment horizontal="left" vertical="center"/>
    </xf>
    <xf numFmtId="0" fontId="47" fillId="0" borderId="58" xfId="0" applyFont="1" applyBorder="1" applyAlignment="1">
      <alignment horizontal="left" vertical="center"/>
    </xf>
    <xf numFmtId="0" fontId="55" fillId="0" borderId="59" xfId="0" applyFont="1" applyBorder="1" applyAlignment="1">
      <alignment vertical="center" wrapText="1"/>
    </xf>
    <xf numFmtId="0" fontId="55" fillId="0" borderId="24" xfId="0" applyFont="1" applyBorder="1" applyAlignment="1">
      <alignment vertical="center" wrapText="1"/>
    </xf>
    <xf numFmtId="0" fontId="55" fillId="0" borderId="25" xfId="0" applyFont="1" applyBorder="1" applyAlignment="1">
      <alignment vertical="center" wrapText="1"/>
    </xf>
    <xf numFmtId="0" fontId="55" fillId="0" borderId="1" xfId="0" applyFont="1" applyBorder="1" applyAlignment="1">
      <alignment horizontal="center" vertical="center"/>
    </xf>
    <xf numFmtId="0" fontId="27" fillId="0" borderId="1" xfId="0" applyFont="1" applyBorder="1" applyAlignment="1">
      <alignment vertical="center" wrapText="1"/>
    </xf>
    <xf numFmtId="0" fontId="28" fillId="19" borderId="4" xfId="0" applyFont="1" applyFill="1" applyBorder="1" applyAlignment="1">
      <alignment horizontal="center" vertical="center"/>
    </xf>
    <xf numFmtId="0" fontId="28" fillId="19" borderId="1" xfId="0" applyFont="1" applyFill="1" applyBorder="1" applyAlignment="1">
      <alignment horizontal="center" vertical="center"/>
    </xf>
    <xf numFmtId="0" fontId="27" fillId="9" borderId="10"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 xfId="0" applyFont="1" applyFill="1" applyBorder="1" applyAlignment="1">
      <alignment horizontal="center" vertical="center"/>
    </xf>
    <xf numFmtId="0" fontId="27" fillId="9" borderId="60"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7" fillId="21" borderId="2" xfId="0" applyFont="1" applyFill="1" applyBorder="1" applyAlignment="1">
      <alignment horizontal="center" vertical="center"/>
    </xf>
    <xf numFmtId="0" fontId="47" fillId="21" borderId="5" xfId="0" applyFont="1" applyFill="1" applyBorder="1" applyAlignment="1">
      <alignment horizontal="center" vertical="center"/>
    </xf>
    <xf numFmtId="0" fontId="47" fillId="0" borderId="2" xfId="0" applyFont="1" applyBorder="1" applyAlignment="1">
      <alignment horizontal="left" vertical="center" wrapText="1"/>
    </xf>
    <xf numFmtId="0" fontId="47" fillId="0" borderId="5" xfId="0" applyFont="1" applyBorder="1" applyAlignment="1">
      <alignment horizontal="left" vertical="center" wrapText="1"/>
    </xf>
    <xf numFmtId="0" fontId="43" fillId="0" borderId="10" xfId="0" applyFont="1" applyBorder="1" applyAlignment="1">
      <alignment horizontal="left" vertical="center" wrapText="1"/>
    </xf>
    <xf numFmtId="0" fontId="43" fillId="0" borderId="38" xfId="0" applyFont="1" applyBorder="1" applyAlignment="1">
      <alignment horizontal="left" vertical="center" wrapText="1"/>
    </xf>
    <xf numFmtId="0" fontId="43" fillId="0" borderId="4" xfId="0" applyFont="1" applyBorder="1" applyAlignment="1">
      <alignment horizontal="left" vertical="center" wrapText="1"/>
    </xf>
    <xf numFmtId="41" fontId="43" fillId="0" borderId="59" xfId="12" applyFont="1" applyFill="1" applyBorder="1" applyAlignment="1">
      <alignment horizontal="left" vertical="center"/>
    </xf>
    <xf numFmtId="41" fontId="43" fillId="0" borderId="68" xfId="12" applyFont="1" applyFill="1" applyBorder="1" applyAlignment="1">
      <alignment horizontal="left" vertical="center"/>
    </xf>
    <xf numFmtId="41" fontId="43" fillId="0" borderId="20" xfId="12" applyFont="1" applyFill="1" applyBorder="1" applyAlignment="1">
      <alignment horizontal="left" vertical="center"/>
    </xf>
    <xf numFmtId="0" fontId="0" fillId="13" borderId="1" xfId="0" applyFill="1" applyBorder="1" applyAlignment="1">
      <alignment horizontal="center"/>
    </xf>
    <xf numFmtId="0" fontId="0" fillId="0" borderId="7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71" xfId="0" applyFill="1" applyBorder="1" applyAlignment="1">
      <alignment horizont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2 2" xfId="14" xr:uid="{00000000-0005-0000-0000-00000D000000}"/>
    <cellStyle name="Millares [0] 2 3" xfId="15" xr:uid="{00000000-0005-0000-0000-00000E000000}"/>
    <cellStyle name="Millares 2" xfId="16" xr:uid="{00000000-0005-0000-0000-00000F000000}"/>
    <cellStyle name="Moneda" xfId="17" builtinId="4"/>
    <cellStyle name="Moneda [0]" xfId="18" builtinId="7"/>
    <cellStyle name="Moneda 130" xfId="19" xr:uid="{00000000-0005-0000-0000-000012000000}"/>
    <cellStyle name="Moneda 2" xfId="20" xr:uid="{00000000-0005-0000-0000-000013000000}"/>
    <cellStyle name="Moneda 2 2" xfId="21" xr:uid="{00000000-0005-0000-0000-000014000000}"/>
    <cellStyle name="Moneda 23" xfId="22" xr:uid="{00000000-0005-0000-0000-000015000000}"/>
    <cellStyle name="Moneda 3" xfId="23" xr:uid="{00000000-0005-0000-0000-000016000000}"/>
    <cellStyle name="Neutral 2" xfId="24" xr:uid="{00000000-0005-0000-0000-000017000000}"/>
    <cellStyle name="Normal" xfId="0" builtinId="0"/>
    <cellStyle name="Normal 2" xfId="25" xr:uid="{00000000-0005-0000-0000-000019000000}"/>
    <cellStyle name="Normal 2 2" xfId="26" xr:uid="{00000000-0005-0000-0000-00001A000000}"/>
    <cellStyle name="Normal 2 3" xfId="27" xr:uid="{00000000-0005-0000-0000-00001B000000}"/>
    <cellStyle name="Normal 3" xfId="28" xr:uid="{00000000-0005-0000-0000-00001C000000}"/>
    <cellStyle name="Normal 3 2" xfId="29" xr:uid="{00000000-0005-0000-0000-00001D000000}"/>
    <cellStyle name="Normal 6 2" xfId="30" xr:uid="{00000000-0005-0000-0000-00001E000000}"/>
    <cellStyle name="Porcentaje" xfId="31" builtinId="5"/>
    <cellStyle name="Porcentaje 2" xfId="32" xr:uid="{00000000-0005-0000-0000-000020000000}"/>
    <cellStyle name="Porcentual 2" xfId="33" xr:uid="{00000000-0005-0000-0000-000021000000}"/>
    <cellStyle name="Texto de inicio" xfId="34" xr:uid="{00000000-0005-0000-0000-000022000000}"/>
    <cellStyle name="Texto de la columna A" xfId="35" xr:uid="{00000000-0005-0000-0000-000023000000}"/>
    <cellStyle name="Título 4" xfId="36"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1828800</xdr:colOff>
      <xdr:row>3</xdr:row>
      <xdr:rowOff>133350</xdr:rowOff>
    </xdr:to>
    <xdr:pic>
      <xdr:nvPicPr>
        <xdr:cNvPr id="82915" name="Picture 47">
          <a:extLst>
            <a:ext uri="{FF2B5EF4-FFF2-40B4-BE49-F238E27FC236}">
              <a16:creationId xmlns:a16="http://schemas.microsoft.com/office/drawing/2014/main" id="{40C61BE3-2F62-4898-833F-7626A7F35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62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2678" name="Picture 47">
          <a:extLst>
            <a:ext uri="{FF2B5EF4-FFF2-40B4-BE49-F238E27FC236}">
              <a16:creationId xmlns:a16="http://schemas.microsoft.com/office/drawing/2014/main" id="{53C65957-A515-4B8A-9E06-9344D9F36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3740" name="Picture 47">
          <a:extLst>
            <a:ext uri="{FF2B5EF4-FFF2-40B4-BE49-F238E27FC236}">
              <a16:creationId xmlns:a16="http://schemas.microsoft.com/office/drawing/2014/main" id="{0FA8AA9D-B6EA-4F6C-9DCA-173CF3C67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4764" name="Picture 47">
          <a:extLst>
            <a:ext uri="{FF2B5EF4-FFF2-40B4-BE49-F238E27FC236}">
              <a16:creationId xmlns:a16="http://schemas.microsoft.com/office/drawing/2014/main" id="{DCB6452B-96F5-4B1F-BD06-FE184DFDB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5783" name="Picture 47">
          <a:extLst>
            <a:ext uri="{FF2B5EF4-FFF2-40B4-BE49-F238E27FC236}">
              <a16:creationId xmlns:a16="http://schemas.microsoft.com/office/drawing/2014/main" id="{E2006C89-F94E-4AE6-86AB-32B70853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9742" name="Picture 47">
          <a:extLst>
            <a:ext uri="{FF2B5EF4-FFF2-40B4-BE49-F238E27FC236}">
              <a16:creationId xmlns:a16="http://schemas.microsoft.com/office/drawing/2014/main" id="{1B27D5A7-5209-40E9-9DCA-AAAB44735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0770" name="Picture 47">
          <a:extLst>
            <a:ext uri="{FF2B5EF4-FFF2-40B4-BE49-F238E27FC236}">
              <a16:creationId xmlns:a16="http://schemas.microsoft.com/office/drawing/2014/main" id="{F863F753-4C99-4992-A996-365DDBE26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8856" name="Picture 47">
          <a:extLst>
            <a:ext uri="{FF2B5EF4-FFF2-40B4-BE49-F238E27FC236}">
              <a16:creationId xmlns:a16="http://schemas.microsoft.com/office/drawing/2014/main" id="{17FB1A50-E902-402F-8936-1005FF5F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303"/>
  <sheetViews>
    <sheetView showGridLines="0" view="pageBreakPreview" topLeftCell="I45" zoomScale="60" zoomScaleNormal="60" workbookViewId="0">
      <selection activeCell="Q44" sqref="Q44:AD45"/>
    </sheetView>
  </sheetViews>
  <sheetFormatPr baseColWidth="10" defaultColWidth="10.6640625" defaultRowHeight="14.4" x14ac:dyDescent="0.3"/>
  <cols>
    <col min="1" max="1" width="45.109375" style="50" customWidth="1"/>
    <col min="2" max="2" width="17.6640625" style="50" customWidth="1"/>
    <col min="3" max="14" width="20.6640625" style="50" customWidth="1"/>
    <col min="15" max="15" width="16.109375" style="50" customWidth="1"/>
    <col min="16" max="16" width="18.109375" style="50" customWidth="1"/>
    <col min="17" max="19" width="19" style="50" customWidth="1"/>
    <col min="20" max="22" width="25.44140625" style="50" customWidth="1"/>
    <col min="23" max="24" width="17.88671875" style="50" customWidth="1"/>
    <col min="25" max="26" width="18.44140625" style="50" customWidth="1"/>
    <col min="27" max="27" width="19.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21.33203125" style="50"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523" t="s">
        <v>4</v>
      </c>
      <c r="C3" s="524"/>
      <c r="D3" s="524"/>
      <c r="E3" s="524"/>
      <c r="F3" s="524"/>
      <c r="G3" s="524"/>
      <c r="H3" s="524"/>
      <c r="I3" s="524"/>
      <c r="J3" s="524"/>
      <c r="K3" s="524"/>
      <c r="L3" s="524"/>
      <c r="M3" s="524"/>
      <c r="N3" s="524"/>
      <c r="O3" s="524"/>
      <c r="P3" s="524"/>
      <c r="Q3" s="524"/>
      <c r="R3" s="524"/>
      <c r="S3" s="524"/>
      <c r="T3" s="524"/>
      <c r="U3" s="524"/>
      <c r="V3" s="524"/>
      <c r="W3" s="524"/>
      <c r="X3" s="524"/>
      <c r="Y3" s="524"/>
      <c r="Z3" s="524"/>
      <c r="AA3" s="525"/>
      <c r="AB3" s="517" t="s">
        <v>5</v>
      </c>
      <c r="AC3" s="518"/>
      <c r="AD3" s="519"/>
    </row>
    <row r="4" spans="1:33" ht="21.75" customHeight="1" thickBot="1" x14ac:dyDescent="0.35">
      <c r="A4" s="510"/>
      <c r="B4" s="526"/>
      <c r="C4" s="527"/>
      <c r="D4" s="527"/>
      <c r="E4" s="527"/>
      <c r="F4" s="527"/>
      <c r="G4" s="527"/>
      <c r="H4" s="527"/>
      <c r="I4" s="527"/>
      <c r="J4" s="527"/>
      <c r="K4" s="527"/>
      <c r="L4" s="527"/>
      <c r="M4" s="527"/>
      <c r="N4" s="527"/>
      <c r="O4" s="527"/>
      <c r="P4" s="527"/>
      <c r="Q4" s="527"/>
      <c r="R4" s="527"/>
      <c r="S4" s="527"/>
      <c r="T4" s="527"/>
      <c r="U4" s="527"/>
      <c r="V4" s="527"/>
      <c r="W4" s="527"/>
      <c r="X4" s="527"/>
      <c r="Y4" s="527"/>
      <c r="Z4" s="527"/>
      <c r="AA4" s="528"/>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547"/>
      <c r="P7" s="548"/>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9.35"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22</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456" t="s">
        <v>24</v>
      </c>
      <c r="D17" s="457"/>
      <c r="E17" s="457"/>
      <c r="F17" s="457"/>
      <c r="G17" s="457"/>
      <c r="H17" s="457"/>
      <c r="I17" s="457"/>
      <c r="J17" s="457"/>
      <c r="K17" s="457"/>
      <c r="L17" s="457"/>
      <c r="M17" s="457"/>
      <c r="N17" s="457"/>
      <c r="O17" s="457"/>
      <c r="P17" s="457"/>
      <c r="Q17" s="458"/>
      <c r="R17" s="484" t="s">
        <v>25</v>
      </c>
      <c r="S17" s="488"/>
      <c r="T17" s="488"/>
      <c r="U17" s="488"/>
      <c r="V17" s="485"/>
      <c r="W17" s="486">
        <v>0.55000000000000004</v>
      </c>
      <c r="X17" s="487"/>
      <c r="Y17" s="488" t="s">
        <v>26</v>
      </c>
      <c r="Z17" s="488"/>
      <c r="AA17" s="488"/>
      <c r="AB17" s="485"/>
      <c r="AC17" s="451">
        <v>0.18</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282">
        <v>752554960</v>
      </c>
      <c r="R22" s="283">
        <v>8537488</v>
      </c>
      <c r="S22" s="283">
        <v>0</v>
      </c>
      <c r="T22" s="283">
        <v>0</v>
      </c>
      <c r="U22" s="283">
        <v>0</v>
      </c>
      <c r="V22" s="283">
        <v>217351570</v>
      </c>
      <c r="W22" s="283">
        <v>0</v>
      </c>
      <c r="X22" s="283">
        <v>0</v>
      </c>
      <c r="Y22" s="283">
        <v>0</v>
      </c>
      <c r="Z22" s="283">
        <v>0</v>
      </c>
      <c r="AA22" s="283">
        <v>0</v>
      </c>
      <c r="AB22" s="283">
        <v>0</v>
      </c>
      <c r="AC22" s="284">
        <f>SUM(Q22:AB22)</f>
        <v>978444018</v>
      </c>
      <c r="AD22" s="285"/>
      <c r="AE22" s="3"/>
      <c r="AF22" s="234"/>
      <c r="AG22" s="235"/>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290">
        <f>416447802</f>
        <v>416447802</v>
      </c>
      <c r="R23" s="291">
        <f>666232222-Q23</f>
        <v>249784420</v>
      </c>
      <c r="S23" s="291">
        <f>733025069-Q23-R23</f>
        <v>66792847</v>
      </c>
      <c r="T23" s="291">
        <f>714260395-Q23-R23-S23</f>
        <v>-18764674</v>
      </c>
      <c r="U23" s="291">
        <f>734170887-Q23-R23-S23-T23</f>
        <v>19910492</v>
      </c>
      <c r="V23" s="291">
        <f>734170885-Q23-R23-S23-T23-U23</f>
        <v>-2</v>
      </c>
      <c r="W23" s="291">
        <f>950385801-Q23-R23-S23-T23-U23-V23</f>
        <v>216214916</v>
      </c>
      <c r="X23" s="291">
        <f>950385801-Q23-R23-S23-T23-U23-V23-W23</f>
        <v>0</v>
      </c>
      <c r="Y23" s="291">
        <f>950385801-Q23-R23-S23-T23-U23-V23-W23-X23</f>
        <v>0</v>
      </c>
      <c r="Z23" s="291"/>
      <c r="AA23" s="291"/>
      <c r="AB23" s="291"/>
      <c r="AC23" s="280">
        <f>SUM(Q23:AB23)</f>
        <v>950385801</v>
      </c>
      <c r="AD23" s="292">
        <f>AC23/AC22</f>
        <v>0.97132363580968817</v>
      </c>
      <c r="AE23" s="3"/>
      <c r="AF23" s="234"/>
      <c r="AG23" s="235"/>
    </row>
    <row r="24" spans="1:41" ht="32.1" customHeight="1" x14ac:dyDescent="0.3">
      <c r="A24" s="439" t="s">
        <v>45</v>
      </c>
      <c r="B24" s="440"/>
      <c r="C24" s="287">
        <f>22111116</f>
        <v>22111116</v>
      </c>
      <c r="D24" s="288">
        <f>598400+1266667+1619390</f>
        <v>3484457</v>
      </c>
      <c r="E24" s="288">
        <v>10000000</v>
      </c>
      <c r="F24" s="288">
        <v>13369627</v>
      </c>
      <c r="G24" s="288"/>
      <c r="H24" s="288">
        <v>0</v>
      </c>
      <c r="I24" s="288"/>
      <c r="J24" s="288"/>
      <c r="K24" s="288"/>
      <c r="L24" s="288"/>
      <c r="M24" s="288"/>
      <c r="N24" s="288"/>
      <c r="O24" s="291">
        <f>SUM(C24:N24)</f>
        <v>48965200</v>
      </c>
      <c r="P24" s="293"/>
      <c r="Q24" s="290"/>
      <c r="R24" s="291">
        <f>5677247+15634065</f>
        <v>21311312</v>
      </c>
      <c r="S24" s="291">
        <f>9767318+40103208</f>
        <v>49870526</v>
      </c>
      <c r="T24" s="291">
        <f>9767318+40103208+1000000+14000000</f>
        <v>64870526</v>
      </c>
      <c r="U24" s="291">
        <f>8536960+9767318+40103208+14000000</f>
        <v>72407486</v>
      </c>
      <c r="V24" s="291">
        <f>9767318+40103208+1000000+24000000</f>
        <v>74870526</v>
      </c>
      <c r="W24" s="291">
        <f>18438000+9767318+40103208+30000000</f>
        <v>98308526</v>
      </c>
      <c r="X24" s="291">
        <f>2700000+814000+36000000+9767318+40103208+10000000</f>
        <v>99384526</v>
      </c>
      <c r="Y24" s="291">
        <f>30000000+9767318+40103208+42435278</f>
        <v>122305804</v>
      </c>
      <c r="Z24" s="291">
        <f>43200000+9767318+40103208+20000000</f>
        <v>113070526</v>
      </c>
      <c r="AA24" s="291">
        <f>39000000+9767318+40103208+40000000</f>
        <v>128870526</v>
      </c>
      <c r="AB24" s="291">
        <f>43200000+9767318+40103208+40103208</f>
        <v>133173734</v>
      </c>
      <c r="AC24" s="288">
        <f>SUM(Q24:AB24)</f>
        <v>978444018</v>
      </c>
      <c r="AD24" s="294"/>
      <c r="AE24" s="3"/>
      <c r="AF24" s="234"/>
      <c r="AG24" s="235"/>
    </row>
    <row r="25" spans="1:41" ht="32.1" customHeight="1" thickBot="1" x14ac:dyDescent="0.35">
      <c r="A25" s="398" t="s">
        <v>46</v>
      </c>
      <c r="B25" s="441"/>
      <c r="C25" s="297">
        <f>23224956</f>
        <v>23224956</v>
      </c>
      <c r="D25" s="298">
        <f>26061657-C25</f>
        <v>2836701</v>
      </c>
      <c r="E25" s="298">
        <f>27904269-C25-D25</f>
        <v>1842612</v>
      </c>
      <c r="F25" s="298">
        <f>48726721-C25-D25-E25</f>
        <v>20822452</v>
      </c>
      <c r="G25" s="298">
        <f>48965200-C25-D25-E25-F25</f>
        <v>238479</v>
      </c>
      <c r="H25" s="298">
        <v>0</v>
      </c>
      <c r="I25" s="298">
        <f>48965200-C25-D25-E25-F25-G25-H25</f>
        <v>0</v>
      </c>
      <c r="J25" s="298"/>
      <c r="K25" s="298"/>
      <c r="L25" s="298"/>
      <c r="M25" s="298"/>
      <c r="N25" s="298"/>
      <c r="O25" s="299">
        <f>SUM(C25:N25)</f>
        <v>48965200</v>
      </c>
      <c r="P25" s="300">
        <f>O25/O24</f>
        <v>1</v>
      </c>
      <c r="Q25" s="301"/>
      <c r="R25" s="302">
        <f>10341984</f>
        <v>10341984</v>
      </c>
      <c r="S25" s="302">
        <f>59458817-R25</f>
        <v>49116833</v>
      </c>
      <c r="T25" s="302">
        <f>119774632-R25-S25</f>
        <v>60315815</v>
      </c>
      <c r="U25" s="302">
        <f>197315348-R25-S25-T25</f>
        <v>77540716</v>
      </c>
      <c r="V25" s="302">
        <f>273125609-R25-S25-T25-U25</f>
        <v>75810261</v>
      </c>
      <c r="W25" s="302">
        <f>349586568-R25-S25-T25-U25-V25</f>
        <v>76460959</v>
      </c>
      <c r="X25" s="302">
        <f>415884758-R25-S25-T25-U25-V25-W25</f>
        <v>66298190</v>
      </c>
      <c r="Y25" s="302">
        <f>479731548-R25-S25-T25-U25-V25-W25-X25</f>
        <v>63846790</v>
      </c>
      <c r="Z25" s="302"/>
      <c r="AA25" s="302"/>
      <c r="AB25" s="302"/>
      <c r="AC25" s="298">
        <f>SUM(Q25:AB25)</f>
        <v>479731548</v>
      </c>
      <c r="AD25" s="303">
        <f>AC25/AC24</f>
        <v>0.49030045579981257</v>
      </c>
      <c r="AE25" s="3"/>
      <c r="AF25" s="234"/>
      <c r="AG25" s="235"/>
    </row>
    <row r="26" spans="1:41" ht="32.1" customHeight="1" thickBot="1" x14ac:dyDescent="0.35">
      <c r="A26" s="248"/>
      <c r="B26" s="243"/>
      <c r="C26" s="304"/>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249"/>
      <c r="AD26" s="263"/>
      <c r="AF26" s="235"/>
      <c r="AG26" s="235"/>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c r="AF27" s="235"/>
      <c r="AG27" s="235"/>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59.25" customHeight="1" thickBot="1" x14ac:dyDescent="0.35">
      <c r="A30" s="308" t="s">
        <v>52</v>
      </c>
      <c r="B30" s="459"/>
      <c r="C30" s="460"/>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thickBot="1" x14ac:dyDescent="0.35">
      <c r="A31" s="463" t="s">
        <v>53</v>
      </c>
      <c r="B31" s="464"/>
      <c r="C31" s="464"/>
      <c r="D31" s="464"/>
      <c r="E31" s="464"/>
      <c r="F31" s="464"/>
      <c r="G31" s="464"/>
      <c r="H31" s="464"/>
      <c r="I31" s="464"/>
      <c r="J31" s="464"/>
      <c r="K31" s="464"/>
      <c r="L31" s="464"/>
      <c r="M31" s="464"/>
      <c r="N31" s="464"/>
      <c r="O31" s="464"/>
      <c r="P31" s="464"/>
      <c r="Q31" s="465"/>
      <c r="R31" s="465"/>
      <c r="S31" s="465"/>
      <c r="T31" s="465"/>
      <c r="U31" s="465"/>
      <c r="V31" s="465"/>
      <c r="W31" s="465"/>
      <c r="X31" s="465"/>
      <c r="Y31" s="465"/>
      <c r="Z31" s="465"/>
      <c r="AA31" s="465"/>
      <c r="AB31" s="465"/>
      <c r="AC31" s="465"/>
      <c r="AD31" s="466"/>
    </row>
    <row r="32" spans="1:41" ht="23.1" customHeight="1" x14ac:dyDescent="0.3">
      <c r="A32" s="397" t="s">
        <v>54</v>
      </c>
      <c r="B32" s="401" t="s">
        <v>55</v>
      </c>
      <c r="C32" s="401" t="s">
        <v>49</v>
      </c>
      <c r="D32" s="401" t="s">
        <v>56</v>
      </c>
      <c r="E32" s="401"/>
      <c r="F32" s="401"/>
      <c r="G32" s="401"/>
      <c r="H32" s="401"/>
      <c r="I32" s="401"/>
      <c r="J32" s="401"/>
      <c r="K32" s="401"/>
      <c r="L32" s="401"/>
      <c r="M32" s="401"/>
      <c r="N32" s="401"/>
      <c r="O32" s="401"/>
      <c r="P32" s="402"/>
      <c r="Q32" s="428" t="s">
        <v>57</v>
      </c>
      <c r="R32" s="429"/>
      <c r="S32" s="429"/>
      <c r="T32" s="429"/>
      <c r="U32" s="429"/>
      <c r="V32" s="429"/>
      <c r="W32" s="429"/>
      <c r="X32" s="429"/>
      <c r="Y32" s="429"/>
      <c r="Z32" s="429"/>
      <c r="AA32" s="429"/>
      <c r="AB32" s="429"/>
      <c r="AC32" s="429"/>
      <c r="AD32" s="430"/>
      <c r="AG32" s="87"/>
      <c r="AH32" s="87"/>
      <c r="AI32" s="87"/>
      <c r="AJ32" s="87"/>
      <c r="AK32" s="87"/>
      <c r="AL32" s="87"/>
      <c r="AM32" s="87"/>
      <c r="AN32" s="87"/>
      <c r="AO32" s="87"/>
    </row>
    <row r="33" spans="1:41" ht="27" customHeight="1" x14ac:dyDescent="0.3">
      <c r="A33" s="439"/>
      <c r="B33" s="429"/>
      <c r="C33" s="467"/>
      <c r="D33" s="306" t="s">
        <v>30</v>
      </c>
      <c r="E33" s="306" t="s">
        <v>31</v>
      </c>
      <c r="F33" s="306" t="s">
        <v>32</v>
      </c>
      <c r="G33" s="306" t="s">
        <v>33</v>
      </c>
      <c r="H33" s="306" t="s">
        <v>34</v>
      </c>
      <c r="I33" s="306" t="s">
        <v>35</v>
      </c>
      <c r="J33" s="306" t="s">
        <v>36</v>
      </c>
      <c r="K33" s="306" t="s">
        <v>37</v>
      </c>
      <c r="L33" s="306" t="s">
        <v>8</v>
      </c>
      <c r="M33" s="306" t="s">
        <v>38</v>
      </c>
      <c r="N33" s="306" t="s">
        <v>39</v>
      </c>
      <c r="O33" s="306" t="s">
        <v>40</v>
      </c>
      <c r="P33" s="307" t="s">
        <v>41</v>
      </c>
      <c r="Q33" s="428" t="s">
        <v>58</v>
      </c>
      <c r="R33" s="429"/>
      <c r="S33" s="429"/>
      <c r="T33" s="429" t="s">
        <v>59</v>
      </c>
      <c r="U33" s="429"/>
      <c r="V33" s="429"/>
      <c r="W33" s="431" t="s">
        <v>60</v>
      </c>
      <c r="X33" s="432"/>
      <c r="Y33" s="432"/>
      <c r="Z33" s="433"/>
      <c r="AA33" s="431" t="s">
        <v>61</v>
      </c>
      <c r="AB33" s="432"/>
      <c r="AC33" s="432"/>
      <c r="AD33" s="434"/>
      <c r="AG33" s="87"/>
      <c r="AH33" s="87"/>
      <c r="AI33" s="87"/>
      <c r="AJ33" s="87"/>
      <c r="AK33" s="87"/>
      <c r="AL33" s="87"/>
      <c r="AM33" s="87"/>
      <c r="AN33" s="87"/>
      <c r="AO33" s="87"/>
    </row>
    <row r="34" spans="1:41" ht="198.9" customHeight="1" x14ac:dyDescent="0.3">
      <c r="A34" s="414" t="s">
        <v>52</v>
      </c>
      <c r="B34" s="416">
        <v>0.18</v>
      </c>
      <c r="C34" s="312" t="s">
        <v>62</v>
      </c>
      <c r="D34" s="313">
        <f>D75</f>
        <v>1.6041666666666673E-2</v>
      </c>
      <c r="E34" s="313">
        <f t="shared" ref="E34:O34" si="0">E75</f>
        <v>3.4375000000000017E-2</v>
      </c>
      <c r="F34" s="313">
        <f t="shared" si="0"/>
        <v>3.9416666666666676E-2</v>
      </c>
      <c r="G34" s="313">
        <f t="shared" si="0"/>
        <v>4.0944444444444457E-2</v>
      </c>
      <c r="H34" s="313">
        <f t="shared" si="0"/>
        <v>4.4763888888888902E-2</v>
      </c>
      <c r="I34" s="313">
        <f t="shared" si="0"/>
        <v>4.4763888888888902E-2</v>
      </c>
      <c r="J34" s="313">
        <f t="shared" si="0"/>
        <v>4.4763888888888902E-2</v>
      </c>
      <c r="K34" s="313">
        <f t="shared" si="0"/>
        <v>4.4763888888888902E-2</v>
      </c>
      <c r="L34" s="313">
        <f t="shared" si="0"/>
        <v>6.9208333333333358E-2</v>
      </c>
      <c r="M34" s="313">
        <f t="shared" si="0"/>
        <v>6.9208333333333358E-2</v>
      </c>
      <c r="N34" s="313">
        <f t="shared" si="0"/>
        <v>5.6986111111111126E-2</v>
      </c>
      <c r="O34" s="313">
        <f t="shared" si="0"/>
        <v>4.4763888888888902E-2</v>
      </c>
      <c r="P34" s="314">
        <f>SUM(D34:O34)</f>
        <v>0.55000000000000016</v>
      </c>
      <c r="Q34" s="426" t="s">
        <v>591</v>
      </c>
      <c r="R34" s="419"/>
      <c r="S34" s="420"/>
      <c r="T34" s="418" t="s">
        <v>592</v>
      </c>
      <c r="U34" s="419"/>
      <c r="V34" s="420"/>
      <c r="W34" s="418" t="s">
        <v>570</v>
      </c>
      <c r="X34" s="419"/>
      <c r="Y34" s="419"/>
      <c r="Z34" s="420"/>
      <c r="AA34" s="418" t="s">
        <v>593</v>
      </c>
      <c r="AB34" s="419"/>
      <c r="AC34" s="419"/>
      <c r="AD34" s="424"/>
      <c r="AG34" s="87"/>
      <c r="AH34" s="87"/>
      <c r="AI34" s="87"/>
      <c r="AJ34" s="87"/>
      <c r="AK34" s="87"/>
      <c r="AL34" s="87"/>
      <c r="AM34" s="87"/>
      <c r="AN34" s="87"/>
      <c r="AO34" s="87"/>
    </row>
    <row r="35" spans="1:41" ht="198.9" customHeight="1" thickBot="1" x14ac:dyDescent="0.35">
      <c r="A35" s="415"/>
      <c r="B35" s="417"/>
      <c r="C35" s="315" t="s">
        <v>63</v>
      </c>
      <c r="D35" s="316">
        <f>D72</f>
        <v>1.6041666666666673E-2</v>
      </c>
      <c r="E35" s="316">
        <f t="shared" ref="E35:O35" si="1">E72</f>
        <v>3.4375000000000017E-2</v>
      </c>
      <c r="F35" s="316">
        <f t="shared" si="1"/>
        <v>3.9416666666666676E-2</v>
      </c>
      <c r="G35" s="316">
        <f t="shared" si="1"/>
        <v>3.7888888888888896E-2</v>
      </c>
      <c r="H35" s="316">
        <f t="shared" si="1"/>
        <v>4.1708333333333347E-2</v>
      </c>
      <c r="I35" s="316">
        <f t="shared" si="1"/>
        <v>4.1708333333333347E-2</v>
      </c>
      <c r="J35" s="316">
        <f t="shared" si="1"/>
        <v>4.1708333333333347E-2</v>
      </c>
      <c r="K35" s="316">
        <f t="shared" si="1"/>
        <v>4.3236111111111121E-2</v>
      </c>
      <c r="L35" s="316">
        <f t="shared" si="1"/>
        <v>7.0736111111111125E-2</v>
      </c>
      <c r="M35" s="316">
        <f t="shared" si="1"/>
        <v>0</v>
      </c>
      <c r="N35" s="316">
        <f t="shared" si="1"/>
        <v>0</v>
      </c>
      <c r="O35" s="316">
        <f t="shared" si="1"/>
        <v>0</v>
      </c>
      <c r="P35" s="317">
        <f>SUM(D35:O35)</f>
        <v>0.36681944444444459</v>
      </c>
      <c r="Q35" s="427"/>
      <c r="R35" s="422"/>
      <c r="S35" s="423"/>
      <c r="T35" s="421"/>
      <c r="U35" s="422"/>
      <c r="V35" s="423"/>
      <c r="W35" s="421"/>
      <c r="X35" s="422"/>
      <c r="Y35" s="422"/>
      <c r="Z35" s="423"/>
      <c r="AA35" s="421"/>
      <c r="AB35" s="422"/>
      <c r="AC35" s="422"/>
      <c r="AD35" s="425"/>
      <c r="AE35" s="49"/>
      <c r="AG35" s="87"/>
      <c r="AH35" s="87"/>
      <c r="AI35" s="87"/>
      <c r="AJ35" s="87"/>
      <c r="AK35" s="87"/>
      <c r="AL35" s="87"/>
      <c r="AM35" s="87"/>
      <c r="AN35" s="87"/>
      <c r="AO35" s="87"/>
    </row>
    <row r="36" spans="1:41" ht="26.1" customHeight="1" x14ac:dyDescent="0.3">
      <c r="A36" s="397" t="s">
        <v>64</v>
      </c>
      <c r="B36" s="399" t="s">
        <v>65</v>
      </c>
      <c r="C36" s="401" t="s">
        <v>66</v>
      </c>
      <c r="D36" s="401"/>
      <c r="E36" s="401"/>
      <c r="F36" s="401"/>
      <c r="G36" s="401"/>
      <c r="H36" s="401"/>
      <c r="I36" s="401"/>
      <c r="J36" s="401"/>
      <c r="K36" s="401"/>
      <c r="L36" s="401"/>
      <c r="M36" s="401"/>
      <c r="N36" s="401"/>
      <c r="O36" s="401"/>
      <c r="P36" s="402"/>
      <c r="Q36" s="403" t="s">
        <v>67</v>
      </c>
      <c r="R36" s="404"/>
      <c r="S36" s="404"/>
      <c r="T36" s="404"/>
      <c r="U36" s="404"/>
      <c r="V36" s="404"/>
      <c r="W36" s="404"/>
      <c r="X36" s="404"/>
      <c r="Y36" s="404"/>
      <c r="Z36" s="404"/>
      <c r="AA36" s="404"/>
      <c r="AB36" s="404"/>
      <c r="AC36" s="404"/>
      <c r="AD36" s="405"/>
      <c r="AG36" s="87"/>
      <c r="AH36" s="87"/>
      <c r="AI36" s="87"/>
      <c r="AJ36" s="87"/>
      <c r="AK36" s="87"/>
      <c r="AL36" s="87"/>
      <c r="AM36" s="87"/>
      <c r="AN36" s="87"/>
      <c r="AO36" s="87"/>
    </row>
    <row r="37" spans="1:41" ht="60.75" customHeight="1" thickBot="1" x14ac:dyDescent="0.35">
      <c r="A37" s="398"/>
      <c r="B37" s="400"/>
      <c r="C37" s="318" t="s">
        <v>68</v>
      </c>
      <c r="D37" s="318" t="s">
        <v>69</v>
      </c>
      <c r="E37" s="318" t="s">
        <v>70</v>
      </c>
      <c r="F37" s="318" t="s">
        <v>71</v>
      </c>
      <c r="G37" s="318" t="s">
        <v>72</v>
      </c>
      <c r="H37" s="318" t="s">
        <v>73</v>
      </c>
      <c r="I37" s="318" t="s">
        <v>74</v>
      </c>
      <c r="J37" s="318" t="s">
        <v>75</v>
      </c>
      <c r="K37" s="318" t="s">
        <v>76</v>
      </c>
      <c r="L37" s="318" t="s">
        <v>77</v>
      </c>
      <c r="M37" s="318" t="s">
        <v>78</v>
      </c>
      <c r="N37" s="318" t="s">
        <v>79</v>
      </c>
      <c r="O37" s="318" t="s">
        <v>80</v>
      </c>
      <c r="P37" s="319" t="s">
        <v>81</v>
      </c>
      <c r="Q37" s="406" t="s">
        <v>82</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60.9" customHeight="1" x14ac:dyDescent="0.3">
      <c r="A38" s="409" t="s">
        <v>83</v>
      </c>
      <c r="B38" s="410">
        <v>0.05</v>
      </c>
      <c r="C38" s="312" t="s">
        <v>62</v>
      </c>
      <c r="D38" s="320">
        <v>0.05</v>
      </c>
      <c r="E38" s="320">
        <v>0.05</v>
      </c>
      <c r="F38" s="320">
        <v>0.09</v>
      </c>
      <c r="G38" s="320">
        <v>0.09</v>
      </c>
      <c r="H38" s="320">
        <v>0.09</v>
      </c>
      <c r="I38" s="320">
        <v>0.09</v>
      </c>
      <c r="J38" s="320">
        <v>0.09</v>
      </c>
      <c r="K38" s="320">
        <v>0.09</v>
      </c>
      <c r="L38" s="320">
        <v>0.09</v>
      </c>
      <c r="M38" s="320">
        <v>0.09</v>
      </c>
      <c r="N38" s="320">
        <v>0.09</v>
      </c>
      <c r="O38" s="320">
        <v>0.09</v>
      </c>
      <c r="P38" s="321">
        <f t="shared" ref="P38:P49" si="2">SUM(D38:O38)</f>
        <v>0.99999999999999978</v>
      </c>
      <c r="Q38" s="411" t="s">
        <v>577</v>
      </c>
      <c r="R38" s="412"/>
      <c r="S38" s="412"/>
      <c r="T38" s="412"/>
      <c r="U38" s="412"/>
      <c r="V38" s="412"/>
      <c r="W38" s="412"/>
      <c r="X38" s="412"/>
      <c r="Y38" s="412"/>
      <c r="Z38" s="412"/>
      <c r="AA38" s="412"/>
      <c r="AB38" s="412"/>
      <c r="AC38" s="412"/>
      <c r="AD38" s="413"/>
      <c r="AE38" s="97"/>
      <c r="AG38" s="98"/>
      <c r="AH38" s="98"/>
      <c r="AI38" s="98"/>
      <c r="AJ38" s="98"/>
      <c r="AK38" s="98"/>
      <c r="AL38" s="98"/>
      <c r="AM38" s="98"/>
      <c r="AN38" s="98"/>
      <c r="AO38" s="98"/>
    </row>
    <row r="39" spans="1:41" ht="60.9" customHeight="1" x14ac:dyDescent="0.3">
      <c r="A39" s="382"/>
      <c r="B39" s="380"/>
      <c r="C39" s="322" t="s">
        <v>63</v>
      </c>
      <c r="D39" s="323">
        <v>0.05</v>
      </c>
      <c r="E39" s="323">
        <v>0.05</v>
      </c>
      <c r="F39" s="323">
        <v>0.09</v>
      </c>
      <c r="G39" s="323">
        <v>7.0000000000000007E-2</v>
      </c>
      <c r="H39" s="323">
        <v>0.09</v>
      </c>
      <c r="I39" s="323">
        <v>0.09</v>
      </c>
      <c r="J39" s="323">
        <v>7.0000000000000007E-2</v>
      </c>
      <c r="K39" s="323">
        <v>0.08</v>
      </c>
      <c r="L39" s="323">
        <v>0.1</v>
      </c>
      <c r="M39" s="323"/>
      <c r="N39" s="323"/>
      <c r="O39" s="323"/>
      <c r="P39" s="324">
        <f t="shared" si="2"/>
        <v>0.69</v>
      </c>
      <c r="Q39" s="387"/>
      <c r="R39" s="388"/>
      <c r="S39" s="388"/>
      <c r="T39" s="388"/>
      <c r="U39" s="388"/>
      <c r="V39" s="388"/>
      <c r="W39" s="388"/>
      <c r="X39" s="388"/>
      <c r="Y39" s="388"/>
      <c r="Z39" s="388"/>
      <c r="AA39" s="388"/>
      <c r="AB39" s="388"/>
      <c r="AC39" s="388"/>
      <c r="AD39" s="389"/>
      <c r="AE39" s="97"/>
    </row>
    <row r="40" spans="1:41" ht="59.1" customHeight="1" x14ac:dyDescent="0.3">
      <c r="A40" s="382" t="s">
        <v>84</v>
      </c>
      <c r="B40" s="383">
        <v>2.5000000000000001E-2</v>
      </c>
      <c r="C40" s="325" t="s">
        <v>62</v>
      </c>
      <c r="D40" s="326">
        <v>0.05</v>
      </c>
      <c r="E40" s="326">
        <v>0.05</v>
      </c>
      <c r="F40" s="326">
        <v>0.05</v>
      </c>
      <c r="G40" s="326">
        <v>0.05</v>
      </c>
      <c r="H40" s="326">
        <v>0.1</v>
      </c>
      <c r="I40" s="326">
        <v>0.1</v>
      </c>
      <c r="J40" s="326">
        <v>0.1</v>
      </c>
      <c r="K40" s="326">
        <v>0.1</v>
      </c>
      <c r="L40" s="326">
        <v>0.1</v>
      </c>
      <c r="M40" s="326">
        <v>0.1</v>
      </c>
      <c r="N40" s="326">
        <v>0.1</v>
      </c>
      <c r="O40" s="326">
        <v>0.1</v>
      </c>
      <c r="P40" s="324">
        <f t="shared" si="2"/>
        <v>0.99999999999999989</v>
      </c>
      <c r="Q40" s="384" t="s">
        <v>571</v>
      </c>
      <c r="R40" s="385"/>
      <c r="S40" s="385"/>
      <c r="T40" s="385"/>
      <c r="U40" s="385"/>
      <c r="V40" s="385"/>
      <c r="W40" s="385"/>
      <c r="X40" s="385"/>
      <c r="Y40" s="385"/>
      <c r="Z40" s="385"/>
      <c r="AA40" s="385"/>
      <c r="AB40" s="385"/>
      <c r="AC40" s="385"/>
      <c r="AD40" s="386"/>
      <c r="AE40" s="97"/>
    </row>
    <row r="41" spans="1:41" ht="59.1" customHeight="1" x14ac:dyDescent="0.3">
      <c r="A41" s="382"/>
      <c r="B41" s="383"/>
      <c r="C41" s="322" t="s">
        <v>63</v>
      </c>
      <c r="D41" s="323">
        <v>0.05</v>
      </c>
      <c r="E41" s="323">
        <v>0.05</v>
      </c>
      <c r="F41" s="323">
        <v>0.05</v>
      </c>
      <c r="G41" s="323">
        <v>0.05</v>
      </c>
      <c r="H41" s="323">
        <v>0.1</v>
      </c>
      <c r="I41" s="323">
        <v>0.1</v>
      </c>
      <c r="J41" s="323">
        <v>0.1</v>
      </c>
      <c r="K41" s="323">
        <v>0.1</v>
      </c>
      <c r="L41" s="327">
        <v>0.1</v>
      </c>
      <c r="M41" s="327"/>
      <c r="N41" s="327"/>
      <c r="O41" s="327"/>
      <c r="P41" s="324">
        <f t="shared" si="2"/>
        <v>0.7</v>
      </c>
      <c r="Q41" s="387"/>
      <c r="R41" s="388"/>
      <c r="S41" s="388"/>
      <c r="T41" s="388"/>
      <c r="U41" s="388"/>
      <c r="V41" s="388"/>
      <c r="W41" s="388"/>
      <c r="X41" s="388"/>
      <c r="Y41" s="388"/>
      <c r="Z41" s="388"/>
      <c r="AA41" s="388"/>
      <c r="AB41" s="388"/>
      <c r="AC41" s="388"/>
      <c r="AD41" s="389"/>
      <c r="AE41" s="97"/>
    </row>
    <row r="42" spans="1:41" ht="60" customHeight="1" x14ac:dyDescent="0.3">
      <c r="A42" s="390" t="s">
        <v>85</v>
      </c>
      <c r="B42" s="383">
        <v>2.5000000000000001E-2</v>
      </c>
      <c r="C42" s="325" t="s">
        <v>62</v>
      </c>
      <c r="D42" s="326">
        <v>0.06</v>
      </c>
      <c r="E42" s="326">
        <v>0.06</v>
      </c>
      <c r="F42" s="326">
        <v>7.0000000000000007E-2</v>
      </c>
      <c r="G42" s="326">
        <v>0.09</v>
      </c>
      <c r="H42" s="326">
        <v>0.09</v>
      </c>
      <c r="I42" s="326">
        <v>0.09</v>
      </c>
      <c r="J42" s="326">
        <v>0.09</v>
      </c>
      <c r="K42" s="326">
        <v>0.09</v>
      </c>
      <c r="L42" s="326">
        <v>0.09</v>
      </c>
      <c r="M42" s="326">
        <v>0.09</v>
      </c>
      <c r="N42" s="326">
        <v>0.09</v>
      </c>
      <c r="O42" s="326">
        <v>0.09</v>
      </c>
      <c r="P42" s="324">
        <f t="shared" si="2"/>
        <v>0.99999999999999978</v>
      </c>
      <c r="Q42" s="391" t="s">
        <v>572</v>
      </c>
      <c r="R42" s="392"/>
      <c r="S42" s="392"/>
      <c r="T42" s="392"/>
      <c r="U42" s="392"/>
      <c r="V42" s="392"/>
      <c r="W42" s="392"/>
      <c r="X42" s="392"/>
      <c r="Y42" s="392"/>
      <c r="Z42" s="392"/>
      <c r="AA42" s="392"/>
      <c r="AB42" s="392"/>
      <c r="AC42" s="392"/>
      <c r="AD42" s="393"/>
      <c r="AE42" s="97"/>
    </row>
    <row r="43" spans="1:41" ht="60" customHeight="1" x14ac:dyDescent="0.3">
      <c r="A43" s="390"/>
      <c r="B43" s="383"/>
      <c r="C43" s="322" t="s">
        <v>63</v>
      </c>
      <c r="D43" s="323">
        <v>0.06</v>
      </c>
      <c r="E43" s="323">
        <v>0.06</v>
      </c>
      <c r="F43" s="323">
        <v>7.0000000000000007E-2</v>
      </c>
      <c r="G43" s="323">
        <v>0.09</v>
      </c>
      <c r="H43" s="323">
        <v>0.05</v>
      </c>
      <c r="I43" s="323">
        <v>0.05</v>
      </c>
      <c r="J43" s="323">
        <v>0.09</v>
      </c>
      <c r="K43" s="323">
        <v>0.09</v>
      </c>
      <c r="L43" s="327">
        <v>0.09</v>
      </c>
      <c r="M43" s="327"/>
      <c r="N43" s="327"/>
      <c r="O43" s="327"/>
      <c r="P43" s="324">
        <f t="shared" si="2"/>
        <v>0.64999999999999991</v>
      </c>
      <c r="Q43" s="394"/>
      <c r="R43" s="395"/>
      <c r="S43" s="395"/>
      <c r="T43" s="395"/>
      <c r="U43" s="395"/>
      <c r="V43" s="395"/>
      <c r="W43" s="395"/>
      <c r="X43" s="395"/>
      <c r="Y43" s="395"/>
      <c r="Z43" s="395"/>
      <c r="AA43" s="395"/>
      <c r="AB43" s="395"/>
      <c r="AC43" s="395"/>
      <c r="AD43" s="396"/>
      <c r="AE43" s="97"/>
    </row>
    <row r="44" spans="1:41" ht="359.1" customHeight="1" x14ac:dyDescent="0.3">
      <c r="A44" s="382" t="s">
        <v>86</v>
      </c>
      <c r="B44" s="380">
        <v>0.03</v>
      </c>
      <c r="C44" s="325" t="s">
        <v>62</v>
      </c>
      <c r="D44" s="326">
        <v>0</v>
      </c>
      <c r="E44" s="326">
        <v>0.1</v>
      </c>
      <c r="F44" s="326">
        <v>0.09</v>
      </c>
      <c r="G44" s="326">
        <v>0.09</v>
      </c>
      <c r="H44" s="326">
        <v>0.09</v>
      </c>
      <c r="I44" s="326">
        <v>0.09</v>
      </c>
      <c r="J44" s="326">
        <v>0.09</v>
      </c>
      <c r="K44" s="326">
        <v>0.09</v>
      </c>
      <c r="L44" s="326">
        <v>0.09</v>
      </c>
      <c r="M44" s="326">
        <v>0.09</v>
      </c>
      <c r="N44" s="326">
        <v>0.09</v>
      </c>
      <c r="O44" s="326">
        <v>0.09</v>
      </c>
      <c r="P44" s="324">
        <f t="shared" si="2"/>
        <v>0.99999999999999978</v>
      </c>
      <c r="Q44" s="557" t="s">
        <v>585</v>
      </c>
      <c r="R44" s="558"/>
      <c r="S44" s="558"/>
      <c r="T44" s="558"/>
      <c r="U44" s="558"/>
      <c r="V44" s="558"/>
      <c r="W44" s="558"/>
      <c r="X44" s="558"/>
      <c r="Y44" s="558"/>
      <c r="Z44" s="558"/>
      <c r="AA44" s="558"/>
      <c r="AB44" s="558"/>
      <c r="AC44" s="558"/>
      <c r="AD44" s="559"/>
      <c r="AE44" s="97"/>
    </row>
    <row r="45" spans="1:41" ht="408.6" customHeight="1" x14ac:dyDescent="0.3">
      <c r="A45" s="382"/>
      <c r="B45" s="380"/>
      <c r="C45" s="322" t="s">
        <v>63</v>
      </c>
      <c r="D45" s="323">
        <v>0</v>
      </c>
      <c r="E45" s="323">
        <v>0.1</v>
      </c>
      <c r="F45" s="323">
        <v>0.09</v>
      </c>
      <c r="G45" s="323">
        <v>0.09</v>
      </c>
      <c r="H45" s="323">
        <v>0.09</v>
      </c>
      <c r="I45" s="323">
        <v>0.09</v>
      </c>
      <c r="J45" s="323">
        <v>0.09</v>
      </c>
      <c r="K45" s="323">
        <v>0.09</v>
      </c>
      <c r="L45" s="327">
        <v>0.09</v>
      </c>
      <c r="M45" s="327"/>
      <c r="N45" s="327"/>
      <c r="O45" s="327"/>
      <c r="P45" s="324">
        <f t="shared" si="2"/>
        <v>0.72999999999999987</v>
      </c>
      <c r="Q45" s="557"/>
      <c r="R45" s="558"/>
      <c r="S45" s="558"/>
      <c r="T45" s="558"/>
      <c r="U45" s="558"/>
      <c r="V45" s="558"/>
      <c r="W45" s="558"/>
      <c r="X45" s="558"/>
      <c r="Y45" s="558"/>
      <c r="Z45" s="558"/>
      <c r="AA45" s="558"/>
      <c r="AB45" s="558"/>
      <c r="AC45" s="558"/>
      <c r="AD45" s="559"/>
      <c r="AE45" s="97"/>
    </row>
    <row r="46" spans="1:41" ht="79.5" customHeight="1" x14ac:dyDescent="0.3">
      <c r="A46" s="382" t="s">
        <v>87</v>
      </c>
      <c r="B46" s="380">
        <v>0.03</v>
      </c>
      <c r="C46" s="325" t="s">
        <v>62</v>
      </c>
      <c r="D46" s="326">
        <v>0</v>
      </c>
      <c r="E46" s="326">
        <v>0.1</v>
      </c>
      <c r="F46" s="326">
        <v>0.09</v>
      </c>
      <c r="G46" s="326">
        <v>0.09</v>
      </c>
      <c r="H46" s="326">
        <v>0.09</v>
      </c>
      <c r="I46" s="326">
        <v>0.09</v>
      </c>
      <c r="J46" s="326">
        <v>0.09</v>
      </c>
      <c r="K46" s="326">
        <v>0.09</v>
      </c>
      <c r="L46" s="326">
        <v>0.09</v>
      </c>
      <c r="M46" s="326">
        <v>0.09</v>
      </c>
      <c r="N46" s="326">
        <v>0.09</v>
      </c>
      <c r="O46" s="326">
        <v>0.09</v>
      </c>
      <c r="P46" s="324">
        <f t="shared" si="2"/>
        <v>0.99999999999999978</v>
      </c>
      <c r="Q46" s="557" t="s">
        <v>583</v>
      </c>
      <c r="R46" s="558"/>
      <c r="S46" s="558"/>
      <c r="T46" s="558"/>
      <c r="U46" s="558"/>
      <c r="V46" s="558"/>
      <c r="W46" s="558"/>
      <c r="X46" s="558"/>
      <c r="Y46" s="558"/>
      <c r="Z46" s="558"/>
      <c r="AA46" s="558"/>
      <c r="AB46" s="558"/>
      <c r="AC46" s="558"/>
      <c r="AD46" s="559"/>
      <c r="AE46" s="97"/>
    </row>
    <row r="47" spans="1:41" ht="79.5" customHeight="1" x14ac:dyDescent="0.3">
      <c r="A47" s="382"/>
      <c r="B47" s="380"/>
      <c r="C47" s="322" t="s">
        <v>63</v>
      </c>
      <c r="D47" s="323">
        <v>0</v>
      </c>
      <c r="E47" s="323">
        <v>0.1</v>
      </c>
      <c r="F47" s="323">
        <v>0.09</v>
      </c>
      <c r="G47" s="323">
        <v>0.09</v>
      </c>
      <c r="H47" s="323">
        <v>0.09</v>
      </c>
      <c r="I47" s="323">
        <v>0.09</v>
      </c>
      <c r="J47" s="323">
        <v>0.09</v>
      </c>
      <c r="K47" s="323">
        <v>0.09</v>
      </c>
      <c r="L47" s="327">
        <v>0.09</v>
      </c>
      <c r="M47" s="327"/>
      <c r="N47" s="327"/>
      <c r="O47" s="327"/>
      <c r="P47" s="324">
        <f t="shared" si="2"/>
        <v>0.72999999999999987</v>
      </c>
      <c r="Q47" s="557"/>
      <c r="R47" s="558"/>
      <c r="S47" s="558"/>
      <c r="T47" s="558"/>
      <c r="U47" s="558"/>
      <c r="V47" s="558"/>
      <c r="W47" s="558"/>
      <c r="X47" s="558"/>
      <c r="Y47" s="558"/>
      <c r="Z47" s="558"/>
      <c r="AA47" s="558"/>
      <c r="AB47" s="558"/>
      <c r="AC47" s="558"/>
      <c r="AD47" s="559"/>
      <c r="AE47" s="97"/>
    </row>
    <row r="48" spans="1:41" ht="51" customHeight="1" x14ac:dyDescent="0.3">
      <c r="A48" s="572" t="s">
        <v>88</v>
      </c>
      <c r="B48" s="380">
        <v>0.02</v>
      </c>
      <c r="C48" s="325" t="s">
        <v>62</v>
      </c>
      <c r="D48" s="326">
        <v>0</v>
      </c>
      <c r="E48" s="326">
        <v>0</v>
      </c>
      <c r="F48" s="326">
        <v>0</v>
      </c>
      <c r="G48" s="326">
        <v>0</v>
      </c>
      <c r="H48" s="326">
        <v>0</v>
      </c>
      <c r="I48" s="326">
        <v>0</v>
      </c>
      <c r="J48" s="326">
        <v>0</v>
      </c>
      <c r="K48" s="326">
        <v>0</v>
      </c>
      <c r="L48" s="326">
        <v>0.4</v>
      </c>
      <c r="M48" s="326">
        <v>0.4</v>
      </c>
      <c r="N48" s="326">
        <v>0.2</v>
      </c>
      <c r="O48" s="326">
        <v>0</v>
      </c>
      <c r="P48" s="324">
        <f t="shared" si="2"/>
        <v>1</v>
      </c>
      <c r="Q48" s="557" t="s">
        <v>590</v>
      </c>
      <c r="R48" s="558"/>
      <c r="S48" s="558"/>
      <c r="T48" s="558"/>
      <c r="U48" s="558"/>
      <c r="V48" s="558"/>
      <c r="W48" s="558"/>
      <c r="X48" s="558"/>
      <c r="Y48" s="558"/>
      <c r="Z48" s="558"/>
      <c r="AA48" s="558"/>
      <c r="AB48" s="558"/>
      <c r="AC48" s="558"/>
      <c r="AD48" s="559"/>
      <c r="AE48" s="97"/>
    </row>
    <row r="49" spans="1:31" ht="51" customHeight="1" thickBot="1" x14ac:dyDescent="0.35">
      <c r="A49" s="573"/>
      <c r="B49" s="381"/>
      <c r="C49" s="315" t="s">
        <v>63</v>
      </c>
      <c r="D49" s="328">
        <v>0</v>
      </c>
      <c r="E49" s="328">
        <v>0</v>
      </c>
      <c r="F49" s="328">
        <v>0</v>
      </c>
      <c r="G49" s="328">
        <v>0</v>
      </c>
      <c r="H49" s="328">
        <v>0</v>
      </c>
      <c r="I49" s="328">
        <v>0</v>
      </c>
      <c r="J49" s="328">
        <v>0</v>
      </c>
      <c r="K49" s="328">
        <v>0</v>
      </c>
      <c r="L49" s="329">
        <v>0.4</v>
      </c>
      <c r="M49" s="329"/>
      <c r="N49" s="329"/>
      <c r="O49" s="329"/>
      <c r="P49" s="330">
        <f t="shared" si="2"/>
        <v>0.4</v>
      </c>
      <c r="Q49" s="560"/>
      <c r="R49" s="561"/>
      <c r="S49" s="561"/>
      <c r="T49" s="561"/>
      <c r="U49" s="561"/>
      <c r="V49" s="561"/>
      <c r="W49" s="561"/>
      <c r="X49" s="561"/>
      <c r="Y49" s="561"/>
      <c r="Z49" s="561"/>
      <c r="AA49" s="561"/>
      <c r="AB49" s="561"/>
      <c r="AC49" s="561"/>
      <c r="AD49" s="562"/>
      <c r="AE49" s="97"/>
    </row>
    <row r="50" spans="1:31" x14ac:dyDescent="0.3">
      <c r="A50" s="194" t="s">
        <v>89</v>
      </c>
      <c r="Q50" s="194"/>
      <c r="R50" s="194"/>
      <c r="S50" s="194"/>
      <c r="T50" s="194"/>
      <c r="U50" s="194"/>
      <c r="V50" s="194"/>
      <c r="W50" s="194"/>
      <c r="X50" s="194"/>
      <c r="Y50" s="194"/>
      <c r="Z50" s="194"/>
      <c r="AA50" s="194"/>
      <c r="AB50" s="194"/>
      <c r="AC50" s="194"/>
      <c r="AD50" s="194"/>
    </row>
    <row r="51" spans="1:31" x14ac:dyDescent="0.3">
      <c r="A51" s="194"/>
      <c r="Q51" s="194"/>
      <c r="R51" s="194"/>
      <c r="S51" s="194"/>
      <c r="T51" s="194"/>
      <c r="U51" s="194"/>
      <c r="V51" s="194"/>
      <c r="W51" s="194"/>
      <c r="X51" s="194"/>
      <c r="Y51" s="194"/>
      <c r="Z51" s="194"/>
      <c r="AA51" s="194"/>
      <c r="AB51" s="194"/>
      <c r="AC51" s="194"/>
      <c r="AD51" s="194"/>
    </row>
    <row r="52" spans="1:31" x14ac:dyDescent="0.3">
      <c r="A52" s="194"/>
      <c r="Q52" s="194"/>
      <c r="R52" s="194"/>
      <c r="S52" s="194"/>
      <c r="T52" s="194"/>
      <c r="U52" s="194"/>
      <c r="V52" s="194"/>
      <c r="W52" s="194"/>
      <c r="X52" s="194"/>
      <c r="Y52" s="194"/>
      <c r="Z52" s="194"/>
      <c r="AA52" s="194"/>
      <c r="AB52" s="194"/>
      <c r="AC52" s="194"/>
      <c r="AD52" s="194"/>
    </row>
    <row r="53" spans="1:31" x14ac:dyDescent="0.3">
      <c r="A53" s="194"/>
      <c r="Q53" s="194"/>
      <c r="R53" s="194"/>
      <c r="S53" s="194"/>
      <c r="T53" s="194"/>
      <c r="U53" s="194"/>
      <c r="V53" s="194"/>
      <c r="W53" s="194"/>
      <c r="X53" s="194"/>
      <c r="Y53" s="194"/>
      <c r="Z53" s="194"/>
      <c r="AA53" s="194"/>
      <c r="AB53" s="194"/>
      <c r="AC53" s="194"/>
      <c r="AD53" s="194"/>
    </row>
    <row r="54" spans="1:31" hidden="1" x14ac:dyDescent="0.3">
      <c r="A54" s="194"/>
      <c r="Q54" s="194"/>
      <c r="R54" s="194"/>
      <c r="S54" s="194"/>
      <c r="T54" s="194"/>
      <c r="U54" s="194"/>
      <c r="V54" s="194"/>
      <c r="W54" s="194"/>
      <c r="X54" s="194"/>
      <c r="Y54" s="194"/>
      <c r="Z54" s="194"/>
      <c r="AA54" s="194"/>
      <c r="AB54" s="194"/>
      <c r="AC54" s="194"/>
      <c r="AD54" s="194"/>
    </row>
    <row r="55" spans="1:31" ht="15" hidden="1" customHeight="1" x14ac:dyDescent="0.3">
      <c r="A55" s="563" t="s">
        <v>90</v>
      </c>
      <c r="B55" s="565" t="s">
        <v>65</v>
      </c>
      <c r="C55" s="567" t="s">
        <v>66</v>
      </c>
      <c r="D55" s="568"/>
      <c r="E55" s="568"/>
      <c r="F55" s="568"/>
      <c r="G55" s="568"/>
      <c r="H55" s="568"/>
      <c r="I55" s="568"/>
      <c r="J55" s="568"/>
      <c r="K55" s="568"/>
      <c r="L55" s="568"/>
      <c r="M55" s="568"/>
      <c r="N55" s="568"/>
      <c r="O55" s="568"/>
      <c r="P55" s="569"/>
      <c r="Q55" s="195"/>
      <c r="R55" s="195"/>
      <c r="S55" s="194"/>
      <c r="T55" s="194"/>
      <c r="U55" s="194"/>
      <c r="V55" s="194"/>
      <c r="W55" s="194"/>
      <c r="X55" s="194"/>
      <c r="Y55" s="194"/>
      <c r="Z55" s="194"/>
      <c r="AA55" s="194"/>
      <c r="AB55" s="194"/>
      <c r="AC55" s="194"/>
      <c r="AD55" s="194"/>
    </row>
    <row r="56" spans="1:31" hidden="1" x14ac:dyDescent="0.3">
      <c r="A56" s="564"/>
      <c r="B56" s="566"/>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t="15" hidden="1" customHeight="1" x14ac:dyDescent="0.3">
      <c r="A57" s="551"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570">
        <f>B38</f>
        <v>0.05</v>
      </c>
      <c r="C57" s="176" t="s">
        <v>62</v>
      </c>
      <c r="D57" s="175">
        <f t="shared" ref="D57:O58" si="3">D38*$B$38/$P$38</f>
        <v>2.5000000000000009E-3</v>
      </c>
      <c r="E57" s="175">
        <f t="shared" si="3"/>
        <v>2.5000000000000009E-3</v>
      </c>
      <c r="F57" s="175">
        <f t="shared" si="3"/>
        <v>4.5000000000000005E-3</v>
      </c>
      <c r="G57" s="175">
        <f t="shared" si="3"/>
        <v>4.5000000000000005E-3</v>
      </c>
      <c r="H57" s="175">
        <f t="shared" si="3"/>
        <v>4.5000000000000005E-3</v>
      </c>
      <c r="I57" s="175">
        <f t="shared" si="3"/>
        <v>4.5000000000000005E-3</v>
      </c>
      <c r="J57" s="175">
        <f t="shared" si="3"/>
        <v>4.5000000000000005E-3</v>
      </c>
      <c r="K57" s="175">
        <f t="shared" si="3"/>
        <v>4.5000000000000005E-3</v>
      </c>
      <c r="L57" s="175">
        <f t="shared" si="3"/>
        <v>4.5000000000000005E-3</v>
      </c>
      <c r="M57" s="175">
        <f t="shared" si="3"/>
        <v>4.5000000000000005E-3</v>
      </c>
      <c r="N57" s="175">
        <f t="shared" si="3"/>
        <v>4.5000000000000005E-3</v>
      </c>
      <c r="O57" s="175">
        <f t="shared" si="3"/>
        <v>4.5000000000000005E-3</v>
      </c>
      <c r="P57" s="174">
        <f t="shared" ref="P57:P68" si="4">SUM(D57:O57)</f>
        <v>5.0000000000000017E-2</v>
      </c>
      <c r="Q57" s="197">
        <v>0.05</v>
      </c>
      <c r="R57" s="198">
        <f t="shared" ref="R57:R71" si="5">+P57-Q57</f>
        <v>0</v>
      </c>
      <c r="S57" s="194"/>
      <c r="T57" s="194"/>
      <c r="U57" s="194"/>
      <c r="V57" s="194"/>
      <c r="W57" s="194"/>
      <c r="X57" s="194"/>
      <c r="Y57" s="194"/>
      <c r="Z57" s="194"/>
      <c r="AA57" s="194"/>
      <c r="AB57" s="194"/>
      <c r="AC57" s="194"/>
      <c r="AD57" s="194"/>
    </row>
    <row r="58" spans="1:31" hidden="1" x14ac:dyDescent="0.3">
      <c r="A58" s="552"/>
      <c r="B58" s="571"/>
      <c r="C58" s="173" t="s">
        <v>63</v>
      </c>
      <c r="D58" s="172">
        <f t="shared" si="3"/>
        <v>2.5000000000000009E-3</v>
      </c>
      <c r="E58" s="172">
        <f t="shared" si="3"/>
        <v>2.5000000000000009E-3</v>
      </c>
      <c r="F58" s="172">
        <f t="shared" si="3"/>
        <v>4.5000000000000005E-3</v>
      </c>
      <c r="G58" s="172">
        <f t="shared" si="3"/>
        <v>3.5000000000000014E-3</v>
      </c>
      <c r="H58" s="172">
        <f t="shared" si="3"/>
        <v>4.5000000000000005E-3</v>
      </c>
      <c r="I58" s="172">
        <f t="shared" si="3"/>
        <v>4.5000000000000005E-3</v>
      </c>
      <c r="J58" s="172">
        <f t="shared" si="3"/>
        <v>3.5000000000000014E-3</v>
      </c>
      <c r="K58" s="172">
        <f t="shared" si="3"/>
        <v>4.000000000000001E-3</v>
      </c>
      <c r="L58" s="172">
        <f t="shared" si="3"/>
        <v>5.0000000000000018E-3</v>
      </c>
      <c r="M58" s="172">
        <f t="shared" si="3"/>
        <v>0</v>
      </c>
      <c r="N58" s="172">
        <f t="shared" si="3"/>
        <v>0</v>
      </c>
      <c r="O58" s="172">
        <f t="shared" si="3"/>
        <v>0</v>
      </c>
      <c r="P58" s="171">
        <f t="shared" si="4"/>
        <v>3.4500000000000003E-2</v>
      </c>
      <c r="Q58" s="199">
        <f>+P58</f>
        <v>3.4500000000000003E-2</v>
      </c>
      <c r="R58" s="198">
        <f t="shared" si="5"/>
        <v>0</v>
      </c>
      <c r="S58" s="194"/>
      <c r="T58" s="194"/>
      <c r="U58" s="194"/>
      <c r="V58" s="194"/>
      <c r="W58" s="194"/>
      <c r="X58" s="194"/>
      <c r="Y58" s="194"/>
      <c r="Z58" s="194"/>
      <c r="AA58" s="194"/>
      <c r="AB58" s="194"/>
      <c r="AC58" s="194"/>
      <c r="AD58" s="194"/>
    </row>
    <row r="59" spans="1:31" ht="15" hidden="1" customHeight="1" x14ac:dyDescent="0.3">
      <c r="A59" s="551" t="str">
        <f>A40</f>
        <v xml:space="preserve">2. Consolidar la caja de herramientas que contribuya a la eliminación de barreras de acceso a los servicios y a la realización de acciones afirmativas dirigidas a mujeres en sus diferencias y diversidad para la garantía de sus derechos en el Distrito Capital. </v>
      </c>
      <c r="B59" s="553">
        <f>B40</f>
        <v>2.5000000000000001E-2</v>
      </c>
      <c r="C59" s="176" t="s">
        <v>62</v>
      </c>
      <c r="D59" s="175">
        <f t="shared" ref="D59:O60" si="6">D40*$B$40/$P$40</f>
        <v>1.2500000000000005E-3</v>
      </c>
      <c r="E59" s="175">
        <f t="shared" si="6"/>
        <v>1.2500000000000005E-3</v>
      </c>
      <c r="F59" s="175">
        <f t="shared" si="6"/>
        <v>1.2500000000000005E-3</v>
      </c>
      <c r="G59" s="175">
        <f t="shared" si="6"/>
        <v>1.2500000000000005E-3</v>
      </c>
      <c r="H59" s="175">
        <f t="shared" si="6"/>
        <v>2.5000000000000009E-3</v>
      </c>
      <c r="I59" s="175">
        <f t="shared" si="6"/>
        <v>2.5000000000000009E-3</v>
      </c>
      <c r="J59" s="175">
        <f t="shared" si="6"/>
        <v>2.5000000000000009E-3</v>
      </c>
      <c r="K59" s="175">
        <f t="shared" si="6"/>
        <v>2.5000000000000009E-3</v>
      </c>
      <c r="L59" s="175">
        <f t="shared" si="6"/>
        <v>2.5000000000000009E-3</v>
      </c>
      <c r="M59" s="175">
        <f t="shared" si="6"/>
        <v>2.5000000000000009E-3</v>
      </c>
      <c r="N59" s="175">
        <f t="shared" si="6"/>
        <v>2.5000000000000009E-3</v>
      </c>
      <c r="O59" s="175">
        <f t="shared" si="6"/>
        <v>2.5000000000000009E-3</v>
      </c>
      <c r="P59" s="174">
        <f t="shared" si="4"/>
        <v>2.5000000000000012E-2</v>
      </c>
      <c r="Q59" s="197">
        <v>2.5000000000000001E-2</v>
      </c>
      <c r="R59" s="198">
        <f t="shared" si="5"/>
        <v>0</v>
      </c>
      <c r="S59" s="194"/>
      <c r="T59" s="194"/>
      <c r="U59" s="194"/>
      <c r="V59" s="194"/>
      <c r="W59" s="194"/>
      <c r="X59" s="194"/>
      <c r="Y59" s="194"/>
      <c r="Z59" s="194"/>
      <c r="AA59" s="194"/>
      <c r="AB59" s="194"/>
      <c r="AC59" s="194"/>
      <c r="AD59" s="194"/>
    </row>
    <row r="60" spans="1:31" hidden="1" x14ac:dyDescent="0.3">
      <c r="A60" s="552"/>
      <c r="B60" s="554"/>
      <c r="C60" s="173" t="s">
        <v>63</v>
      </c>
      <c r="D60" s="172">
        <f t="shared" si="6"/>
        <v>1.2500000000000005E-3</v>
      </c>
      <c r="E60" s="172">
        <f t="shared" si="6"/>
        <v>1.2500000000000005E-3</v>
      </c>
      <c r="F60" s="172">
        <f t="shared" si="6"/>
        <v>1.2500000000000005E-3</v>
      </c>
      <c r="G60" s="172">
        <f t="shared" si="6"/>
        <v>1.2500000000000005E-3</v>
      </c>
      <c r="H60" s="172">
        <f t="shared" si="6"/>
        <v>2.5000000000000009E-3</v>
      </c>
      <c r="I60" s="172">
        <f t="shared" si="6"/>
        <v>2.5000000000000009E-3</v>
      </c>
      <c r="J60" s="172">
        <f t="shared" si="6"/>
        <v>2.5000000000000009E-3</v>
      </c>
      <c r="K60" s="172">
        <f t="shared" si="6"/>
        <v>2.5000000000000009E-3</v>
      </c>
      <c r="L60" s="172">
        <f t="shared" si="6"/>
        <v>2.5000000000000009E-3</v>
      </c>
      <c r="M60" s="172">
        <f t="shared" si="6"/>
        <v>0</v>
      </c>
      <c r="N60" s="172">
        <f t="shared" si="6"/>
        <v>0</v>
      </c>
      <c r="O60" s="172">
        <f t="shared" si="6"/>
        <v>0</v>
      </c>
      <c r="P60" s="171">
        <f t="shared" si="4"/>
        <v>1.7500000000000005E-2</v>
      </c>
      <c r="Q60" s="199">
        <f>+P60</f>
        <v>1.7500000000000005E-2</v>
      </c>
      <c r="R60" s="198">
        <f t="shared" si="5"/>
        <v>0</v>
      </c>
      <c r="S60" s="194"/>
      <c r="T60" s="194"/>
      <c r="U60" s="194"/>
      <c r="V60" s="194"/>
      <c r="W60" s="194"/>
      <c r="X60" s="194"/>
      <c r="Y60" s="194"/>
      <c r="Z60" s="194"/>
      <c r="AA60" s="194"/>
      <c r="AB60" s="194"/>
      <c r="AC60" s="194"/>
      <c r="AD60" s="194"/>
    </row>
    <row r="61" spans="1:31" ht="15" hidden="1" customHeight="1" x14ac:dyDescent="0.3">
      <c r="A61" s="551" t="str">
        <f>A42</f>
        <v>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v>
      </c>
      <c r="B61" s="553">
        <f>B42</f>
        <v>2.5000000000000001E-2</v>
      </c>
      <c r="C61" s="176" t="s">
        <v>62</v>
      </c>
      <c r="D61" s="175">
        <f t="shared" ref="D61:O62" si="7">D42*$B$42/$P$42</f>
        <v>1.5000000000000005E-3</v>
      </c>
      <c r="E61" s="175">
        <f t="shared" si="7"/>
        <v>1.5000000000000005E-3</v>
      </c>
      <c r="F61" s="175">
        <f t="shared" si="7"/>
        <v>1.7500000000000007E-3</v>
      </c>
      <c r="G61" s="175">
        <f t="shared" si="7"/>
        <v>2.2500000000000003E-3</v>
      </c>
      <c r="H61" s="175">
        <f t="shared" si="7"/>
        <v>2.2500000000000003E-3</v>
      </c>
      <c r="I61" s="175">
        <f t="shared" si="7"/>
        <v>2.2500000000000003E-3</v>
      </c>
      <c r="J61" s="175">
        <f t="shared" si="7"/>
        <v>2.2500000000000003E-3</v>
      </c>
      <c r="K61" s="175">
        <f t="shared" si="7"/>
        <v>2.2500000000000003E-3</v>
      </c>
      <c r="L61" s="175">
        <f t="shared" si="7"/>
        <v>2.2500000000000003E-3</v>
      </c>
      <c r="M61" s="175">
        <f t="shared" si="7"/>
        <v>2.2500000000000003E-3</v>
      </c>
      <c r="N61" s="175">
        <f t="shared" si="7"/>
        <v>2.2500000000000003E-3</v>
      </c>
      <c r="O61" s="175">
        <f t="shared" si="7"/>
        <v>2.2500000000000003E-3</v>
      </c>
      <c r="P61" s="174">
        <f t="shared" si="4"/>
        <v>2.5000000000000008E-2</v>
      </c>
      <c r="Q61" s="197">
        <v>2.5000000000000001E-2</v>
      </c>
      <c r="R61" s="198">
        <f t="shared" si="5"/>
        <v>0</v>
      </c>
      <c r="S61" s="194"/>
      <c r="T61" s="194"/>
      <c r="U61" s="194"/>
      <c r="V61" s="194"/>
      <c r="W61" s="194"/>
      <c r="X61" s="194"/>
      <c r="Y61" s="194"/>
      <c r="Z61" s="194"/>
      <c r="AA61" s="194"/>
      <c r="AB61" s="194"/>
      <c r="AC61" s="194"/>
      <c r="AD61" s="194"/>
    </row>
    <row r="62" spans="1:31" hidden="1" x14ac:dyDescent="0.3">
      <c r="A62" s="552"/>
      <c r="B62" s="554"/>
      <c r="C62" s="173" t="s">
        <v>63</v>
      </c>
      <c r="D62" s="172">
        <f t="shared" si="7"/>
        <v>1.5000000000000005E-3</v>
      </c>
      <c r="E62" s="172">
        <f t="shared" si="7"/>
        <v>1.5000000000000005E-3</v>
      </c>
      <c r="F62" s="172">
        <f t="shared" si="7"/>
        <v>1.7500000000000007E-3</v>
      </c>
      <c r="G62" s="172">
        <f t="shared" si="7"/>
        <v>2.2500000000000003E-3</v>
      </c>
      <c r="H62" s="172">
        <f t="shared" si="7"/>
        <v>1.2500000000000005E-3</v>
      </c>
      <c r="I62" s="172">
        <f t="shared" si="7"/>
        <v>1.2500000000000005E-3</v>
      </c>
      <c r="J62" s="172">
        <f t="shared" si="7"/>
        <v>2.2500000000000003E-3</v>
      </c>
      <c r="K62" s="172">
        <f t="shared" si="7"/>
        <v>2.2500000000000003E-3</v>
      </c>
      <c r="L62" s="172">
        <f t="shared" si="7"/>
        <v>2.2500000000000003E-3</v>
      </c>
      <c r="M62" s="172">
        <f t="shared" si="7"/>
        <v>0</v>
      </c>
      <c r="N62" s="172">
        <f t="shared" si="7"/>
        <v>0</v>
      </c>
      <c r="O62" s="172">
        <f t="shared" si="7"/>
        <v>0</v>
      </c>
      <c r="P62" s="171">
        <f t="shared" si="4"/>
        <v>1.6250000000000004E-2</v>
      </c>
      <c r="Q62" s="199">
        <f>+P62</f>
        <v>1.6250000000000004E-2</v>
      </c>
      <c r="R62" s="198">
        <f t="shared" si="5"/>
        <v>0</v>
      </c>
      <c r="S62" s="194"/>
      <c r="T62" s="194"/>
      <c r="U62" s="194"/>
      <c r="V62" s="194"/>
      <c r="W62" s="194"/>
      <c r="X62" s="194"/>
      <c r="Y62" s="194"/>
      <c r="Z62" s="194"/>
      <c r="AA62" s="194"/>
      <c r="AB62" s="194"/>
      <c r="AC62" s="194"/>
      <c r="AD62" s="194"/>
    </row>
    <row r="63" spans="1:31" ht="15" hidden="1" customHeight="1" x14ac:dyDescent="0.3">
      <c r="A63" s="551" t="str">
        <f>A44</f>
        <v>4. Socializar e implementar la hoja de ruta para incorporar los enfoques de derechos de las mujeres, de género y diferencial, a través del acompañamiento y articulación con las consejeras  por el Sector Mujeres en el CTPD.</v>
      </c>
      <c r="B63" s="553">
        <f>B44</f>
        <v>0.03</v>
      </c>
      <c r="C63" s="176" t="s">
        <v>62</v>
      </c>
      <c r="D63" s="175">
        <f t="shared" ref="D63:O64" si="8">D44*$B$44/$P$44</f>
        <v>0</v>
      </c>
      <c r="E63" s="175">
        <f t="shared" si="8"/>
        <v>3.0000000000000009E-3</v>
      </c>
      <c r="F63" s="175">
        <f t="shared" si="8"/>
        <v>2.7000000000000001E-3</v>
      </c>
      <c r="G63" s="175">
        <f t="shared" si="8"/>
        <v>2.7000000000000001E-3</v>
      </c>
      <c r="H63" s="175">
        <f t="shared" si="8"/>
        <v>2.7000000000000001E-3</v>
      </c>
      <c r="I63" s="175">
        <f t="shared" si="8"/>
        <v>2.7000000000000001E-3</v>
      </c>
      <c r="J63" s="175">
        <f t="shared" si="8"/>
        <v>2.7000000000000001E-3</v>
      </c>
      <c r="K63" s="175">
        <f t="shared" si="8"/>
        <v>2.7000000000000001E-3</v>
      </c>
      <c r="L63" s="175">
        <f t="shared" si="8"/>
        <v>2.7000000000000001E-3</v>
      </c>
      <c r="M63" s="175">
        <f t="shared" si="8"/>
        <v>2.7000000000000001E-3</v>
      </c>
      <c r="N63" s="175">
        <f t="shared" si="8"/>
        <v>2.7000000000000001E-3</v>
      </c>
      <c r="O63" s="175">
        <f t="shared" si="8"/>
        <v>2.7000000000000001E-3</v>
      </c>
      <c r="P63" s="174">
        <f t="shared" si="4"/>
        <v>3.0000000000000009E-2</v>
      </c>
      <c r="Q63" s="197">
        <v>0.02</v>
      </c>
      <c r="R63" s="198">
        <f t="shared" si="5"/>
        <v>1.0000000000000009E-2</v>
      </c>
      <c r="S63" s="194"/>
      <c r="T63" s="194"/>
      <c r="U63" s="194"/>
      <c r="V63" s="194"/>
      <c r="W63" s="194"/>
      <c r="X63" s="194"/>
      <c r="Y63" s="194"/>
      <c r="Z63" s="194"/>
      <c r="AA63" s="194"/>
      <c r="AB63" s="194"/>
      <c r="AC63" s="194"/>
      <c r="AD63" s="194"/>
    </row>
    <row r="64" spans="1:31" hidden="1" x14ac:dyDescent="0.3">
      <c r="A64" s="552"/>
      <c r="B64" s="554"/>
      <c r="C64" s="173" t="s">
        <v>63</v>
      </c>
      <c r="D64" s="172">
        <f t="shared" si="8"/>
        <v>0</v>
      </c>
      <c r="E64" s="172">
        <f t="shared" si="8"/>
        <v>3.0000000000000009E-3</v>
      </c>
      <c r="F64" s="172">
        <f t="shared" si="8"/>
        <v>2.7000000000000001E-3</v>
      </c>
      <c r="G64" s="172">
        <f t="shared" si="8"/>
        <v>2.7000000000000001E-3</v>
      </c>
      <c r="H64" s="172">
        <f t="shared" si="8"/>
        <v>2.7000000000000001E-3</v>
      </c>
      <c r="I64" s="172">
        <f t="shared" si="8"/>
        <v>2.7000000000000001E-3</v>
      </c>
      <c r="J64" s="172">
        <f t="shared" si="8"/>
        <v>2.7000000000000001E-3</v>
      </c>
      <c r="K64" s="172">
        <f t="shared" si="8"/>
        <v>2.7000000000000001E-3</v>
      </c>
      <c r="L64" s="172">
        <f t="shared" si="8"/>
        <v>2.7000000000000001E-3</v>
      </c>
      <c r="M64" s="172">
        <f t="shared" si="8"/>
        <v>0</v>
      </c>
      <c r="N64" s="172">
        <f t="shared" si="8"/>
        <v>0</v>
      </c>
      <c r="O64" s="172">
        <f t="shared" si="8"/>
        <v>0</v>
      </c>
      <c r="P64" s="171">
        <f t="shared" si="4"/>
        <v>2.1900000000000006E-2</v>
      </c>
      <c r="Q64" s="199">
        <f>+P64</f>
        <v>2.1900000000000006E-2</v>
      </c>
      <c r="R64" s="198">
        <f t="shared" si="5"/>
        <v>0</v>
      </c>
      <c r="S64" s="194"/>
      <c r="T64" s="194"/>
      <c r="U64" s="194"/>
      <c r="V64" s="194"/>
      <c r="W64" s="194"/>
      <c r="X64" s="194"/>
      <c r="Y64" s="194"/>
      <c r="Z64" s="194"/>
      <c r="AA64" s="194"/>
      <c r="AB64" s="194"/>
      <c r="AC64" s="194"/>
      <c r="AD64" s="194"/>
    </row>
    <row r="65" spans="1:30" ht="15" hidden="1" customHeight="1" x14ac:dyDescent="0.3">
      <c r="A65" s="551" t="str">
        <f>A46</f>
        <v>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v>
      </c>
      <c r="B65" s="553">
        <f>B46</f>
        <v>0.03</v>
      </c>
      <c r="C65" s="176" t="s">
        <v>62</v>
      </c>
      <c r="D65" s="175">
        <f t="shared" ref="D65:O66" si="9">D46*$B$46/$P$46</f>
        <v>0</v>
      </c>
      <c r="E65" s="175">
        <f t="shared" si="9"/>
        <v>3.0000000000000009E-3</v>
      </c>
      <c r="F65" s="175">
        <f t="shared" si="9"/>
        <v>2.7000000000000001E-3</v>
      </c>
      <c r="G65" s="175">
        <f t="shared" si="9"/>
        <v>2.7000000000000001E-3</v>
      </c>
      <c r="H65" s="175">
        <f t="shared" si="9"/>
        <v>2.7000000000000001E-3</v>
      </c>
      <c r="I65" s="175">
        <f t="shared" si="9"/>
        <v>2.7000000000000001E-3</v>
      </c>
      <c r="J65" s="175">
        <f t="shared" si="9"/>
        <v>2.7000000000000001E-3</v>
      </c>
      <c r="K65" s="175">
        <f t="shared" si="9"/>
        <v>2.7000000000000001E-3</v>
      </c>
      <c r="L65" s="175">
        <f t="shared" si="9"/>
        <v>2.7000000000000001E-3</v>
      </c>
      <c r="M65" s="175">
        <f t="shared" si="9"/>
        <v>2.7000000000000001E-3</v>
      </c>
      <c r="N65" s="175">
        <f t="shared" si="9"/>
        <v>2.7000000000000001E-3</v>
      </c>
      <c r="O65" s="175">
        <f t="shared" si="9"/>
        <v>2.7000000000000001E-3</v>
      </c>
      <c r="P65" s="174">
        <f t="shared" si="4"/>
        <v>3.0000000000000009E-2</v>
      </c>
      <c r="Q65" s="197">
        <v>0.02</v>
      </c>
      <c r="R65" s="198">
        <f t="shared" si="5"/>
        <v>1.0000000000000009E-2</v>
      </c>
      <c r="S65" s="194"/>
      <c r="T65" s="194"/>
      <c r="U65" s="194"/>
      <c r="V65" s="194"/>
      <c r="W65" s="194"/>
      <c r="X65" s="194"/>
      <c r="Y65" s="194"/>
      <c r="Z65" s="194"/>
      <c r="AA65" s="194"/>
      <c r="AB65" s="194"/>
      <c r="AC65" s="194"/>
      <c r="AD65" s="194"/>
    </row>
    <row r="66" spans="1:30" hidden="1" x14ac:dyDescent="0.3">
      <c r="A66" s="552"/>
      <c r="B66" s="554"/>
      <c r="C66" s="173" t="s">
        <v>63</v>
      </c>
      <c r="D66" s="172">
        <f t="shared" si="9"/>
        <v>0</v>
      </c>
      <c r="E66" s="172">
        <f t="shared" si="9"/>
        <v>3.0000000000000009E-3</v>
      </c>
      <c r="F66" s="172">
        <f t="shared" si="9"/>
        <v>2.7000000000000001E-3</v>
      </c>
      <c r="G66" s="172">
        <f t="shared" si="9"/>
        <v>2.7000000000000001E-3</v>
      </c>
      <c r="H66" s="172">
        <f t="shared" si="9"/>
        <v>2.7000000000000001E-3</v>
      </c>
      <c r="I66" s="172">
        <f t="shared" si="9"/>
        <v>2.7000000000000001E-3</v>
      </c>
      <c r="J66" s="172">
        <f t="shared" si="9"/>
        <v>2.7000000000000001E-3</v>
      </c>
      <c r="K66" s="172">
        <f t="shared" si="9"/>
        <v>2.7000000000000001E-3</v>
      </c>
      <c r="L66" s="172">
        <f t="shared" si="9"/>
        <v>2.7000000000000001E-3</v>
      </c>
      <c r="M66" s="172">
        <f t="shared" si="9"/>
        <v>0</v>
      </c>
      <c r="N66" s="172">
        <f t="shared" si="9"/>
        <v>0</v>
      </c>
      <c r="O66" s="172">
        <f t="shared" si="9"/>
        <v>0</v>
      </c>
      <c r="P66" s="171">
        <f t="shared" si="4"/>
        <v>2.1900000000000006E-2</v>
      </c>
      <c r="Q66" s="199">
        <f>+P66</f>
        <v>2.1900000000000006E-2</v>
      </c>
      <c r="R66" s="198">
        <f t="shared" si="5"/>
        <v>0</v>
      </c>
      <c r="S66" s="194"/>
      <c r="T66" s="194"/>
      <c r="U66" s="194"/>
      <c r="V66" s="194"/>
      <c r="W66" s="194"/>
      <c r="X66" s="194"/>
      <c r="Y66" s="194"/>
      <c r="Z66" s="194"/>
      <c r="AA66" s="194"/>
      <c r="AB66" s="194"/>
      <c r="AC66" s="194"/>
      <c r="AD66" s="194"/>
    </row>
    <row r="67" spans="1:30" ht="15" hidden="1" customHeight="1" x14ac:dyDescent="0.3">
      <c r="A67" s="551" t="str">
        <f>A48</f>
        <v>6. Realizar un documento que dé cuenta de los avances en la incorporación durante el cuatrienio de los enfoques de derechos de las mujeres, de género y diferencial para mujeres en las instancias que se acompañan desde la Subsecretaría del Cuidado y Políticas de Igualdad.</v>
      </c>
      <c r="B67" s="553">
        <f>B48</f>
        <v>0.02</v>
      </c>
      <c r="C67" s="176" t="s">
        <v>62</v>
      </c>
      <c r="D67" s="175">
        <f t="shared" ref="D67:O68" si="10">D48*$B$48/$P$48</f>
        <v>0</v>
      </c>
      <c r="E67" s="175">
        <f t="shared" si="10"/>
        <v>0</v>
      </c>
      <c r="F67" s="175">
        <f t="shared" si="10"/>
        <v>0</v>
      </c>
      <c r="G67" s="175">
        <f t="shared" si="10"/>
        <v>0</v>
      </c>
      <c r="H67" s="175">
        <f t="shared" si="10"/>
        <v>0</v>
      </c>
      <c r="I67" s="175">
        <f t="shared" si="10"/>
        <v>0</v>
      </c>
      <c r="J67" s="175">
        <f t="shared" si="10"/>
        <v>0</v>
      </c>
      <c r="K67" s="175">
        <f t="shared" si="10"/>
        <v>0</v>
      </c>
      <c r="L67" s="175">
        <f t="shared" si="10"/>
        <v>8.0000000000000002E-3</v>
      </c>
      <c r="M67" s="175">
        <f t="shared" si="10"/>
        <v>8.0000000000000002E-3</v>
      </c>
      <c r="N67" s="175">
        <f t="shared" si="10"/>
        <v>4.0000000000000001E-3</v>
      </c>
      <c r="O67" s="175">
        <f t="shared" si="10"/>
        <v>0</v>
      </c>
      <c r="P67" s="174">
        <f t="shared" si="4"/>
        <v>0.02</v>
      </c>
      <c r="Q67" s="197">
        <v>0.02</v>
      </c>
      <c r="R67" s="198">
        <f t="shared" si="5"/>
        <v>0</v>
      </c>
      <c r="S67" s="194"/>
      <c r="T67" s="194"/>
      <c r="U67" s="194"/>
      <c r="V67" s="194"/>
      <c r="W67" s="194"/>
      <c r="X67" s="194"/>
      <c r="Y67" s="194"/>
      <c r="Z67" s="194"/>
      <c r="AA67" s="194"/>
      <c r="AB67" s="194"/>
      <c r="AC67" s="194"/>
      <c r="AD67" s="194"/>
    </row>
    <row r="68" spans="1:30" hidden="1" x14ac:dyDescent="0.3">
      <c r="A68" s="552"/>
      <c r="B68" s="554"/>
      <c r="C68" s="181" t="s">
        <v>63</v>
      </c>
      <c r="D68" s="172">
        <f t="shared" si="10"/>
        <v>0</v>
      </c>
      <c r="E68" s="172">
        <f t="shared" si="10"/>
        <v>0</v>
      </c>
      <c r="F68" s="172">
        <f t="shared" si="10"/>
        <v>0</v>
      </c>
      <c r="G68" s="172">
        <f t="shared" si="10"/>
        <v>0</v>
      </c>
      <c r="H68" s="172">
        <f t="shared" si="10"/>
        <v>0</v>
      </c>
      <c r="I68" s="172">
        <f t="shared" si="10"/>
        <v>0</v>
      </c>
      <c r="J68" s="172">
        <f t="shared" si="10"/>
        <v>0</v>
      </c>
      <c r="K68" s="172">
        <f t="shared" si="10"/>
        <v>0</v>
      </c>
      <c r="L68" s="172">
        <f t="shared" si="10"/>
        <v>8.0000000000000002E-3</v>
      </c>
      <c r="M68" s="172">
        <f t="shared" si="10"/>
        <v>0</v>
      </c>
      <c r="N68" s="172">
        <f t="shared" si="10"/>
        <v>0</v>
      </c>
      <c r="O68" s="172">
        <f t="shared" si="10"/>
        <v>0</v>
      </c>
      <c r="P68" s="171">
        <f t="shared" si="4"/>
        <v>8.0000000000000002E-3</v>
      </c>
      <c r="Q68" s="199">
        <f>+P68</f>
        <v>8.0000000000000002E-3</v>
      </c>
      <c r="R68" s="198">
        <f t="shared" si="5"/>
        <v>0</v>
      </c>
      <c r="S68" s="194"/>
      <c r="T68" s="194"/>
      <c r="U68" s="194"/>
      <c r="V68" s="194"/>
      <c r="W68" s="194"/>
      <c r="X68" s="194"/>
      <c r="Y68" s="194"/>
      <c r="Z68" s="194"/>
      <c r="AA68" s="194"/>
      <c r="AB68" s="194"/>
      <c r="AC68" s="194"/>
      <c r="AD68" s="194"/>
    </row>
    <row r="69" spans="1:30" ht="15" hidden="1" customHeight="1" x14ac:dyDescent="0.3">
      <c r="A69" s="555"/>
      <c r="B69" s="556"/>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3">
      <c r="A70" s="555"/>
      <c r="B70" s="556"/>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3">
      <c r="A71" s="195"/>
      <c r="B71" s="169"/>
      <c r="C71" s="170"/>
      <c r="D71" s="165">
        <f>D58+D60+D62+D64+D66+D68</f>
        <v>5.2500000000000021E-3</v>
      </c>
      <c r="E71" s="165">
        <f t="shared" ref="E71:O71" si="11">E58+E60+E62+E64+E66+E68</f>
        <v>1.1250000000000005E-2</v>
      </c>
      <c r="F71" s="165">
        <f t="shared" si="11"/>
        <v>1.2900000000000002E-2</v>
      </c>
      <c r="G71" s="165">
        <f t="shared" si="11"/>
        <v>1.2400000000000001E-2</v>
      </c>
      <c r="H71" s="165">
        <f t="shared" si="11"/>
        <v>1.3650000000000002E-2</v>
      </c>
      <c r="I71" s="165">
        <f t="shared" si="11"/>
        <v>1.3650000000000002E-2</v>
      </c>
      <c r="J71" s="165">
        <f t="shared" si="11"/>
        <v>1.3650000000000002E-2</v>
      </c>
      <c r="K71" s="165">
        <f t="shared" si="11"/>
        <v>1.4150000000000003E-2</v>
      </c>
      <c r="L71" s="165">
        <f t="shared" si="11"/>
        <v>2.3150000000000004E-2</v>
      </c>
      <c r="M71" s="165">
        <f t="shared" si="11"/>
        <v>0</v>
      </c>
      <c r="N71" s="165">
        <f t="shared" si="11"/>
        <v>0</v>
      </c>
      <c r="O71" s="165">
        <f t="shared" si="11"/>
        <v>0</v>
      </c>
      <c r="P71" s="165">
        <f>P58+P60+P62+P64+P66+P68+P70</f>
        <v>0.12005000000000002</v>
      </c>
      <c r="Q71" s="195"/>
      <c r="R71" s="198">
        <f t="shared" si="5"/>
        <v>0.12005000000000002</v>
      </c>
      <c r="S71" s="194"/>
      <c r="T71" s="194"/>
      <c r="U71" s="194"/>
      <c r="V71" s="194"/>
      <c r="W71" s="194"/>
      <c r="X71" s="194"/>
      <c r="Y71" s="194"/>
      <c r="Z71" s="194"/>
      <c r="AA71" s="194"/>
      <c r="AB71" s="194"/>
      <c r="AC71" s="194"/>
      <c r="AD71" s="194"/>
    </row>
    <row r="72" spans="1:30" hidden="1" x14ac:dyDescent="0.3">
      <c r="A72" s="195"/>
      <c r="B72" s="167"/>
      <c r="C72" s="164" t="s">
        <v>63</v>
      </c>
      <c r="D72" s="163">
        <f t="shared" ref="D72:O72" si="12">D71*$W$17/$B$34</f>
        <v>1.6041666666666673E-2</v>
      </c>
      <c r="E72" s="163">
        <f t="shared" si="12"/>
        <v>3.4375000000000017E-2</v>
      </c>
      <c r="F72" s="163">
        <f t="shared" si="12"/>
        <v>3.9416666666666676E-2</v>
      </c>
      <c r="G72" s="163">
        <f t="shared" si="12"/>
        <v>3.7888888888888896E-2</v>
      </c>
      <c r="H72" s="163">
        <f t="shared" si="12"/>
        <v>4.1708333333333347E-2</v>
      </c>
      <c r="I72" s="163">
        <f t="shared" si="12"/>
        <v>4.1708333333333347E-2</v>
      </c>
      <c r="J72" s="163">
        <f t="shared" si="12"/>
        <v>4.1708333333333347E-2</v>
      </c>
      <c r="K72" s="163">
        <f t="shared" si="12"/>
        <v>4.3236111111111121E-2</v>
      </c>
      <c r="L72" s="163">
        <f t="shared" si="12"/>
        <v>7.0736111111111125E-2</v>
      </c>
      <c r="M72" s="163">
        <f t="shared" si="12"/>
        <v>0</v>
      </c>
      <c r="N72" s="163">
        <f t="shared" si="12"/>
        <v>0</v>
      </c>
      <c r="O72" s="163">
        <f t="shared" si="12"/>
        <v>0</v>
      </c>
      <c r="P72" s="162">
        <f>SUM(D72:O72)</f>
        <v>0.36681944444444459</v>
      </c>
      <c r="Q72" s="196"/>
      <c r="R72" s="195"/>
      <c r="S72" s="194"/>
      <c r="T72" s="194"/>
      <c r="U72" s="194"/>
      <c r="V72" s="194"/>
      <c r="W72" s="194"/>
      <c r="X72" s="194"/>
      <c r="Y72" s="194"/>
      <c r="Z72" s="194"/>
      <c r="AA72" s="194"/>
      <c r="AB72" s="194"/>
      <c r="AC72" s="194"/>
      <c r="AD72" s="194"/>
    </row>
    <row r="73" spans="1:30" hidden="1" x14ac:dyDescent="0.3">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3">
      <c r="A74" s="197"/>
      <c r="B74" s="108"/>
      <c r="C74" s="108"/>
      <c r="D74" s="165">
        <f>+D57+D59+D61+D63+D65+D67</f>
        <v>5.2500000000000021E-3</v>
      </c>
      <c r="E74" s="165">
        <f t="shared" ref="E74:O74" si="13">+E57+E59+E61+E63+E65+E67</f>
        <v>1.1250000000000005E-2</v>
      </c>
      <c r="F74" s="165">
        <f t="shared" si="13"/>
        <v>1.2900000000000002E-2</v>
      </c>
      <c r="G74" s="165">
        <f t="shared" si="13"/>
        <v>1.3400000000000002E-2</v>
      </c>
      <c r="H74" s="165">
        <f t="shared" si="13"/>
        <v>1.4650000000000003E-2</v>
      </c>
      <c r="I74" s="165">
        <f t="shared" si="13"/>
        <v>1.4650000000000003E-2</v>
      </c>
      <c r="J74" s="165">
        <f t="shared" si="13"/>
        <v>1.4650000000000003E-2</v>
      </c>
      <c r="K74" s="165">
        <f t="shared" si="13"/>
        <v>1.4650000000000003E-2</v>
      </c>
      <c r="L74" s="165">
        <f t="shared" si="13"/>
        <v>2.2650000000000003E-2</v>
      </c>
      <c r="M74" s="165">
        <f t="shared" si="13"/>
        <v>2.2650000000000003E-2</v>
      </c>
      <c r="N74" s="165">
        <f t="shared" si="13"/>
        <v>1.8650000000000003E-2</v>
      </c>
      <c r="O74" s="165">
        <f t="shared" si="13"/>
        <v>1.4650000000000003E-2</v>
      </c>
      <c r="P74" s="165">
        <f>SUM(D74:O74)</f>
        <v>0.18000000000000002</v>
      </c>
      <c r="Q74" s="197"/>
      <c r="R74" s="197"/>
      <c r="S74" s="194"/>
      <c r="T74" s="194"/>
      <c r="U74" s="194"/>
      <c r="V74" s="194"/>
      <c r="W74" s="194"/>
      <c r="X74" s="194"/>
      <c r="Y74" s="194"/>
      <c r="Z74" s="194"/>
      <c r="AA74" s="194"/>
      <c r="AB74" s="194"/>
      <c r="AC74" s="194"/>
      <c r="AD74" s="194"/>
    </row>
    <row r="75" spans="1:30" hidden="1" x14ac:dyDescent="0.3">
      <c r="A75" s="197"/>
      <c r="B75" s="108"/>
      <c r="C75" s="164" t="s">
        <v>62</v>
      </c>
      <c r="D75" s="163">
        <f>D74*$W$17/$B$34</f>
        <v>1.6041666666666673E-2</v>
      </c>
      <c r="E75" s="163">
        <f t="shared" ref="E75:O75" si="14">E74*$W$17/$B$34</f>
        <v>3.4375000000000017E-2</v>
      </c>
      <c r="F75" s="163">
        <f t="shared" si="14"/>
        <v>3.9416666666666676E-2</v>
      </c>
      <c r="G75" s="163">
        <f t="shared" si="14"/>
        <v>4.0944444444444457E-2</v>
      </c>
      <c r="H75" s="163">
        <f t="shared" si="14"/>
        <v>4.4763888888888902E-2</v>
      </c>
      <c r="I75" s="163">
        <f t="shared" si="14"/>
        <v>4.4763888888888902E-2</v>
      </c>
      <c r="J75" s="163">
        <f t="shared" si="14"/>
        <v>4.4763888888888902E-2</v>
      </c>
      <c r="K75" s="163">
        <f t="shared" si="14"/>
        <v>4.4763888888888902E-2</v>
      </c>
      <c r="L75" s="163">
        <f t="shared" si="14"/>
        <v>6.9208333333333358E-2</v>
      </c>
      <c r="M75" s="163">
        <f t="shared" si="14"/>
        <v>6.9208333333333358E-2</v>
      </c>
      <c r="N75" s="163">
        <f t="shared" si="14"/>
        <v>5.6986111111111126E-2</v>
      </c>
      <c r="O75" s="163">
        <f t="shared" si="14"/>
        <v>4.4763888888888902E-2</v>
      </c>
      <c r="P75" s="162">
        <f>SUM(D75:O75)</f>
        <v>0.55000000000000016</v>
      </c>
      <c r="Q75" s="197"/>
      <c r="R75" s="197"/>
      <c r="S75" s="194"/>
      <c r="T75" s="194"/>
      <c r="U75" s="194"/>
      <c r="V75" s="194"/>
      <c r="W75" s="194"/>
      <c r="X75" s="194"/>
      <c r="Y75" s="194"/>
      <c r="Z75" s="194"/>
      <c r="AA75" s="194"/>
      <c r="AB75" s="194"/>
      <c r="AC75" s="194"/>
      <c r="AD75" s="194"/>
    </row>
    <row r="76" spans="1:30" hidden="1" x14ac:dyDescent="0.3">
      <c r="A76" s="194"/>
      <c r="Q76" s="194"/>
      <c r="R76" s="194"/>
      <c r="S76" s="194"/>
      <c r="T76" s="194"/>
      <c r="U76" s="194"/>
      <c r="V76" s="194"/>
      <c r="W76" s="194"/>
      <c r="X76" s="194"/>
      <c r="Y76" s="194"/>
      <c r="Z76" s="194"/>
      <c r="AA76" s="194"/>
      <c r="AB76" s="194"/>
      <c r="AC76" s="194"/>
      <c r="AD76" s="194"/>
    </row>
    <row r="77" spans="1:30" x14ac:dyDescent="0.3">
      <c r="A77" s="194"/>
      <c r="Q77" s="194"/>
      <c r="R77" s="194"/>
      <c r="S77" s="194"/>
      <c r="T77" s="194"/>
      <c r="U77" s="194"/>
      <c r="V77" s="194"/>
      <c r="W77" s="194"/>
      <c r="X77" s="194"/>
      <c r="Y77" s="194"/>
      <c r="Z77" s="194"/>
      <c r="AA77" s="194"/>
      <c r="AB77" s="194"/>
      <c r="AC77" s="194"/>
      <c r="AD77" s="194"/>
    </row>
    <row r="78" spans="1:30" x14ac:dyDescent="0.3">
      <c r="A78" s="194"/>
      <c r="Q78" s="194"/>
      <c r="R78" s="194"/>
      <c r="S78" s="194"/>
      <c r="T78" s="194"/>
      <c r="U78" s="194"/>
      <c r="V78" s="194"/>
      <c r="W78" s="194"/>
      <c r="X78" s="194"/>
      <c r="Y78" s="194"/>
      <c r="Z78" s="194"/>
      <c r="AA78" s="194"/>
      <c r="AB78" s="194"/>
      <c r="AC78" s="194"/>
      <c r="AD78" s="194"/>
    </row>
    <row r="79" spans="1:30" x14ac:dyDescent="0.3">
      <c r="A79" s="194"/>
      <c r="Q79" s="194"/>
      <c r="R79" s="194"/>
      <c r="S79" s="194"/>
      <c r="T79" s="194"/>
      <c r="U79" s="194"/>
      <c r="V79" s="194"/>
      <c r="W79" s="194"/>
      <c r="X79" s="194"/>
      <c r="Y79" s="194"/>
      <c r="Z79" s="194"/>
      <c r="AA79" s="194"/>
      <c r="AB79" s="194"/>
      <c r="AC79" s="194"/>
      <c r="AD79" s="194"/>
    </row>
    <row r="80" spans="1:30" x14ac:dyDescent="0.3">
      <c r="A80" s="194"/>
      <c r="Q80" s="194"/>
      <c r="R80" s="194"/>
      <c r="S80" s="194"/>
      <c r="T80" s="194"/>
      <c r="U80" s="194"/>
      <c r="V80" s="194"/>
      <c r="W80" s="194"/>
      <c r="X80" s="194"/>
      <c r="Y80" s="194"/>
      <c r="Z80" s="194"/>
      <c r="AA80" s="194"/>
      <c r="AB80" s="194"/>
      <c r="AC80" s="194"/>
      <c r="AD80" s="194"/>
    </row>
    <row r="81" spans="1:30" x14ac:dyDescent="0.3">
      <c r="A81" s="194"/>
      <c r="Q81" s="194"/>
      <c r="R81" s="194"/>
      <c r="S81" s="194"/>
      <c r="T81" s="194"/>
      <c r="U81" s="194"/>
      <c r="V81" s="194"/>
      <c r="W81" s="194"/>
      <c r="X81" s="194"/>
      <c r="Y81" s="194"/>
      <c r="Z81" s="194"/>
      <c r="AA81" s="194"/>
      <c r="AB81" s="194"/>
      <c r="AC81" s="194"/>
      <c r="AD81" s="194"/>
    </row>
    <row r="82" spans="1:30" x14ac:dyDescent="0.3">
      <c r="A82" s="194"/>
      <c r="Q82" s="194"/>
      <c r="R82" s="194"/>
      <c r="S82" s="194"/>
      <c r="T82" s="194"/>
      <c r="U82" s="194"/>
      <c r="V82" s="194"/>
      <c r="W82" s="194"/>
      <c r="X82" s="194"/>
      <c r="Y82" s="194"/>
      <c r="Z82" s="194"/>
      <c r="AA82" s="194"/>
      <c r="AB82" s="194"/>
      <c r="AC82" s="194"/>
      <c r="AD82" s="194"/>
    </row>
    <row r="83" spans="1:30" x14ac:dyDescent="0.3">
      <c r="A83" s="194"/>
      <c r="Q83" s="194"/>
      <c r="R83" s="194"/>
      <c r="S83" s="194"/>
      <c r="T83" s="194"/>
      <c r="U83" s="194"/>
      <c r="V83" s="194"/>
      <c r="W83" s="194"/>
      <c r="X83" s="194"/>
      <c r="Y83" s="194"/>
      <c r="Z83" s="194"/>
      <c r="AA83" s="194"/>
      <c r="AB83" s="194"/>
      <c r="AC83" s="194"/>
      <c r="AD83" s="194"/>
    </row>
    <row r="84" spans="1:30" x14ac:dyDescent="0.3">
      <c r="A84" s="194"/>
      <c r="Q84" s="194"/>
      <c r="R84" s="194"/>
      <c r="S84" s="194"/>
      <c r="T84" s="194"/>
      <c r="U84" s="194"/>
      <c r="V84" s="194"/>
      <c r="W84" s="194"/>
      <c r="X84" s="194"/>
      <c r="Y84" s="194"/>
      <c r="Z84" s="194"/>
      <c r="AA84" s="194"/>
      <c r="AB84" s="194"/>
      <c r="AC84" s="194"/>
      <c r="AD84" s="194"/>
    </row>
    <row r="85" spans="1:30" x14ac:dyDescent="0.3">
      <c r="A85" s="194"/>
      <c r="Q85" s="194"/>
      <c r="R85" s="194"/>
      <c r="S85" s="194"/>
      <c r="T85" s="194"/>
      <c r="U85" s="194"/>
      <c r="V85" s="194"/>
      <c r="W85" s="194"/>
      <c r="X85" s="194"/>
      <c r="Y85" s="194"/>
      <c r="Z85" s="194"/>
      <c r="AA85" s="194"/>
      <c r="AB85" s="194"/>
      <c r="AC85" s="194"/>
      <c r="AD85" s="194"/>
    </row>
    <row r="86" spans="1:30" x14ac:dyDescent="0.3">
      <c r="A86" s="194"/>
      <c r="Q86" s="194"/>
      <c r="R86" s="194"/>
      <c r="S86" s="194"/>
      <c r="T86" s="194"/>
      <c r="U86" s="194"/>
      <c r="V86" s="194"/>
      <c r="W86" s="194"/>
      <c r="X86" s="194"/>
      <c r="Y86" s="194"/>
      <c r="Z86" s="194"/>
      <c r="AA86" s="194"/>
      <c r="AB86" s="194"/>
      <c r="AC86" s="194"/>
      <c r="AD86" s="194"/>
    </row>
    <row r="87" spans="1:30" x14ac:dyDescent="0.3">
      <c r="A87" s="194"/>
      <c r="Q87" s="194"/>
      <c r="R87" s="194"/>
      <c r="S87" s="194"/>
      <c r="T87" s="194"/>
      <c r="U87" s="194"/>
      <c r="V87" s="194"/>
      <c r="W87" s="194"/>
      <c r="X87" s="194"/>
      <c r="Y87" s="194"/>
      <c r="Z87" s="194"/>
      <c r="AA87" s="194"/>
      <c r="AB87" s="194"/>
      <c r="AC87" s="194"/>
      <c r="AD87" s="194"/>
    </row>
    <row r="88" spans="1:30" x14ac:dyDescent="0.3">
      <c r="A88" s="194"/>
      <c r="Q88" s="194"/>
      <c r="R88" s="194"/>
      <c r="S88" s="194"/>
      <c r="T88" s="194"/>
      <c r="U88" s="194"/>
      <c r="V88" s="194"/>
      <c r="W88" s="194"/>
      <c r="X88" s="194"/>
      <c r="Y88" s="194"/>
      <c r="Z88" s="194"/>
      <c r="AA88" s="194"/>
      <c r="AB88" s="194"/>
      <c r="AC88" s="194"/>
      <c r="AD88" s="194"/>
    </row>
    <row r="89" spans="1:30"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105">
    <mergeCell ref="A67:A68"/>
    <mergeCell ref="B67:B68"/>
    <mergeCell ref="A69:A70"/>
    <mergeCell ref="B69:B70"/>
    <mergeCell ref="Q44:AD45"/>
    <mergeCell ref="Q46:AD47"/>
    <mergeCell ref="Q48:AD49"/>
    <mergeCell ref="A61:A62"/>
    <mergeCell ref="B61:B62"/>
    <mergeCell ref="A63:A64"/>
    <mergeCell ref="B63:B64"/>
    <mergeCell ref="A65:A66"/>
    <mergeCell ref="B65:B66"/>
    <mergeCell ref="A55:A56"/>
    <mergeCell ref="B55:B56"/>
    <mergeCell ref="C55:P55"/>
    <mergeCell ref="A57:A58"/>
    <mergeCell ref="B57:B58"/>
    <mergeCell ref="A59:A60"/>
    <mergeCell ref="B59:B60"/>
    <mergeCell ref="B44:B45"/>
    <mergeCell ref="A46:A47"/>
    <mergeCell ref="B46:B47"/>
    <mergeCell ref="A48:A49"/>
    <mergeCell ref="A1:A4"/>
    <mergeCell ref="B1:AA1"/>
    <mergeCell ref="AB1:AD1"/>
    <mergeCell ref="B2:AA2"/>
    <mergeCell ref="AB2:AD2"/>
    <mergeCell ref="C15:K15"/>
    <mergeCell ref="B3:AA4"/>
    <mergeCell ref="AB3:AD3"/>
    <mergeCell ref="AB4:AD4"/>
    <mergeCell ref="A11:B13"/>
    <mergeCell ref="D7:H9"/>
    <mergeCell ref="I7:J9"/>
    <mergeCell ref="K7:L9"/>
    <mergeCell ref="O7:P7"/>
    <mergeCell ref="M8:N8"/>
    <mergeCell ref="B30:C30"/>
    <mergeCell ref="Q30:AD30"/>
    <mergeCell ref="A31:AD31"/>
    <mergeCell ref="A32:A33"/>
    <mergeCell ref="B32:B33"/>
    <mergeCell ref="C32:C33"/>
    <mergeCell ref="O8:P8"/>
    <mergeCell ref="M7:N7"/>
    <mergeCell ref="A7:B9"/>
    <mergeCell ref="C7:C9"/>
    <mergeCell ref="R15:X15"/>
    <mergeCell ref="Y15:Z15"/>
    <mergeCell ref="W17:X17"/>
    <mergeCell ref="Y17:AB17"/>
    <mergeCell ref="A15:B15"/>
    <mergeCell ref="M9:N9"/>
    <mergeCell ref="O9:P9"/>
    <mergeCell ref="R17:V17"/>
    <mergeCell ref="C11:AD13"/>
    <mergeCell ref="L15:Q15"/>
    <mergeCell ref="A24:B24"/>
    <mergeCell ref="A19:AD19"/>
    <mergeCell ref="Q20:AD20"/>
    <mergeCell ref="C20:P20"/>
    <mergeCell ref="A27:AD27"/>
    <mergeCell ref="A23:B23"/>
    <mergeCell ref="A25:B25"/>
    <mergeCell ref="AA15:AD15"/>
    <mergeCell ref="A28:A29"/>
    <mergeCell ref="B28:C29"/>
    <mergeCell ref="D28:O28"/>
    <mergeCell ref="P28:P29"/>
    <mergeCell ref="Q28:AD29"/>
    <mergeCell ref="A22:B22"/>
    <mergeCell ref="AC17:AD17"/>
    <mergeCell ref="C16:AB16"/>
    <mergeCell ref="A17:B17"/>
    <mergeCell ref="C17:Q17"/>
    <mergeCell ref="A34:A35"/>
    <mergeCell ref="B34:B35"/>
    <mergeCell ref="W34:Z35"/>
    <mergeCell ref="AA34:AD35"/>
    <mergeCell ref="Q34:S35"/>
    <mergeCell ref="T34:V35"/>
    <mergeCell ref="D32:P32"/>
    <mergeCell ref="Q32:AD32"/>
    <mergeCell ref="W33:Z33"/>
    <mergeCell ref="AA33:AD33"/>
    <mergeCell ref="Q33:S33"/>
    <mergeCell ref="T33:V33"/>
    <mergeCell ref="B48:B49"/>
    <mergeCell ref="A40:A41"/>
    <mergeCell ref="B40:B41"/>
    <mergeCell ref="A44:A45"/>
    <mergeCell ref="Q40:AD41"/>
    <mergeCell ref="A42:A43"/>
    <mergeCell ref="B42:B43"/>
    <mergeCell ref="Q42:AD43"/>
    <mergeCell ref="A36:A37"/>
    <mergeCell ref="B36:B37"/>
    <mergeCell ref="C36:P36"/>
    <mergeCell ref="Q36:AD36"/>
    <mergeCell ref="Q37:AD37"/>
    <mergeCell ref="A38:A39"/>
    <mergeCell ref="B38:B39"/>
    <mergeCell ref="Q38:AD39"/>
  </mergeCells>
  <phoneticPr fontId="69" type="noConversion"/>
  <dataValidations count="4">
    <dataValidation type="textLength" operator="lessThanOrEqual" allowBlank="1" showInputMessage="1" showErrorMessage="1" errorTitle="Máximo 2.000 caracteres" error="Máximo 2.000 caracteres" sqref="Q46:AD49 Q34 W34 AA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4:AD45 T34:V35" xr:uid="{00000000-0002-0000-0000-000003000000}">
      <formula1>20000</formula1>
    </dataValidation>
  </dataValidations>
  <printOptions horizontalCentered="1"/>
  <pageMargins left="0.39370078740157483" right="0.39370078740157483" top="0.39370078740157483" bottom="0.39370078740157483" header="0" footer="0"/>
  <pageSetup paperSize="9" scale="1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AT1" zoomScale="60" zoomScaleNormal="60" workbookViewId="0">
      <selection activeCell="BG13" sqref="BG13"/>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5.75" customHeight="1" x14ac:dyDescent="0.3">
      <c r="A1" s="1017" t="s">
        <v>0</v>
      </c>
      <c r="B1" s="1017"/>
      <c r="C1" s="1017"/>
      <c r="D1" s="1017"/>
      <c r="E1" s="1017"/>
      <c r="F1" s="1017"/>
      <c r="G1" s="1017"/>
      <c r="H1" s="1017"/>
      <c r="I1" s="1017"/>
      <c r="J1" s="1017"/>
      <c r="K1" s="1017"/>
      <c r="L1" s="1017"/>
      <c r="M1" s="1017"/>
      <c r="N1" s="1017"/>
      <c r="O1" s="1017"/>
      <c r="P1" s="1017"/>
      <c r="Q1" s="1017"/>
      <c r="R1" s="1017"/>
      <c r="S1" s="1017"/>
      <c r="T1" s="1017"/>
      <c r="U1" s="1017"/>
      <c r="V1" s="1017"/>
      <c r="W1" s="1017"/>
      <c r="X1" s="1017"/>
      <c r="Y1" s="1017"/>
      <c r="Z1" s="1017"/>
      <c r="AA1" s="1017"/>
      <c r="AB1" s="1017"/>
      <c r="AC1" s="1017"/>
      <c r="AD1" s="1017"/>
      <c r="AE1" s="1017"/>
      <c r="AF1" s="1017"/>
      <c r="AG1" s="1017"/>
      <c r="AH1" s="1017"/>
      <c r="AI1" s="1017"/>
      <c r="AJ1" s="1017"/>
      <c r="AK1" s="1017"/>
      <c r="AL1" s="1017"/>
      <c r="AM1" s="1017"/>
      <c r="AN1" s="1017"/>
      <c r="AO1" s="1017"/>
      <c r="AP1" s="1017"/>
      <c r="AQ1" s="1017"/>
      <c r="AR1" s="1017"/>
      <c r="AS1" s="1017"/>
      <c r="AT1" s="1017"/>
      <c r="AU1" s="1017"/>
      <c r="AV1" s="1017"/>
      <c r="AW1" s="1017"/>
      <c r="AX1" s="1017"/>
      <c r="AY1" s="1017"/>
      <c r="AZ1" s="1017"/>
      <c r="BA1" s="1017"/>
      <c r="BB1" s="1017"/>
      <c r="BC1" s="1017"/>
      <c r="BD1" s="1017"/>
      <c r="BE1" s="1017"/>
      <c r="BF1" s="1017"/>
      <c r="BG1" s="1017"/>
      <c r="BH1" s="1017"/>
      <c r="BI1" s="1018" t="s">
        <v>91</v>
      </c>
      <c r="BJ1" s="1018"/>
      <c r="BK1" s="1018"/>
    </row>
    <row r="2" spans="1:63" ht="15.75" customHeight="1" x14ac:dyDescent="0.3">
      <c r="A2" s="1017" t="s">
        <v>2</v>
      </c>
      <c r="B2" s="1017"/>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8" t="s">
        <v>3</v>
      </c>
      <c r="BJ2" s="1018"/>
      <c r="BK2" s="1018"/>
    </row>
    <row r="3" spans="1:63" ht="26.1" customHeight="1" x14ac:dyDescent="0.3">
      <c r="A3" s="1017" t="s">
        <v>287</v>
      </c>
      <c r="B3" s="1017"/>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c r="AI3" s="1017"/>
      <c r="AJ3" s="1017"/>
      <c r="AK3" s="1017"/>
      <c r="AL3" s="1017"/>
      <c r="AM3" s="1017"/>
      <c r="AN3" s="1017"/>
      <c r="AO3" s="1017"/>
      <c r="AP3" s="1017"/>
      <c r="AQ3" s="1017"/>
      <c r="AR3" s="1017"/>
      <c r="AS3" s="1017"/>
      <c r="AT3" s="1017"/>
      <c r="AU3" s="1017"/>
      <c r="AV3" s="1017"/>
      <c r="AW3" s="1017"/>
      <c r="AX3" s="1017"/>
      <c r="AY3" s="1017"/>
      <c r="AZ3" s="1017"/>
      <c r="BA3" s="1017"/>
      <c r="BB3" s="1017"/>
      <c r="BC3" s="1017"/>
      <c r="BD3" s="1017"/>
      <c r="BE3" s="1017"/>
      <c r="BF3" s="1017"/>
      <c r="BG3" s="1017"/>
      <c r="BH3" s="1017"/>
      <c r="BI3" s="1018" t="s">
        <v>5</v>
      </c>
      <c r="BJ3" s="1018"/>
      <c r="BK3" s="1018"/>
    </row>
    <row r="4" spans="1:63" ht="15.75" customHeight="1" x14ac:dyDescent="0.3">
      <c r="A4" s="1017" t="s">
        <v>288</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c r="AA4" s="1017"/>
      <c r="AB4" s="1017"/>
      <c r="AC4" s="1017"/>
      <c r="AD4" s="1017"/>
      <c r="AE4" s="1017"/>
      <c r="AF4" s="1017"/>
      <c r="AG4" s="1017"/>
      <c r="AH4" s="1017"/>
      <c r="AI4" s="1017"/>
      <c r="AJ4" s="1017"/>
      <c r="AK4" s="1017"/>
      <c r="AL4" s="1017"/>
      <c r="AM4" s="1017"/>
      <c r="AN4" s="1017"/>
      <c r="AO4" s="1017"/>
      <c r="AP4" s="1017"/>
      <c r="AQ4" s="1017"/>
      <c r="AR4" s="1017"/>
      <c r="AS4" s="1017"/>
      <c r="AT4" s="1017"/>
      <c r="AU4" s="1017"/>
      <c r="AV4" s="1017"/>
      <c r="AW4" s="1017"/>
      <c r="AX4" s="1017"/>
      <c r="AY4" s="1017"/>
      <c r="AZ4" s="1017"/>
      <c r="BA4" s="1017"/>
      <c r="BB4" s="1017"/>
      <c r="BC4" s="1017"/>
      <c r="BD4" s="1017"/>
      <c r="BE4" s="1017"/>
      <c r="BF4" s="1017"/>
      <c r="BG4" s="1017"/>
      <c r="BH4" s="1017"/>
      <c r="BI4" s="1014" t="s">
        <v>289</v>
      </c>
      <c r="BJ4" s="1015"/>
      <c r="BK4" s="1016"/>
    </row>
    <row r="5" spans="1:63" ht="26.1" customHeight="1" x14ac:dyDescent="0.3">
      <c r="A5" s="1019" t="s">
        <v>290</v>
      </c>
      <c r="B5" s="1019"/>
      <c r="C5" s="1019"/>
      <c r="D5" s="1019"/>
      <c r="E5" s="1019"/>
      <c r="F5" s="1019"/>
      <c r="G5" s="1019"/>
      <c r="H5" s="1019"/>
      <c r="I5" s="1019"/>
      <c r="J5" s="1019"/>
      <c r="K5" s="1019"/>
      <c r="L5" s="1019"/>
      <c r="M5" s="1019"/>
      <c r="N5" s="1019"/>
      <c r="O5" s="1019"/>
      <c r="P5" s="1019"/>
      <c r="Q5" s="1019"/>
      <c r="R5" s="1019"/>
      <c r="S5" s="1019"/>
      <c r="T5" s="1019"/>
      <c r="U5" s="1019"/>
      <c r="V5" s="1019"/>
      <c r="W5" s="1019"/>
      <c r="X5" s="1019"/>
      <c r="Y5" s="1019"/>
      <c r="Z5" s="1019"/>
      <c r="AA5" s="1019"/>
      <c r="AB5" s="1019"/>
      <c r="AC5" s="1019"/>
      <c r="AD5" s="1019"/>
      <c r="AE5" s="1019"/>
      <c r="AF5" s="200"/>
      <c r="AG5" s="1019" t="s">
        <v>291</v>
      </c>
      <c r="AH5" s="1019"/>
      <c r="AI5" s="1019"/>
      <c r="AJ5" s="1019"/>
      <c r="AK5" s="1019"/>
      <c r="AL5" s="1019"/>
      <c r="AM5" s="1019"/>
      <c r="AN5" s="1019"/>
      <c r="AO5" s="1019"/>
      <c r="AP5" s="1019"/>
      <c r="AQ5" s="1019"/>
      <c r="AR5" s="1019"/>
      <c r="AS5" s="1019"/>
      <c r="AT5" s="1019"/>
      <c r="AU5" s="1019"/>
      <c r="AV5" s="1019"/>
      <c r="AW5" s="1019"/>
      <c r="AX5" s="1019"/>
      <c r="AY5" s="1019"/>
      <c r="AZ5" s="1019"/>
      <c r="BA5" s="1019"/>
      <c r="BB5" s="1019"/>
      <c r="BC5" s="1019"/>
      <c r="BD5" s="1019"/>
      <c r="BE5" s="1019"/>
      <c r="BF5" s="1019"/>
      <c r="BG5" s="1019"/>
      <c r="BH5" s="1019"/>
      <c r="BI5" s="1020"/>
      <c r="BJ5" s="1020"/>
      <c r="BK5" s="1020"/>
    </row>
    <row r="6" spans="1:63" ht="31.5" customHeight="1" x14ac:dyDescent="0.3">
      <c r="A6" s="201" t="s">
        <v>292</v>
      </c>
      <c r="B6" s="1025"/>
      <c r="C6" s="1025"/>
      <c r="D6" s="1025"/>
      <c r="E6" s="1025"/>
      <c r="F6" s="1025"/>
      <c r="G6" s="1025"/>
      <c r="H6" s="1025"/>
      <c r="I6" s="1025"/>
      <c r="J6" s="1025"/>
      <c r="K6" s="1025"/>
      <c r="L6" s="1025"/>
      <c r="M6" s="1025"/>
      <c r="N6" s="1025"/>
      <c r="O6" s="1025"/>
      <c r="P6" s="1025"/>
      <c r="Q6" s="1025"/>
      <c r="R6" s="1025"/>
      <c r="S6" s="1025"/>
      <c r="T6" s="1025"/>
      <c r="U6" s="1025"/>
      <c r="V6" s="1025"/>
      <c r="W6" s="1025"/>
      <c r="X6" s="1025"/>
      <c r="Y6" s="1025"/>
      <c r="Z6" s="1025"/>
      <c r="AA6" s="1025"/>
      <c r="AB6" s="1025"/>
      <c r="AC6" s="1025"/>
      <c r="AD6" s="1025"/>
      <c r="AE6" s="1025"/>
      <c r="AF6" s="1025"/>
      <c r="AG6" s="1025"/>
      <c r="AH6" s="1025"/>
      <c r="AI6" s="1025"/>
      <c r="AJ6" s="1025"/>
      <c r="AK6" s="1025"/>
      <c r="AL6" s="1025"/>
      <c r="AM6" s="1025"/>
      <c r="AN6" s="1025"/>
      <c r="AO6" s="1025"/>
      <c r="AP6" s="1025"/>
      <c r="AQ6" s="1025"/>
      <c r="AR6" s="1025"/>
      <c r="AS6" s="1025"/>
      <c r="AT6" s="1025"/>
      <c r="AU6" s="1025"/>
      <c r="AV6" s="1025"/>
      <c r="AW6" s="1025"/>
      <c r="AX6" s="1025"/>
      <c r="AY6" s="1025"/>
      <c r="AZ6" s="1025"/>
      <c r="BA6" s="1025"/>
      <c r="BB6" s="1025"/>
      <c r="BC6" s="1025"/>
      <c r="BD6" s="1025"/>
      <c r="BE6" s="1025"/>
      <c r="BF6" s="1025"/>
      <c r="BG6" s="1025"/>
      <c r="BH6" s="1025"/>
      <c r="BI6" s="1025"/>
      <c r="BJ6" s="1025"/>
      <c r="BK6" s="1025"/>
    </row>
    <row r="7" spans="1:63" ht="31.5" customHeight="1" x14ac:dyDescent="0.3">
      <c r="A7" s="202" t="s">
        <v>293</v>
      </c>
      <c r="B7" s="1023"/>
      <c r="C7" s="1026"/>
      <c r="D7" s="1026"/>
      <c r="E7" s="1026"/>
      <c r="F7" s="1026"/>
      <c r="G7" s="1026"/>
      <c r="H7" s="1026"/>
      <c r="I7" s="1026"/>
      <c r="J7" s="1026"/>
      <c r="K7" s="1026"/>
      <c r="L7" s="1026"/>
      <c r="M7" s="1026"/>
      <c r="N7" s="1026"/>
      <c r="O7" s="1026"/>
      <c r="P7" s="1026"/>
      <c r="Q7" s="1026"/>
      <c r="R7" s="1026"/>
      <c r="S7" s="1026"/>
      <c r="T7" s="1026"/>
      <c r="U7" s="1026"/>
      <c r="V7" s="1026"/>
      <c r="W7" s="1026"/>
      <c r="X7" s="1026"/>
      <c r="Y7" s="1026"/>
      <c r="Z7" s="1026"/>
      <c r="AA7" s="1026"/>
      <c r="AB7" s="1026"/>
      <c r="AC7" s="1026"/>
      <c r="AD7" s="1026"/>
      <c r="AE7" s="1026"/>
      <c r="AF7" s="1026"/>
      <c r="AG7" s="1026"/>
      <c r="AH7" s="1026"/>
      <c r="AI7" s="1026"/>
      <c r="AJ7" s="1026"/>
      <c r="AK7" s="1026"/>
      <c r="AL7" s="1026"/>
      <c r="AM7" s="1026"/>
      <c r="AN7" s="1026"/>
      <c r="AO7" s="1026"/>
      <c r="AP7" s="1026"/>
      <c r="AQ7" s="1026"/>
      <c r="AR7" s="1026"/>
      <c r="AS7" s="1026"/>
      <c r="AT7" s="1026"/>
      <c r="AU7" s="1026"/>
      <c r="AV7" s="1026"/>
      <c r="AW7" s="1026"/>
      <c r="AX7" s="1026"/>
      <c r="AY7" s="1026"/>
      <c r="AZ7" s="1026"/>
      <c r="BA7" s="1026"/>
      <c r="BB7" s="1026"/>
      <c r="BC7" s="1026"/>
      <c r="BD7" s="1026"/>
      <c r="BE7" s="1026"/>
      <c r="BF7" s="1026"/>
      <c r="BG7" s="1026"/>
      <c r="BH7" s="1026"/>
      <c r="BI7" s="1026"/>
      <c r="BJ7" s="1026"/>
      <c r="BK7" s="1024"/>
    </row>
    <row r="8" spans="1:63" ht="18.75" customHeight="1" x14ac:dyDescent="0.3">
      <c r="A8" s="203"/>
      <c r="B8" s="203"/>
      <c r="C8" s="203"/>
      <c r="D8" s="203"/>
      <c r="E8" s="203"/>
      <c r="F8" s="203"/>
      <c r="G8" s="203"/>
      <c r="H8" s="203"/>
      <c r="I8" s="203"/>
      <c r="J8" s="203"/>
      <c r="K8" s="204"/>
      <c r="L8" s="204"/>
      <c r="M8" s="204"/>
      <c r="N8" s="204"/>
      <c r="O8" s="204"/>
      <c r="P8" s="204"/>
      <c r="Q8" s="204"/>
      <c r="R8" s="204"/>
      <c r="S8" s="204"/>
      <c r="T8" s="204"/>
      <c r="U8" s="204"/>
      <c r="V8" s="204"/>
      <c r="W8" s="204"/>
      <c r="X8" s="204"/>
      <c r="Y8" s="204"/>
      <c r="Z8" s="204"/>
      <c r="AA8" s="204"/>
      <c r="AB8" s="204"/>
      <c r="AC8" s="204"/>
      <c r="AD8" s="204"/>
      <c r="AE8" s="204"/>
      <c r="AF8" s="200"/>
      <c r="AG8" s="203"/>
      <c r="AH8" s="204"/>
      <c r="AI8" s="204"/>
      <c r="AJ8" s="204"/>
      <c r="AK8" s="204"/>
      <c r="AL8" s="204"/>
      <c r="AM8" s="204"/>
      <c r="AN8" s="204"/>
      <c r="AO8" s="204"/>
      <c r="AP8" s="200"/>
      <c r="AQ8" s="200"/>
      <c r="AR8" s="200"/>
      <c r="AS8" s="200"/>
      <c r="AT8" s="200"/>
      <c r="AU8" s="200"/>
      <c r="AV8" s="200"/>
      <c r="AW8" s="200"/>
      <c r="AX8" s="200"/>
      <c r="AY8" s="200"/>
      <c r="AZ8" s="200"/>
      <c r="BA8" s="200"/>
      <c r="BB8" s="200"/>
      <c r="BC8" s="200"/>
      <c r="BD8" s="200"/>
      <c r="BE8" s="200"/>
      <c r="BF8" s="200"/>
      <c r="BG8" s="200"/>
      <c r="BH8" s="200"/>
      <c r="BI8" s="200"/>
      <c r="BJ8" s="200"/>
      <c r="BK8" s="200"/>
    </row>
    <row r="9" spans="1:63" ht="30" customHeight="1" x14ac:dyDescent="0.3">
      <c r="A9" s="1021" t="s">
        <v>294</v>
      </c>
      <c r="B9" s="205" t="s">
        <v>30</v>
      </c>
      <c r="C9" s="205" t="s">
        <v>31</v>
      </c>
      <c r="D9" s="1023" t="s">
        <v>32</v>
      </c>
      <c r="E9" s="1024"/>
      <c r="F9" s="205" t="s">
        <v>33</v>
      </c>
      <c r="G9" s="205" t="s">
        <v>34</v>
      </c>
      <c r="H9" s="1023" t="s">
        <v>35</v>
      </c>
      <c r="I9" s="1024"/>
      <c r="J9" s="205" t="s">
        <v>36</v>
      </c>
      <c r="K9" s="205" t="s">
        <v>37</v>
      </c>
      <c r="L9" s="1023" t="s">
        <v>8</v>
      </c>
      <c r="M9" s="1024"/>
      <c r="N9" s="205" t="s">
        <v>38</v>
      </c>
      <c r="O9" s="205" t="s">
        <v>39</v>
      </c>
      <c r="P9" s="1023" t="s">
        <v>40</v>
      </c>
      <c r="Q9" s="1024"/>
      <c r="R9" s="1023" t="s">
        <v>295</v>
      </c>
      <c r="S9" s="1024"/>
      <c r="T9" s="1023" t="s">
        <v>296</v>
      </c>
      <c r="U9" s="1026"/>
      <c r="V9" s="1026"/>
      <c r="W9" s="1026"/>
      <c r="X9" s="1026"/>
      <c r="Y9" s="1024"/>
      <c r="Z9" s="1023" t="s">
        <v>297</v>
      </c>
      <c r="AA9" s="1026"/>
      <c r="AB9" s="1026"/>
      <c r="AC9" s="1026"/>
      <c r="AD9" s="1026"/>
      <c r="AE9" s="1024"/>
      <c r="AF9" s="200"/>
      <c r="AG9" s="1021" t="s">
        <v>294</v>
      </c>
      <c r="AH9" s="205" t="s">
        <v>30</v>
      </c>
      <c r="AI9" s="205" t="s">
        <v>31</v>
      </c>
      <c r="AJ9" s="1023" t="s">
        <v>32</v>
      </c>
      <c r="AK9" s="1024"/>
      <c r="AL9" s="205" t="s">
        <v>33</v>
      </c>
      <c r="AM9" s="205" t="s">
        <v>34</v>
      </c>
      <c r="AN9" s="1023" t="s">
        <v>35</v>
      </c>
      <c r="AO9" s="1024"/>
      <c r="AP9" s="205" t="s">
        <v>36</v>
      </c>
      <c r="AQ9" s="205" t="s">
        <v>37</v>
      </c>
      <c r="AR9" s="1023" t="s">
        <v>8</v>
      </c>
      <c r="AS9" s="1024"/>
      <c r="AT9" s="205" t="s">
        <v>38</v>
      </c>
      <c r="AU9" s="205" t="s">
        <v>39</v>
      </c>
      <c r="AV9" s="1023" t="s">
        <v>40</v>
      </c>
      <c r="AW9" s="1024"/>
      <c r="AX9" s="1023" t="s">
        <v>295</v>
      </c>
      <c r="AY9" s="1024"/>
      <c r="AZ9" s="1023" t="s">
        <v>296</v>
      </c>
      <c r="BA9" s="1026"/>
      <c r="BB9" s="1026"/>
      <c r="BC9" s="1026"/>
      <c r="BD9" s="1026"/>
      <c r="BE9" s="1024"/>
      <c r="BF9" s="1023" t="s">
        <v>297</v>
      </c>
      <c r="BG9" s="1026"/>
      <c r="BH9" s="1026"/>
      <c r="BI9" s="1026"/>
      <c r="BJ9" s="1026"/>
      <c r="BK9" s="1024"/>
    </row>
    <row r="10" spans="1:63" ht="36" customHeight="1" x14ac:dyDescent="0.3">
      <c r="A10" s="1022"/>
      <c r="B10" s="206" t="s">
        <v>298</v>
      </c>
      <c r="C10" s="206" t="s">
        <v>298</v>
      </c>
      <c r="D10" s="206" t="s">
        <v>298</v>
      </c>
      <c r="E10" s="206" t="s">
        <v>299</v>
      </c>
      <c r="F10" s="206" t="s">
        <v>298</v>
      </c>
      <c r="G10" s="206" t="s">
        <v>298</v>
      </c>
      <c r="H10" s="206" t="s">
        <v>298</v>
      </c>
      <c r="I10" s="206" t="s">
        <v>299</v>
      </c>
      <c r="J10" s="206" t="s">
        <v>298</v>
      </c>
      <c r="K10" s="206" t="s">
        <v>298</v>
      </c>
      <c r="L10" s="206" t="s">
        <v>298</v>
      </c>
      <c r="M10" s="206" t="s">
        <v>299</v>
      </c>
      <c r="N10" s="206" t="s">
        <v>298</v>
      </c>
      <c r="O10" s="206" t="s">
        <v>298</v>
      </c>
      <c r="P10" s="206" t="s">
        <v>298</v>
      </c>
      <c r="Q10" s="206" t="s">
        <v>299</v>
      </c>
      <c r="R10" s="206" t="s">
        <v>298</v>
      </c>
      <c r="S10" s="206" t="s">
        <v>299</v>
      </c>
      <c r="T10" s="207" t="s">
        <v>300</v>
      </c>
      <c r="U10" s="207" t="s">
        <v>301</v>
      </c>
      <c r="V10" s="207" t="s">
        <v>302</v>
      </c>
      <c r="W10" s="207" t="s">
        <v>303</v>
      </c>
      <c r="X10" s="208" t="s">
        <v>304</v>
      </c>
      <c r="Y10" s="207" t="s">
        <v>305</v>
      </c>
      <c r="Z10" s="206" t="s">
        <v>306</v>
      </c>
      <c r="AA10" s="209" t="s">
        <v>307</v>
      </c>
      <c r="AB10" s="206" t="s">
        <v>308</v>
      </c>
      <c r="AC10" s="206" t="s">
        <v>309</v>
      </c>
      <c r="AD10" s="206" t="s">
        <v>310</v>
      </c>
      <c r="AE10" s="206" t="s">
        <v>311</v>
      </c>
      <c r="AF10" s="200"/>
      <c r="AG10" s="1022"/>
      <c r="AH10" s="206" t="s">
        <v>298</v>
      </c>
      <c r="AI10" s="206" t="s">
        <v>298</v>
      </c>
      <c r="AJ10" s="206" t="s">
        <v>298</v>
      </c>
      <c r="AK10" s="206" t="s">
        <v>299</v>
      </c>
      <c r="AL10" s="206" t="s">
        <v>298</v>
      </c>
      <c r="AM10" s="206" t="s">
        <v>298</v>
      </c>
      <c r="AN10" s="206" t="s">
        <v>298</v>
      </c>
      <c r="AO10" s="206" t="s">
        <v>299</v>
      </c>
      <c r="AP10" s="206" t="s">
        <v>298</v>
      </c>
      <c r="AQ10" s="206" t="s">
        <v>298</v>
      </c>
      <c r="AR10" s="206" t="s">
        <v>298</v>
      </c>
      <c r="AS10" s="206" t="s">
        <v>299</v>
      </c>
      <c r="AT10" s="206" t="s">
        <v>298</v>
      </c>
      <c r="AU10" s="206" t="s">
        <v>298</v>
      </c>
      <c r="AV10" s="206" t="s">
        <v>298</v>
      </c>
      <c r="AW10" s="206" t="s">
        <v>299</v>
      </c>
      <c r="AX10" s="206" t="s">
        <v>298</v>
      </c>
      <c r="AY10" s="206" t="s">
        <v>299</v>
      </c>
      <c r="AZ10" s="207" t="s">
        <v>300</v>
      </c>
      <c r="BA10" s="207" t="s">
        <v>301</v>
      </c>
      <c r="BB10" s="207" t="s">
        <v>302</v>
      </c>
      <c r="BC10" s="207" t="s">
        <v>303</v>
      </c>
      <c r="BD10" s="208" t="s">
        <v>304</v>
      </c>
      <c r="BE10" s="207" t="s">
        <v>305</v>
      </c>
      <c r="BF10" s="206" t="s">
        <v>306</v>
      </c>
      <c r="BG10" s="209" t="s">
        <v>307</v>
      </c>
      <c r="BH10" s="206" t="s">
        <v>308</v>
      </c>
      <c r="BI10" s="206" t="s">
        <v>309</v>
      </c>
      <c r="BJ10" s="206" t="s">
        <v>310</v>
      </c>
      <c r="BK10" s="206" t="s">
        <v>311</v>
      </c>
    </row>
    <row r="11" spans="1:63" ht="18" x14ac:dyDescent="0.3">
      <c r="A11" s="210" t="s">
        <v>312</v>
      </c>
      <c r="B11" s="210"/>
      <c r="C11" s="210"/>
      <c r="D11" s="210"/>
      <c r="E11" s="211"/>
      <c r="F11" s="210"/>
      <c r="G11" s="210"/>
      <c r="H11" s="210"/>
      <c r="I11" s="211"/>
      <c r="J11" s="210"/>
      <c r="K11" s="210"/>
      <c r="L11" s="210"/>
      <c r="M11" s="211"/>
      <c r="N11" s="210"/>
      <c r="O11" s="210"/>
      <c r="P11" s="210"/>
      <c r="Q11" s="211"/>
      <c r="R11" s="212">
        <f t="shared" ref="R11:R31" si="0">B11+C11+D11+F11+G11+H11+J11+K11+L11+N11+O11+P11</f>
        <v>0</v>
      </c>
      <c r="S11" s="213">
        <f>+E11+I11+M11+Q11</f>
        <v>0</v>
      </c>
      <c r="T11" s="214"/>
      <c r="U11" s="214"/>
      <c r="V11" s="214"/>
      <c r="W11" s="214"/>
      <c r="X11" s="214"/>
      <c r="Y11" s="215"/>
      <c r="Z11" s="215"/>
      <c r="AA11" s="215"/>
      <c r="AB11" s="215"/>
      <c r="AC11" s="215"/>
      <c r="AD11" s="215"/>
      <c r="AE11" s="216"/>
      <c r="AF11" s="200"/>
      <c r="AG11" s="210" t="s">
        <v>312</v>
      </c>
      <c r="AH11" s="210"/>
      <c r="AI11" s="210"/>
      <c r="AJ11" s="210"/>
      <c r="AK11" s="211"/>
      <c r="AL11" s="210"/>
      <c r="AM11" s="210"/>
      <c r="AN11" s="210"/>
      <c r="AO11" s="211"/>
      <c r="AP11" s="210"/>
      <c r="AQ11" s="210"/>
      <c r="AR11" s="210"/>
      <c r="AS11" s="211"/>
      <c r="AT11" s="210"/>
      <c r="AU11" s="210"/>
      <c r="AV11" s="210"/>
      <c r="AW11" s="211"/>
      <c r="AX11" s="212">
        <f t="shared" ref="AX11:AX31" si="1">AH11+AI11+AJ11+AL11+AM11+AN11+AP11+AQ11+AR11+AT11+AU11+AV11</f>
        <v>0</v>
      </c>
      <c r="AY11" s="213">
        <f>+AK11+AO11+AS11+AW11</f>
        <v>0</v>
      </c>
      <c r="AZ11" s="215"/>
      <c r="BA11" s="215"/>
      <c r="BB11" s="215"/>
      <c r="BC11" s="215"/>
      <c r="BD11" s="215"/>
      <c r="BE11" s="215"/>
      <c r="BF11" s="215"/>
      <c r="BG11" s="215"/>
      <c r="BH11" s="215"/>
      <c r="BI11" s="215"/>
      <c r="BJ11" s="215"/>
      <c r="BK11" s="216"/>
    </row>
    <row r="12" spans="1:63" ht="18" x14ac:dyDescent="0.3">
      <c r="A12" s="210" t="s">
        <v>313</v>
      </c>
      <c r="B12" s="210"/>
      <c r="C12" s="210"/>
      <c r="D12" s="210"/>
      <c r="E12" s="211"/>
      <c r="F12" s="210"/>
      <c r="G12" s="210"/>
      <c r="H12" s="210"/>
      <c r="I12" s="211"/>
      <c r="J12" s="210"/>
      <c r="K12" s="210"/>
      <c r="L12" s="210"/>
      <c r="M12" s="211"/>
      <c r="N12" s="210"/>
      <c r="O12" s="210"/>
      <c r="P12" s="210"/>
      <c r="Q12" s="211"/>
      <c r="R12" s="212">
        <f t="shared" si="0"/>
        <v>0</v>
      </c>
      <c r="S12" s="213">
        <f t="shared" ref="S12:S31" si="2">+E12+I12+M12+Q12</f>
        <v>0</v>
      </c>
      <c r="T12" s="214"/>
      <c r="U12" s="214"/>
      <c r="V12" s="214"/>
      <c r="W12" s="214"/>
      <c r="X12" s="214"/>
      <c r="Y12" s="215"/>
      <c r="Z12" s="215"/>
      <c r="AA12" s="215"/>
      <c r="AB12" s="215"/>
      <c r="AC12" s="215"/>
      <c r="AD12" s="215"/>
      <c r="AE12" s="215"/>
      <c r="AF12" s="200"/>
      <c r="AG12" s="210" t="s">
        <v>313</v>
      </c>
      <c r="AH12" s="210"/>
      <c r="AI12" s="210"/>
      <c r="AJ12" s="210"/>
      <c r="AK12" s="211"/>
      <c r="AL12" s="210"/>
      <c r="AM12" s="210"/>
      <c r="AN12" s="210"/>
      <c r="AO12" s="211"/>
      <c r="AP12" s="210"/>
      <c r="AQ12" s="210"/>
      <c r="AR12" s="210"/>
      <c r="AS12" s="211"/>
      <c r="AT12" s="210"/>
      <c r="AU12" s="210"/>
      <c r="AV12" s="210"/>
      <c r="AW12" s="211"/>
      <c r="AX12" s="212">
        <f t="shared" si="1"/>
        <v>0</v>
      </c>
      <c r="AY12" s="213">
        <f t="shared" ref="AY12:AY31" si="3">+AK12+AO12+AS12+AW12</f>
        <v>0</v>
      </c>
      <c r="AZ12" s="215"/>
      <c r="BA12" s="215"/>
      <c r="BB12" s="215"/>
      <c r="BC12" s="215"/>
      <c r="BD12" s="215"/>
      <c r="BE12" s="215"/>
      <c r="BF12" s="215"/>
      <c r="BG12" s="215"/>
      <c r="BH12" s="215"/>
      <c r="BI12" s="215"/>
      <c r="BJ12" s="215"/>
      <c r="BK12" s="215"/>
    </row>
    <row r="13" spans="1:63" ht="18" x14ac:dyDescent="0.3">
      <c r="A13" s="210" t="s">
        <v>314</v>
      </c>
      <c r="B13" s="210"/>
      <c r="C13" s="210"/>
      <c r="D13" s="210"/>
      <c r="E13" s="211"/>
      <c r="F13" s="210"/>
      <c r="G13" s="210"/>
      <c r="H13" s="210"/>
      <c r="I13" s="211"/>
      <c r="J13" s="210"/>
      <c r="K13" s="210"/>
      <c r="L13" s="210"/>
      <c r="M13" s="211"/>
      <c r="N13" s="210"/>
      <c r="O13" s="210"/>
      <c r="P13" s="210"/>
      <c r="Q13" s="211"/>
      <c r="R13" s="212">
        <f t="shared" si="0"/>
        <v>0</v>
      </c>
      <c r="S13" s="213">
        <f t="shared" si="2"/>
        <v>0</v>
      </c>
      <c r="T13" s="214"/>
      <c r="U13" s="214"/>
      <c r="V13" s="214"/>
      <c r="W13" s="214"/>
      <c r="X13" s="214"/>
      <c r="Y13" s="215"/>
      <c r="Z13" s="215"/>
      <c r="AA13" s="215"/>
      <c r="AB13" s="215"/>
      <c r="AC13" s="215"/>
      <c r="AD13" s="215"/>
      <c r="AE13" s="215"/>
      <c r="AF13" s="200"/>
      <c r="AG13" s="210" t="s">
        <v>314</v>
      </c>
      <c r="AH13" s="210"/>
      <c r="AI13" s="210"/>
      <c r="AJ13" s="210"/>
      <c r="AK13" s="211"/>
      <c r="AL13" s="210"/>
      <c r="AM13" s="210"/>
      <c r="AN13" s="210"/>
      <c r="AO13" s="211"/>
      <c r="AP13" s="210"/>
      <c r="AQ13" s="210"/>
      <c r="AR13" s="210"/>
      <c r="AS13" s="211"/>
      <c r="AT13" s="210"/>
      <c r="AU13" s="210"/>
      <c r="AV13" s="210"/>
      <c r="AW13" s="211"/>
      <c r="AX13" s="212">
        <f t="shared" si="1"/>
        <v>0</v>
      </c>
      <c r="AY13" s="213">
        <f t="shared" si="3"/>
        <v>0</v>
      </c>
      <c r="AZ13" s="215"/>
      <c r="BA13" s="215"/>
      <c r="BB13" s="215"/>
      <c r="BC13" s="215"/>
      <c r="BD13" s="215"/>
      <c r="BE13" s="215"/>
      <c r="BF13" s="215"/>
      <c r="BG13" s="215"/>
      <c r="BH13" s="215"/>
      <c r="BI13" s="215"/>
      <c r="BJ13" s="215"/>
      <c r="BK13" s="215"/>
    </row>
    <row r="14" spans="1:63" ht="18" x14ac:dyDescent="0.3">
      <c r="A14" s="210" t="s">
        <v>315</v>
      </c>
      <c r="B14" s="210"/>
      <c r="C14" s="210"/>
      <c r="D14" s="210"/>
      <c r="E14" s="211"/>
      <c r="F14" s="210"/>
      <c r="G14" s="210"/>
      <c r="H14" s="210"/>
      <c r="I14" s="211"/>
      <c r="J14" s="210"/>
      <c r="K14" s="210"/>
      <c r="L14" s="210"/>
      <c r="M14" s="211"/>
      <c r="N14" s="210"/>
      <c r="O14" s="210"/>
      <c r="P14" s="210"/>
      <c r="Q14" s="211"/>
      <c r="R14" s="212">
        <f t="shared" si="0"/>
        <v>0</v>
      </c>
      <c r="S14" s="213">
        <f t="shared" si="2"/>
        <v>0</v>
      </c>
      <c r="T14" s="214"/>
      <c r="U14" s="214"/>
      <c r="V14" s="214"/>
      <c r="W14" s="214"/>
      <c r="X14" s="214"/>
      <c r="Y14" s="215"/>
      <c r="Z14" s="215"/>
      <c r="AA14" s="215"/>
      <c r="AB14" s="215"/>
      <c r="AC14" s="215"/>
      <c r="AD14" s="215"/>
      <c r="AE14" s="215"/>
      <c r="AF14" s="200"/>
      <c r="AG14" s="210" t="s">
        <v>315</v>
      </c>
      <c r="AH14" s="210"/>
      <c r="AI14" s="210"/>
      <c r="AJ14" s="210"/>
      <c r="AK14" s="211"/>
      <c r="AL14" s="210"/>
      <c r="AM14" s="210"/>
      <c r="AN14" s="210"/>
      <c r="AO14" s="211"/>
      <c r="AP14" s="210"/>
      <c r="AQ14" s="210"/>
      <c r="AR14" s="210"/>
      <c r="AS14" s="211"/>
      <c r="AT14" s="210"/>
      <c r="AU14" s="210"/>
      <c r="AV14" s="210"/>
      <c r="AW14" s="211"/>
      <c r="AX14" s="212">
        <f t="shared" si="1"/>
        <v>0</v>
      </c>
      <c r="AY14" s="213">
        <f t="shared" si="3"/>
        <v>0</v>
      </c>
      <c r="AZ14" s="215"/>
      <c r="BA14" s="215"/>
      <c r="BB14" s="215"/>
      <c r="BC14" s="215"/>
      <c r="BD14" s="215"/>
      <c r="BE14" s="215"/>
      <c r="BF14" s="215"/>
      <c r="BG14" s="215"/>
      <c r="BH14" s="215"/>
      <c r="BI14" s="215"/>
      <c r="BJ14" s="215"/>
      <c r="BK14" s="215"/>
    </row>
    <row r="15" spans="1:63" ht="18" x14ac:dyDescent="0.3">
      <c r="A15" s="210" t="s">
        <v>316</v>
      </c>
      <c r="B15" s="210"/>
      <c r="C15" s="210"/>
      <c r="D15" s="210"/>
      <c r="E15" s="211"/>
      <c r="F15" s="210"/>
      <c r="G15" s="210"/>
      <c r="H15" s="210"/>
      <c r="I15" s="211"/>
      <c r="J15" s="210"/>
      <c r="K15" s="210"/>
      <c r="L15" s="210"/>
      <c r="M15" s="211"/>
      <c r="N15" s="210"/>
      <c r="O15" s="210"/>
      <c r="P15" s="210"/>
      <c r="Q15" s="211"/>
      <c r="R15" s="212">
        <f t="shared" si="0"/>
        <v>0</v>
      </c>
      <c r="S15" s="213">
        <f t="shared" si="2"/>
        <v>0</v>
      </c>
      <c r="T15" s="214"/>
      <c r="U15" s="214"/>
      <c r="V15" s="214"/>
      <c r="W15" s="214"/>
      <c r="X15" s="214"/>
      <c r="Y15" s="215"/>
      <c r="Z15" s="215"/>
      <c r="AA15" s="215"/>
      <c r="AB15" s="215"/>
      <c r="AC15" s="215"/>
      <c r="AD15" s="215"/>
      <c r="AE15" s="215"/>
      <c r="AF15" s="200"/>
      <c r="AG15" s="210" t="s">
        <v>316</v>
      </c>
      <c r="AH15" s="210"/>
      <c r="AI15" s="210"/>
      <c r="AJ15" s="210"/>
      <c r="AK15" s="211"/>
      <c r="AL15" s="210"/>
      <c r="AM15" s="210"/>
      <c r="AN15" s="210"/>
      <c r="AO15" s="211"/>
      <c r="AP15" s="210"/>
      <c r="AQ15" s="210"/>
      <c r="AR15" s="210"/>
      <c r="AS15" s="211"/>
      <c r="AT15" s="210"/>
      <c r="AU15" s="210"/>
      <c r="AV15" s="210"/>
      <c r="AW15" s="211"/>
      <c r="AX15" s="212">
        <f t="shared" si="1"/>
        <v>0</v>
      </c>
      <c r="AY15" s="213">
        <f t="shared" si="3"/>
        <v>0</v>
      </c>
      <c r="AZ15" s="215"/>
      <c r="BA15" s="215"/>
      <c r="BB15" s="215"/>
      <c r="BC15" s="215"/>
      <c r="BD15" s="215"/>
      <c r="BE15" s="215"/>
      <c r="BF15" s="215"/>
      <c r="BG15" s="215"/>
      <c r="BH15" s="215"/>
      <c r="BI15" s="215"/>
      <c r="BJ15" s="215"/>
      <c r="BK15" s="215"/>
    </row>
    <row r="16" spans="1:63" ht="18" x14ac:dyDescent="0.3">
      <c r="A16" s="210" t="s">
        <v>317</v>
      </c>
      <c r="B16" s="210"/>
      <c r="C16" s="210"/>
      <c r="D16" s="210"/>
      <c r="E16" s="211"/>
      <c r="F16" s="210"/>
      <c r="G16" s="210"/>
      <c r="H16" s="210"/>
      <c r="I16" s="211"/>
      <c r="J16" s="210"/>
      <c r="K16" s="210"/>
      <c r="L16" s="210"/>
      <c r="M16" s="211"/>
      <c r="N16" s="210"/>
      <c r="O16" s="210"/>
      <c r="P16" s="210"/>
      <c r="Q16" s="211"/>
      <c r="R16" s="212">
        <f t="shared" si="0"/>
        <v>0</v>
      </c>
      <c r="S16" s="213">
        <f t="shared" si="2"/>
        <v>0</v>
      </c>
      <c r="T16" s="214"/>
      <c r="U16" s="214"/>
      <c r="V16" s="214"/>
      <c r="W16" s="214"/>
      <c r="X16" s="214"/>
      <c r="Y16" s="215"/>
      <c r="Z16" s="215"/>
      <c r="AA16" s="215"/>
      <c r="AB16" s="215"/>
      <c r="AC16" s="215"/>
      <c r="AD16" s="215"/>
      <c r="AE16" s="215"/>
      <c r="AF16" s="200"/>
      <c r="AG16" s="210" t="s">
        <v>317</v>
      </c>
      <c r="AH16" s="210"/>
      <c r="AI16" s="210"/>
      <c r="AJ16" s="210"/>
      <c r="AK16" s="211"/>
      <c r="AL16" s="210"/>
      <c r="AM16" s="210"/>
      <c r="AN16" s="210"/>
      <c r="AO16" s="211"/>
      <c r="AP16" s="210"/>
      <c r="AQ16" s="210"/>
      <c r="AR16" s="210"/>
      <c r="AS16" s="211"/>
      <c r="AT16" s="210"/>
      <c r="AU16" s="210"/>
      <c r="AV16" s="210"/>
      <c r="AW16" s="211"/>
      <c r="AX16" s="212">
        <f t="shared" si="1"/>
        <v>0</v>
      </c>
      <c r="AY16" s="213">
        <f t="shared" si="3"/>
        <v>0</v>
      </c>
      <c r="AZ16" s="215"/>
      <c r="BA16" s="215"/>
      <c r="BB16" s="215"/>
      <c r="BC16" s="215"/>
      <c r="BD16" s="215"/>
      <c r="BE16" s="215"/>
      <c r="BF16" s="215"/>
      <c r="BG16" s="215"/>
      <c r="BH16" s="215"/>
      <c r="BI16" s="215"/>
      <c r="BJ16" s="215"/>
      <c r="BK16" s="215"/>
    </row>
    <row r="17" spans="1:63" ht="18" x14ac:dyDescent="0.3">
      <c r="A17" s="210" t="s">
        <v>318</v>
      </c>
      <c r="B17" s="210"/>
      <c r="C17" s="210"/>
      <c r="D17" s="210"/>
      <c r="E17" s="211"/>
      <c r="F17" s="210"/>
      <c r="G17" s="210"/>
      <c r="H17" s="210"/>
      <c r="I17" s="211"/>
      <c r="J17" s="210"/>
      <c r="K17" s="210"/>
      <c r="L17" s="210"/>
      <c r="M17" s="211"/>
      <c r="N17" s="210"/>
      <c r="O17" s="210"/>
      <c r="P17" s="210"/>
      <c r="Q17" s="211"/>
      <c r="R17" s="212">
        <f t="shared" si="0"/>
        <v>0</v>
      </c>
      <c r="S17" s="213">
        <f t="shared" si="2"/>
        <v>0</v>
      </c>
      <c r="T17" s="214"/>
      <c r="U17" s="214"/>
      <c r="V17" s="214"/>
      <c r="W17" s="214"/>
      <c r="X17" s="214"/>
      <c r="Y17" s="215"/>
      <c r="Z17" s="215"/>
      <c r="AA17" s="215"/>
      <c r="AB17" s="215"/>
      <c r="AC17" s="215"/>
      <c r="AD17" s="215"/>
      <c r="AE17" s="215"/>
      <c r="AF17" s="200"/>
      <c r="AG17" s="210" t="s">
        <v>318</v>
      </c>
      <c r="AH17" s="210"/>
      <c r="AI17" s="210"/>
      <c r="AJ17" s="210"/>
      <c r="AK17" s="211"/>
      <c r="AL17" s="210"/>
      <c r="AM17" s="210"/>
      <c r="AN17" s="210"/>
      <c r="AO17" s="211"/>
      <c r="AP17" s="210"/>
      <c r="AQ17" s="210"/>
      <c r="AR17" s="210"/>
      <c r="AS17" s="211"/>
      <c r="AT17" s="210"/>
      <c r="AU17" s="210"/>
      <c r="AV17" s="210"/>
      <c r="AW17" s="211"/>
      <c r="AX17" s="212">
        <f t="shared" si="1"/>
        <v>0</v>
      </c>
      <c r="AY17" s="213">
        <f t="shared" si="3"/>
        <v>0</v>
      </c>
      <c r="AZ17" s="215"/>
      <c r="BA17" s="215"/>
      <c r="BB17" s="215"/>
      <c r="BC17" s="215"/>
      <c r="BD17" s="215"/>
      <c r="BE17" s="215"/>
      <c r="BF17" s="215"/>
      <c r="BG17" s="215"/>
      <c r="BH17" s="215"/>
      <c r="BI17" s="215"/>
      <c r="BJ17" s="215"/>
      <c r="BK17" s="215"/>
    </row>
    <row r="18" spans="1:63" ht="18" x14ac:dyDescent="0.3">
      <c r="A18" s="210" t="s">
        <v>319</v>
      </c>
      <c r="B18" s="210"/>
      <c r="C18" s="210"/>
      <c r="D18" s="210"/>
      <c r="E18" s="211"/>
      <c r="F18" s="210"/>
      <c r="G18" s="210"/>
      <c r="H18" s="210"/>
      <c r="I18" s="211"/>
      <c r="J18" s="210"/>
      <c r="K18" s="210"/>
      <c r="L18" s="210"/>
      <c r="M18" s="211"/>
      <c r="N18" s="210"/>
      <c r="O18" s="210"/>
      <c r="P18" s="210"/>
      <c r="Q18" s="211"/>
      <c r="R18" s="212">
        <f t="shared" si="0"/>
        <v>0</v>
      </c>
      <c r="S18" s="213">
        <f t="shared" si="2"/>
        <v>0</v>
      </c>
      <c r="T18" s="214"/>
      <c r="U18" s="214"/>
      <c r="V18" s="214"/>
      <c r="W18" s="214"/>
      <c r="X18" s="214"/>
      <c r="Y18" s="215"/>
      <c r="Z18" s="215"/>
      <c r="AA18" s="215"/>
      <c r="AB18" s="215"/>
      <c r="AC18" s="215"/>
      <c r="AD18" s="215"/>
      <c r="AE18" s="215"/>
      <c r="AF18" s="200"/>
      <c r="AG18" s="210" t="s">
        <v>319</v>
      </c>
      <c r="AH18" s="210"/>
      <c r="AI18" s="210"/>
      <c r="AJ18" s="210"/>
      <c r="AK18" s="211"/>
      <c r="AL18" s="210"/>
      <c r="AM18" s="210"/>
      <c r="AN18" s="210"/>
      <c r="AO18" s="211"/>
      <c r="AP18" s="210"/>
      <c r="AQ18" s="210"/>
      <c r="AR18" s="210"/>
      <c r="AS18" s="211"/>
      <c r="AT18" s="210"/>
      <c r="AU18" s="210"/>
      <c r="AV18" s="210"/>
      <c r="AW18" s="211"/>
      <c r="AX18" s="212">
        <f t="shared" si="1"/>
        <v>0</v>
      </c>
      <c r="AY18" s="213">
        <f t="shared" si="3"/>
        <v>0</v>
      </c>
      <c r="AZ18" s="215"/>
      <c r="BA18" s="215"/>
      <c r="BB18" s="215"/>
      <c r="BC18" s="215"/>
      <c r="BD18" s="215"/>
      <c r="BE18" s="215"/>
      <c r="BF18" s="215"/>
      <c r="BG18" s="215"/>
      <c r="BH18" s="215"/>
      <c r="BI18" s="215"/>
      <c r="BJ18" s="215"/>
      <c r="BK18" s="215"/>
    </row>
    <row r="19" spans="1:63" ht="18" x14ac:dyDescent="0.3">
      <c r="A19" s="210" t="s">
        <v>320</v>
      </c>
      <c r="B19" s="210"/>
      <c r="C19" s="210"/>
      <c r="D19" s="210"/>
      <c r="E19" s="211"/>
      <c r="F19" s="210"/>
      <c r="G19" s="210"/>
      <c r="H19" s="210"/>
      <c r="I19" s="211"/>
      <c r="J19" s="210"/>
      <c r="K19" s="210"/>
      <c r="L19" s="210"/>
      <c r="M19" s="211"/>
      <c r="N19" s="210"/>
      <c r="O19" s="210"/>
      <c r="P19" s="210"/>
      <c r="Q19" s="211"/>
      <c r="R19" s="212">
        <f t="shared" si="0"/>
        <v>0</v>
      </c>
      <c r="S19" s="213">
        <f t="shared" si="2"/>
        <v>0</v>
      </c>
      <c r="T19" s="214"/>
      <c r="U19" s="214"/>
      <c r="V19" s="214"/>
      <c r="W19" s="214"/>
      <c r="X19" s="214"/>
      <c r="Y19" s="215"/>
      <c r="Z19" s="215"/>
      <c r="AA19" s="215"/>
      <c r="AB19" s="215"/>
      <c r="AC19" s="215"/>
      <c r="AD19" s="215"/>
      <c r="AE19" s="215"/>
      <c r="AF19" s="200"/>
      <c r="AG19" s="210" t="s">
        <v>320</v>
      </c>
      <c r="AH19" s="210"/>
      <c r="AI19" s="210"/>
      <c r="AJ19" s="210"/>
      <c r="AK19" s="211"/>
      <c r="AL19" s="210"/>
      <c r="AM19" s="210"/>
      <c r="AN19" s="210"/>
      <c r="AO19" s="211"/>
      <c r="AP19" s="210"/>
      <c r="AQ19" s="210"/>
      <c r="AR19" s="210"/>
      <c r="AS19" s="211"/>
      <c r="AT19" s="210"/>
      <c r="AU19" s="210"/>
      <c r="AV19" s="210"/>
      <c r="AW19" s="211"/>
      <c r="AX19" s="212">
        <f t="shared" si="1"/>
        <v>0</v>
      </c>
      <c r="AY19" s="213">
        <f t="shared" si="3"/>
        <v>0</v>
      </c>
      <c r="AZ19" s="215"/>
      <c r="BA19" s="215"/>
      <c r="BB19" s="215"/>
      <c r="BC19" s="215"/>
      <c r="BD19" s="215"/>
      <c r="BE19" s="215"/>
      <c r="BF19" s="215"/>
      <c r="BG19" s="215"/>
      <c r="BH19" s="215"/>
      <c r="BI19" s="210"/>
      <c r="BJ19" s="210"/>
      <c r="BK19" s="210"/>
    </row>
    <row r="20" spans="1:63" ht="18" x14ac:dyDescent="0.3">
      <c r="A20" s="210" t="s">
        <v>321</v>
      </c>
      <c r="B20" s="210"/>
      <c r="C20" s="210"/>
      <c r="D20" s="210"/>
      <c r="E20" s="211"/>
      <c r="F20" s="210"/>
      <c r="G20" s="210"/>
      <c r="H20" s="210"/>
      <c r="I20" s="211"/>
      <c r="J20" s="210"/>
      <c r="K20" s="210"/>
      <c r="L20" s="210"/>
      <c r="M20" s="211"/>
      <c r="N20" s="210"/>
      <c r="O20" s="210"/>
      <c r="P20" s="210"/>
      <c r="Q20" s="211"/>
      <c r="R20" s="212">
        <f t="shared" si="0"/>
        <v>0</v>
      </c>
      <c r="S20" s="213">
        <f t="shared" si="2"/>
        <v>0</v>
      </c>
      <c r="T20" s="214"/>
      <c r="U20" s="214"/>
      <c r="V20" s="214"/>
      <c r="W20" s="214"/>
      <c r="X20" s="214"/>
      <c r="Y20" s="215"/>
      <c r="Z20" s="215"/>
      <c r="AA20" s="215"/>
      <c r="AB20" s="215"/>
      <c r="AC20" s="215"/>
      <c r="AD20" s="215"/>
      <c r="AE20" s="215"/>
      <c r="AF20" s="200"/>
      <c r="AG20" s="210" t="s">
        <v>321</v>
      </c>
      <c r="AH20" s="210"/>
      <c r="AI20" s="210"/>
      <c r="AJ20" s="210"/>
      <c r="AK20" s="211"/>
      <c r="AL20" s="210"/>
      <c r="AM20" s="210"/>
      <c r="AN20" s="210"/>
      <c r="AO20" s="211"/>
      <c r="AP20" s="210"/>
      <c r="AQ20" s="210"/>
      <c r="AR20" s="210"/>
      <c r="AS20" s="211"/>
      <c r="AT20" s="210"/>
      <c r="AU20" s="210"/>
      <c r="AV20" s="210"/>
      <c r="AW20" s="211"/>
      <c r="AX20" s="212">
        <f t="shared" si="1"/>
        <v>0</v>
      </c>
      <c r="AY20" s="213">
        <f t="shared" si="3"/>
        <v>0</v>
      </c>
      <c r="AZ20" s="215"/>
      <c r="BA20" s="215"/>
      <c r="BB20" s="215"/>
      <c r="BC20" s="215"/>
      <c r="BD20" s="215"/>
      <c r="BE20" s="215"/>
      <c r="BF20" s="215"/>
      <c r="BG20" s="215"/>
      <c r="BH20" s="215"/>
      <c r="BI20" s="210"/>
      <c r="BJ20" s="210"/>
      <c r="BK20" s="210"/>
    </row>
    <row r="21" spans="1:63" ht="18" x14ac:dyDescent="0.3">
      <c r="A21" s="210" t="s">
        <v>322</v>
      </c>
      <c r="B21" s="210"/>
      <c r="C21" s="210"/>
      <c r="D21" s="210"/>
      <c r="E21" s="211"/>
      <c r="F21" s="210"/>
      <c r="G21" s="210"/>
      <c r="H21" s="210"/>
      <c r="I21" s="211"/>
      <c r="J21" s="210"/>
      <c r="K21" s="210"/>
      <c r="L21" s="210"/>
      <c r="M21" s="211"/>
      <c r="N21" s="210"/>
      <c r="O21" s="210"/>
      <c r="P21" s="210"/>
      <c r="Q21" s="211"/>
      <c r="R21" s="212">
        <f t="shared" si="0"/>
        <v>0</v>
      </c>
      <c r="S21" s="213">
        <f t="shared" si="2"/>
        <v>0</v>
      </c>
      <c r="T21" s="214"/>
      <c r="U21" s="214"/>
      <c r="V21" s="214"/>
      <c r="W21" s="214"/>
      <c r="X21" s="214"/>
      <c r="Y21" s="215"/>
      <c r="Z21" s="215"/>
      <c r="AA21" s="215"/>
      <c r="AB21" s="215"/>
      <c r="AC21" s="215"/>
      <c r="AD21" s="215"/>
      <c r="AE21" s="215"/>
      <c r="AF21" s="200"/>
      <c r="AG21" s="210" t="s">
        <v>322</v>
      </c>
      <c r="AH21" s="210"/>
      <c r="AI21" s="210"/>
      <c r="AJ21" s="210"/>
      <c r="AK21" s="211"/>
      <c r="AL21" s="210"/>
      <c r="AM21" s="210"/>
      <c r="AN21" s="210"/>
      <c r="AO21" s="211"/>
      <c r="AP21" s="210"/>
      <c r="AQ21" s="210"/>
      <c r="AR21" s="210"/>
      <c r="AS21" s="211"/>
      <c r="AT21" s="210"/>
      <c r="AU21" s="210"/>
      <c r="AV21" s="210"/>
      <c r="AW21" s="211"/>
      <c r="AX21" s="212">
        <f t="shared" si="1"/>
        <v>0</v>
      </c>
      <c r="AY21" s="213">
        <f t="shared" si="3"/>
        <v>0</v>
      </c>
      <c r="AZ21" s="215"/>
      <c r="BA21" s="215"/>
      <c r="BB21" s="215"/>
      <c r="BC21" s="215"/>
      <c r="BD21" s="215"/>
      <c r="BE21" s="215"/>
      <c r="BF21" s="215"/>
      <c r="BG21" s="215"/>
      <c r="BH21" s="215"/>
      <c r="BI21" s="210"/>
      <c r="BJ21" s="210"/>
      <c r="BK21" s="210"/>
    </row>
    <row r="22" spans="1:63" ht="18" x14ac:dyDescent="0.3">
      <c r="A22" s="210" t="s">
        <v>323</v>
      </c>
      <c r="B22" s="210"/>
      <c r="C22" s="210"/>
      <c r="D22" s="210"/>
      <c r="E22" s="211"/>
      <c r="F22" s="210"/>
      <c r="G22" s="210"/>
      <c r="H22" s="210"/>
      <c r="I22" s="211"/>
      <c r="J22" s="210"/>
      <c r="K22" s="210"/>
      <c r="L22" s="210"/>
      <c r="M22" s="211"/>
      <c r="N22" s="210"/>
      <c r="O22" s="210"/>
      <c r="P22" s="210"/>
      <c r="Q22" s="211"/>
      <c r="R22" s="212">
        <f t="shared" si="0"/>
        <v>0</v>
      </c>
      <c r="S22" s="213">
        <f t="shared" si="2"/>
        <v>0</v>
      </c>
      <c r="T22" s="214"/>
      <c r="U22" s="214"/>
      <c r="V22" s="214"/>
      <c r="W22" s="214"/>
      <c r="X22" s="214"/>
      <c r="Y22" s="215"/>
      <c r="Z22" s="215"/>
      <c r="AA22" s="215"/>
      <c r="AB22" s="215"/>
      <c r="AC22" s="215"/>
      <c r="AD22" s="215"/>
      <c r="AE22" s="215"/>
      <c r="AF22" s="200"/>
      <c r="AG22" s="210" t="s">
        <v>323</v>
      </c>
      <c r="AH22" s="210"/>
      <c r="AI22" s="210"/>
      <c r="AJ22" s="210"/>
      <c r="AK22" s="211"/>
      <c r="AL22" s="210"/>
      <c r="AM22" s="210"/>
      <c r="AN22" s="210"/>
      <c r="AO22" s="211"/>
      <c r="AP22" s="210"/>
      <c r="AQ22" s="210"/>
      <c r="AR22" s="210"/>
      <c r="AS22" s="211"/>
      <c r="AT22" s="210"/>
      <c r="AU22" s="210"/>
      <c r="AV22" s="210"/>
      <c r="AW22" s="211"/>
      <c r="AX22" s="212">
        <f t="shared" si="1"/>
        <v>0</v>
      </c>
      <c r="AY22" s="213">
        <f t="shared" si="3"/>
        <v>0</v>
      </c>
      <c r="AZ22" s="215"/>
      <c r="BA22" s="215"/>
      <c r="BB22" s="215"/>
      <c r="BC22" s="215"/>
      <c r="BD22" s="215"/>
      <c r="BE22" s="215"/>
      <c r="BF22" s="215"/>
      <c r="BG22" s="215"/>
      <c r="BH22" s="215"/>
      <c r="BI22" s="215"/>
      <c r="BJ22" s="215"/>
      <c r="BK22" s="215"/>
    </row>
    <row r="23" spans="1:63" ht="18" x14ac:dyDescent="0.3">
      <c r="A23" s="210" t="s">
        <v>324</v>
      </c>
      <c r="B23" s="210"/>
      <c r="C23" s="210"/>
      <c r="D23" s="210"/>
      <c r="E23" s="211"/>
      <c r="F23" s="210"/>
      <c r="G23" s="210"/>
      <c r="H23" s="210"/>
      <c r="I23" s="211"/>
      <c r="J23" s="210"/>
      <c r="K23" s="210"/>
      <c r="L23" s="210"/>
      <c r="M23" s="211"/>
      <c r="N23" s="210"/>
      <c r="O23" s="210"/>
      <c r="P23" s="210"/>
      <c r="Q23" s="211"/>
      <c r="R23" s="212">
        <f t="shared" si="0"/>
        <v>0</v>
      </c>
      <c r="S23" s="213">
        <f t="shared" si="2"/>
        <v>0</v>
      </c>
      <c r="T23" s="214"/>
      <c r="U23" s="214"/>
      <c r="V23" s="214"/>
      <c r="W23" s="214"/>
      <c r="X23" s="214"/>
      <c r="Y23" s="215"/>
      <c r="Z23" s="215"/>
      <c r="AA23" s="215"/>
      <c r="AB23" s="215"/>
      <c r="AC23" s="215"/>
      <c r="AD23" s="215"/>
      <c r="AE23" s="215"/>
      <c r="AF23" s="200"/>
      <c r="AG23" s="210" t="s">
        <v>324</v>
      </c>
      <c r="AH23" s="210"/>
      <c r="AI23" s="210"/>
      <c r="AJ23" s="210"/>
      <c r="AK23" s="211"/>
      <c r="AL23" s="210"/>
      <c r="AM23" s="210"/>
      <c r="AN23" s="210"/>
      <c r="AO23" s="211"/>
      <c r="AP23" s="210"/>
      <c r="AQ23" s="210"/>
      <c r="AR23" s="210"/>
      <c r="AS23" s="211"/>
      <c r="AT23" s="210"/>
      <c r="AU23" s="210"/>
      <c r="AV23" s="210"/>
      <c r="AW23" s="211"/>
      <c r="AX23" s="212">
        <f t="shared" si="1"/>
        <v>0</v>
      </c>
      <c r="AY23" s="213">
        <f t="shared" si="3"/>
        <v>0</v>
      </c>
      <c r="AZ23" s="215"/>
      <c r="BA23" s="215"/>
      <c r="BB23" s="215"/>
      <c r="BC23" s="215"/>
      <c r="BD23" s="215"/>
      <c r="BE23" s="215"/>
      <c r="BF23" s="215"/>
      <c r="BG23" s="215"/>
      <c r="BH23" s="215"/>
      <c r="BI23" s="215"/>
      <c r="BJ23" s="215"/>
      <c r="BK23" s="215"/>
    </row>
    <row r="24" spans="1:63" ht="18" x14ac:dyDescent="0.3">
      <c r="A24" s="210" t="s">
        <v>325</v>
      </c>
      <c r="B24" s="210"/>
      <c r="C24" s="210"/>
      <c r="D24" s="210"/>
      <c r="E24" s="211"/>
      <c r="F24" s="210"/>
      <c r="G24" s="210"/>
      <c r="H24" s="210"/>
      <c r="I24" s="211"/>
      <c r="J24" s="210"/>
      <c r="K24" s="210"/>
      <c r="L24" s="210"/>
      <c r="M24" s="211"/>
      <c r="N24" s="210"/>
      <c r="O24" s="210"/>
      <c r="P24" s="210"/>
      <c r="Q24" s="211"/>
      <c r="R24" s="212">
        <f t="shared" si="0"/>
        <v>0</v>
      </c>
      <c r="S24" s="213">
        <f t="shared" si="2"/>
        <v>0</v>
      </c>
      <c r="T24" s="214"/>
      <c r="U24" s="214"/>
      <c r="V24" s="214"/>
      <c r="W24" s="214"/>
      <c r="X24" s="214"/>
      <c r="Y24" s="215"/>
      <c r="Z24" s="215"/>
      <c r="AA24" s="215"/>
      <c r="AB24" s="215"/>
      <c r="AC24" s="215"/>
      <c r="AD24" s="215"/>
      <c r="AE24" s="215"/>
      <c r="AF24" s="200"/>
      <c r="AG24" s="210" t="s">
        <v>325</v>
      </c>
      <c r="AH24" s="210"/>
      <c r="AI24" s="210"/>
      <c r="AJ24" s="210"/>
      <c r="AK24" s="211"/>
      <c r="AL24" s="210"/>
      <c r="AM24" s="210"/>
      <c r="AN24" s="210"/>
      <c r="AO24" s="211"/>
      <c r="AP24" s="210"/>
      <c r="AQ24" s="210"/>
      <c r="AR24" s="210"/>
      <c r="AS24" s="211"/>
      <c r="AT24" s="210"/>
      <c r="AU24" s="210"/>
      <c r="AV24" s="210"/>
      <c r="AW24" s="211"/>
      <c r="AX24" s="212">
        <f t="shared" si="1"/>
        <v>0</v>
      </c>
      <c r="AY24" s="213">
        <f t="shared" si="3"/>
        <v>0</v>
      </c>
      <c r="AZ24" s="215"/>
      <c r="BA24" s="215"/>
      <c r="BB24" s="215"/>
      <c r="BC24" s="215"/>
      <c r="BD24" s="215"/>
      <c r="BE24" s="215"/>
      <c r="BF24" s="215"/>
      <c r="BG24" s="215"/>
      <c r="BH24" s="215"/>
      <c r="BI24" s="215"/>
      <c r="BJ24" s="215"/>
      <c r="BK24" s="215"/>
    </row>
    <row r="25" spans="1:63" ht="18" x14ac:dyDescent="0.3">
      <c r="A25" s="210" t="s">
        <v>326</v>
      </c>
      <c r="B25" s="210"/>
      <c r="C25" s="210"/>
      <c r="D25" s="210"/>
      <c r="E25" s="211"/>
      <c r="F25" s="210"/>
      <c r="G25" s="210"/>
      <c r="H25" s="210"/>
      <c r="I25" s="211"/>
      <c r="J25" s="210"/>
      <c r="K25" s="210"/>
      <c r="L25" s="210"/>
      <c r="M25" s="211"/>
      <c r="N25" s="210"/>
      <c r="O25" s="210"/>
      <c r="P25" s="210"/>
      <c r="Q25" s="211"/>
      <c r="R25" s="212">
        <f t="shared" si="0"/>
        <v>0</v>
      </c>
      <c r="S25" s="213">
        <f t="shared" si="2"/>
        <v>0</v>
      </c>
      <c r="T25" s="214"/>
      <c r="U25" s="214"/>
      <c r="V25" s="214"/>
      <c r="W25" s="214"/>
      <c r="X25" s="214"/>
      <c r="Y25" s="215"/>
      <c r="Z25" s="215"/>
      <c r="AA25" s="215"/>
      <c r="AB25" s="215"/>
      <c r="AC25" s="215"/>
      <c r="AD25" s="215"/>
      <c r="AE25" s="215"/>
      <c r="AF25" s="200"/>
      <c r="AG25" s="210" t="s">
        <v>326</v>
      </c>
      <c r="AH25" s="210"/>
      <c r="AI25" s="210"/>
      <c r="AJ25" s="210"/>
      <c r="AK25" s="211"/>
      <c r="AL25" s="210"/>
      <c r="AM25" s="210"/>
      <c r="AN25" s="210"/>
      <c r="AO25" s="211"/>
      <c r="AP25" s="210"/>
      <c r="AQ25" s="210"/>
      <c r="AR25" s="210"/>
      <c r="AS25" s="211"/>
      <c r="AT25" s="210"/>
      <c r="AU25" s="210"/>
      <c r="AV25" s="210"/>
      <c r="AW25" s="211"/>
      <c r="AX25" s="212">
        <f t="shared" si="1"/>
        <v>0</v>
      </c>
      <c r="AY25" s="213">
        <f t="shared" si="3"/>
        <v>0</v>
      </c>
      <c r="AZ25" s="215"/>
      <c r="BA25" s="215"/>
      <c r="BB25" s="215"/>
      <c r="BC25" s="215"/>
      <c r="BD25" s="215"/>
      <c r="BE25" s="215"/>
      <c r="BF25" s="215"/>
      <c r="BG25" s="215"/>
      <c r="BH25" s="215"/>
      <c r="BI25" s="215"/>
      <c r="BJ25" s="215"/>
      <c r="BK25" s="215"/>
    </row>
    <row r="26" spans="1:63" ht="18" x14ac:dyDescent="0.3">
      <c r="A26" s="210" t="s">
        <v>327</v>
      </c>
      <c r="B26" s="210"/>
      <c r="C26" s="210"/>
      <c r="D26" s="210"/>
      <c r="E26" s="211"/>
      <c r="F26" s="210"/>
      <c r="G26" s="210"/>
      <c r="H26" s="210"/>
      <c r="I26" s="211"/>
      <c r="J26" s="210"/>
      <c r="K26" s="210"/>
      <c r="L26" s="210"/>
      <c r="M26" s="211"/>
      <c r="N26" s="210"/>
      <c r="O26" s="210"/>
      <c r="P26" s="210"/>
      <c r="Q26" s="211"/>
      <c r="R26" s="212">
        <f t="shared" si="0"/>
        <v>0</v>
      </c>
      <c r="S26" s="213">
        <f t="shared" si="2"/>
        <v>0</v>
      </c>
      <c r="T26" s="214"/>
      <c r="U26" s="214"/>
      <c r="V26" s="214"/>
      <c r="W26" s="214"/>
      <c r="X26" s="214"/>
      <c r="Y26" s="215"/>
      <c r="Z26" s="215"/>
      <c r="AA26" s="215"/>
      <c r="AB26" s="215"/>
      <c r="AC26" s="215"/>
      <c r="AD26" s="215"/>
      <c r="AE26" s="215"/>
      <c r="AF26" s="200"/>
      <c r="AG26" s="210" t="s">
        <v>327</v>
      </c>
      <c r="AH26" s="210"/>
      <c r="AI26" s="210"/>
      <c r="AJ26" s="210"/>
      <c r="AK26" s="211"/>
      <c r="AL26" s="210"/>
      <c r="AM26" s="210"/>
      <c r="AN26" s="210"/>
      <c r="AO26" s="211"/>
      <c r="AP26" s="210"/>
      <c r="AQ26" s="210"/>
      <c r="AR26" s="210"/>
      <c r="AS26" s="211"/>
      <c r="AT26" s="210"/>
      <c r="AU26" s="210"/>
      <c r="AV26" s="210"/>
      <c r="AW26" s="211"/>
      <c r="AX26" s="212">
        <f t="shared" si="1"/>
        <v>0</v>
      </c>
      <c r="AY26" s="213">
        <f t="shared" si="3"/>
        <v>0</v>
      </c>
      <c r="AZ26" s="215"/>
      <c r="BA26" s="215"/>
      <c r="BB26" s="215"/>
      <c r="BC26" s="215"/>
      <c r="BD26" s="215"/>
      <c r="BE26" s="215"/>
      <c r="BF26" s="215"/>
      <c r="BG26" s="215"/>
      <c r="BH26" s="215"/>
      <c r="BI26" s="215"/>
      <c r="BJ26" s="215"/>
      <c r="BK26" s="215"/>
    </row>
    <row r="27" spans="1:63" ht="18" x14ac:dyDescent="0.3">
      <c r="A27" s="210" t="s">
        <v>328</v>
      </c>
      <c r="B27" s="210"/>
      <c r="C27" s="210"/>
      <c r="D27" s="210"/>
      <c r="E27" s="211"/>
      <c r="F27" s="210"/>
      <c r="G27" s="210"/>
      <c r="H27" s="210"/>
      <c r="I27" s="211"/>
      <c r="J27" s="210"/>
      <c r="K27" s="210"/>
      <c r="L27" s="210"/>
      <c r="M27" s="211"/>
      <c r="N27" s="210"/>
      <c r="O27" s="210"/>
      <c r="P27" s="210"/>
      <c r="Q27" s="211"/>
      <c r="R27" s="212">
        <f t="shared" si="0"/>
        <v>0</v>
      </c>
      <c r="S27" s="213">
        <f t="shared" si="2"/>
        <v>0</v>
      </c>
      <c r="T27" s="214"/>
      <c r="U27" s="214"/>
      <c r="V27" s="214"/>
      <c r="W27" s="214"/>
      <c r="X27" s="214"/>
      <c r="Y27" s="215"/>
      <c r="Z27" s="215"/>
      <c r="AA27" s="215"/>
      <c r="AB27" s="215"/>
      <c r="AC27" s="215"/>
      <c r="AD27" s="215"/>
      <c r="AE27" s="215"/>
      <c r="AF27" s="200"/>
      <c r="AG27" s="210" t="s">
        <v>328</v>
      </c>
      <c r="AH27" s="210"/>
      <c r="AI27" s="210"/>
      <c r="AJ27" s="210"/>
      <c r="AK27" s="211"/>
      <c r="AL27" s="210"/>
      <c r="AM27" s="210"/>
      <c r="AN27" s="210"/>
      <c r="AO27" s="211"/>
      <c r="AP27" s="210"/>
      <c r="AQ27" s="210"/>
      <c r="AR27" s="210"/>
      <c r="AS27" s="211"/>
      <c r="AT27" s="210"/>
      <c r="AU27" s="210"/>
      <c r="AV27" s="210"/>
      <c r="AW27" s="211"/>
      <c r="AX27" s="212">
        <f t="shared" si="1"/>
        <v>0</v>
      </c>
      <c r="AY27" s="213">
        <f t="shared" si="3"/>
        <v>0</v>
      </c>
      <c r="AZ27" s="215"/>
      <c r="BA27" s="215"/>
      <c r="BB27" s="215"/>
      <c r="BC27" s="215"/>
      <c r="BD27" s="215"/>
      <c r="BE27" s="215"/>
      <c r="BF27" s="215"/>
      <c r="BG27" s="215"/>
      <c r="BH27" s="215"/>
      <c r="BI27" s="215"/>
      <c r="BJ27" s="215"/>
      <c r="BK27" s="215"/>
    </row>
    <row r="28" spans="1:63" ht="18" x14ac:dyDescent="0.3">
      <c r="A28" s="210" t="s">
        <v>329</v>
      </c>
      <c r="B28" s="210"/>
      <c r="C28" s="210"/>
      <c r="D28" s="210"/>
      <c r="E28" s="211"/>
      <c r="F28" s="210"/>
      <c r="G28" s="210"/>
      <c r="H28" s="210"/>
      <c r="I28" s="211"/>
      <c r="J28" s="210"/>
      <c r="K28" s="210"/>
      <c r="L28" s="210"/>
      <c r="M28" s="211"/>
      <c r="N28" s="210"/>
      <c r="O28" s="210"/>
      <c r="P28" s="210"/>
      <c r="Q28" s="211"/>
      <c r="R28" s="212">
        <f t="shared" si="0"/>
        <v>0</v>
      </c>
      <c r="S28" s="213">
        <f t="shared" si="2"/>
        <v>0</v>
      </c>
      <c r="T28" s="214"/>
      <c r="U28" s="214"/>
      <c r="V28" s="214"/>
      <c r="W28" s="214"/>
      <c r="X28" s="214"/>
      <c r="Y28" s="215"/>
      <c r="Z28" s="215"/>
      <c r="AA28" s="215"/>
      <c r="AB28" s="215"/>
      <c r="AC28" s="215"/>
      <c r="AD28" s="215"/>
      <c r="AE28" s="215"/>
      <c r="AF28" s="200"/>
      <c r="AG28" s="210" t="s">
        <v>329</v>
      </c>
      <c r="AH28" s="210"/>
      <c r="AI28" s="210"/>
      <c r="AJ28" s="210"/>
      <c r="AK28" s="211"/>
      <c r="AL28" s="210"/>
      <c r="AM28" s="210"/>
      <c r="AN28" s="210"/>
      <c r="AO28" s="211"/>
      <c r="AP28" s="210"/>
      <c r="AQ28" s="210"/>
      <c r="AR28" s="210"/>
      <c r="AS28" s="211"/>
      <c r="AT28" s="210"/>
      <c r="AU28" s="210"/>
      <c r="AV28" s="210"/>
      <c r="AW28" s="211"/>
      <c r="AX28" s="212">
        <f t="shared" si="1"/>
        <v>0</v>
      </c>
      <c r="AY28" s="213">
        <f t="shared" si="3"/>
        <v>0</v>
      </c>
      <c r="AZ28" s="215"/>
      <c r="BA28" s="215"/>
      <c r="BB28" s="215"/>
      <c r="BC28" s="215"/>
      <c r="BD28" s="215"/>
      <c r="BE28" s="215"/>
      <c r="BF28" s="215"/>
      <c r="BG28" s="215"/>
      <c r="BH28" s="215"/>
      <c r="BI28" s="215"/>
      <c r="BJ28" s="215"/>
      <c r="BK28" s="215"/>
    </row>
    <row r="29" spans="1:63" ht="18" x14ac:dyDescent="0.3">
      <c r="A29" s="210" t="s">
        <v>330</v>
      </c>
      <c r="B29" s="210"/>
      <c r="C29" s="210"/>
      <c r="D29" s="210"/>
      <c r="E29" s="211"/>
      <c r="F29" s="210"/>
      <c r="G29" s="210"/>
      <c r="H29" s="210"/>
      <c r="I29" s="211"/>
      <c r="J29" s="210"/>
      <c r="K29" s="210"/>
      <c r="L29" s="210"/>
      <c r="M29" s="211"/>
      <c r="N29" s="210"/>
      <c r="O29" s="210"/>
      <c r="P29" s="210"/>
      <c r="Q29" s="211"/>
      <c r="R29" s="212">
        <f t="shared" si="0"/>
        <v>0</v>
      </c>
      <c r="S29" s="213">
        <f t="shared" si="2"/>
        <v>0</v>
      </c>
      <c r="T29" s="214"/>
      <c r="U29" s="214"/>
      <c r="V29" s="214"/>
      <c r="W29" s="214"/>
      <c r="X29" s="214"/>
      <c r="Y29" s="215"/>
      <c r="Z29" s="215"/>
      <c r="AA29" s="215"/>
      <c r="AB29" s="215"/>
      <c r="AC29" s="215"/>
      <c r="AD29" s="215"/>
      <c r="AE29" s="215"/>
      <c r="AF29" s="200"/>
      <c r="AG29" s="210" t="s">
        <v>330</v>
      </c>
      <c r="AH29" s="210"/>
      <c r="AI29" s="210"/>
      <c r="AJ29" s="210"/>
      <c r="AK29" s="211"/>
      <c r="AL29" s="210"/>
      <c r="AM29" s="210"/>
      <c r="AN29" s="210"/>
      <c r="AO29" s="211"/>
      <c r="AP29" s="210"/>
      <c r="AQ29" s="210"/>
      <c r="AR29" s="210"/>
      <c r="AS29" s="211"/>
      <c r="AT29" s="210"/>
      <c r="AU29" s="210"/>
      <c r="AV29" s="210"/>
      <c r="AW29" s="211"/>
      <c r="AX29" s="212">
        <f t="shared" si="1"/>
        <v>0</v>
      </c>
      <c r="AY29" s="213">
        <f t="shared" si="3"/>
        <v>0</v>
      </c>
      <c r="AZ29" s="215"/>
      <c r="BA29" s="215"/>
      <c r="BB29" s="215"/>
      <c r="BC29" s="215"/>
      <c r="BD29" s="215"/>
      <c r="BE29" s="215"/>
      <c r="BF29" s="215"/>
      <c r="BG29" s="215"/>
      <c r="BH29" s="215"/>
      <c r="BI29" s="215"/>
      <c r="BJ29" s="215"/>
      <c r="BK29" s="215"/>
    </row>
    <row r="30" spans="1:63" ht="18" x14ac:dyDescent="0.3">
      <c r="A30" s="210" t="s">
        <v>331</v>
      </c>
      <c r="B30" s="210"/>
      <c r="C30" s="210"/>
      <c r="D30" s="210"/>
      <c r="E30" s="211"/>
      <c r="F30" s="210"/>
      <c r="G30" s="210"/>
      <c r="H30" s="210"/>
      <c r="I30" s="211"/>
      <c r="J30" s="210"/>
      <c r="K30" s="210"/>
      <c r="L30" s="210"/>
      <c r="M30" s="211"/>
      <c r="N30" s="210"/>
      <c r="O30" s="210"/>
      <c r="P30" s="210"/>
      <c r="Q30" s="211"/>
      <c r="R30" s="212">
        <f t="shared" si="0"/>
        <v>0</v>
      </c>
      <c r="S30" s="213">
        <f t="shared" si="2"/>
        <v>0</v>
      </c>
      <c r="T30" s="214"/>
      <c r="U30" s="214"/>
      <c r="V30" s="214"/>
      <c r="W30" s="214"/>
      <c r="X30" s="214"/>
      <c r="Y30" s="215"/>
      <c r="Z30" s="215"/>
      <c r="AA30" s="215"/>
      <c r="AB30" s="215"/>
      <c r="AC30" s="215"/>
      <c r="AD30" s="215"/>
      <c r="AE30" s="215"/>
      <c r="AF30" s="200"/>
      <c r="AG30" s="210" t="s">
        <v>331</v>
      </c>
      <c r="AH30" s="210"/>
      <c r="AI30" s="210"/>
      <c r="AJ30" s="210"/>
      <c r="AK30" s="211"/>
      <c r="AL30" s="210"/>
      <c r="AM30" s="210"/>
      <c r="AN30" s="210"/>
      <c r="AO30" s="211"/>
      <c r="AP30" s="210"/>
      <c r="AQ30" s="210"/>
      <c r="AR30" s="210"/>
      <c r="AS30" s="211"/>
      <c r="AT30" s="210"/>
      <c r="AU30" s="210"/>
      <c r="AV30" s="210"/>
      <c r="AW30" s="211"/>
      <c r="AX30" s="212">
        <f t="shared" si="1"/>
        <v>0</v>
      </c>
      <c r="AY30" s="213">
        <f t="shared" si="3"/>
        <v>0</v>
      </c>
      <c r="AZ30" s="215"/>
      <c r="BA30" s="215"/>
      <c r="BB30" s="215"/>
      <c r="BC30" s="215"/>
      <c r="BD30" s="215"/>
      <c r="BE30" s="215"/>
      <c r="BF30" s="215"/>
      <c r="BG30" s="215"/>
      <c r="BH30" s="215"/>
      <c r="BI30" s="215"/>
      <c r="BJ30" s="215"/>
      <c r="BK30" s="215"/>
    </row>
    <row r="31" spans="1:63" ht="18" x14ac:dyDescent="0.3">
      <c r="A31" s="210" t="s">
        <v>332</v>
      </c>
      <c r="B31" s="210"/>
      <c r="C31" s="210"/>
      <c r="D31" s="210"/>
      <c r="E31" s="211"/>
      <c r="F31" s="210"/>
      <c r="G31" s="210"/>
      <c r="H31" s="210"/>
      <c r="I31" s="211"/>
      <c r="J31" s="210"/>
      <c r="K31" s="210"/>
      <c r="L31" s="210"/>
      <c r="M31" s="211"/>
      <c r="N31" s="210"/>
      <c r="O31" s="210"/>
      <c r="P31" s="210"/>
      <c r="Q31" s="211"/>
      <c r="R31" s="212">
        <f t="shared" si="0"/>
        <v>0</v>
      </c>
      <c r="S31" s="213">
        <f t="shared" si="2"/>
        <v>0</v>
      </c>
      <c r="T31" s="214"/>
      <c r="U31" s="214"/>
      <c r="V31" s="214"/>
      <c r="W31" s="214"/>
      <c r="X31" s="214"/>
      <c r="Y31" s="215"/>
      <c r="Z31" s="215"/>
      <c r="AA31" s="215"/>
      <c r="AB31" s="215"/>
      <c r="AC31" s="215"/>
      <c r="AD31" s="215"/>
      <c r="AE31" s="215"/>
      <c r="AF31" s="200"/>
      <c r="AG31" s="210" t="s">
        <v>332</v>
      </c>
      <c r="AH31" s="210"/>
      <c r="AI31" s="210"/>
      <c r="AJ31" s="210"/>
      <c r="AK31" s="211"/>
      <c r="AL31" s="210"/>
      <c r="AM31" s="210"/>
      <c r="AN31" s="210"/>
      <c r="AO31" s="211"/>
      <c r="AP31" s="210"/>
      <c r="AQ31" s="210"/>
      <c r="AR31" s="210"/>
      <c r="AS31" s="211"/>
      <c r="AT31" s="210"/>
      <c r="AU31" s="210"/>
      <c r="AV31" s="210"/>
      <c r="AW31" s="211"/>
      <c r="AX31" s="212">
        <f t="shared" si="1"/>
        <v>0</v>
      </c>
      <c r="AY31" s="213">
        <f t="shared" si="3"/>
        <v>0</v>
      </c>
      <c r="AZ31" s="215"/>
      <c r="BA31" s="215"/>
      <c r="BB31" s="215"/>
      <c r="BC31" s="215"/>
      <c r="BD31" s="215"/>
      <c r="BE31" s="215"/>
      <c r="BF31" s="215"/>
      <c r="BG31" s="215"/>
      <c r="BH31" s="215"/>
      <c r="BI31" s="215"/>
      <c r="BJ31" s="215"/>
      <c r="BK31" s="215"/>
    </row>
    <row r="32" spans="1:63" ht="18" x14ac:dyDescent="0.3">
      <c r="A32" s="217" t="s">
        <v>333</v>
      </c>
      <c r="B32" s="218">
        <f>SUM(B11:B31)</f>
        <v>0</v>
      </c>
      <c r="C32" s="218">
        <f t="shared" ref="C32:AE32" si="4">SUM(C11:C31)</f>
        <v>0</v>
      </c>
      <c r="D32" s="218">
        <f t="shared" si="4"/>
        <v>0</v>
      </c>
      <c r="E32" s="219">
        <f>SUM(E11:E31)</f>
        <v>0</v>
      </c>
      <c r="F32" s="218">
        <f t="shared" si="4"/>
        <v>0</v>
      </c>
      <c r="G32" s="218">
        <f t="shared" si="4"/>
        <v>0</v>
      </c>
      <c r="H32" s="218">
        <f t="shared" si="4"/>
        <v>0</v>
      </c>
      <c r="I32" s="219">
        <f>SUM(I11:I31)</f>
        <v>0</v>
      </c>
      <c r="J32" s="218">
        <f t="shared" si="4"/>
        <v>0</v>
      </c>
      <c r="K32" s="218">
        <f t="shared" si="4"/>
        <v>0</v>
      </c>
      <c r="L32" s="218">
        <f t="shared" si="4"/>
        <v>0</v>
      </c>
      <c r="M32" s="219">
        <f>SUM(M11:M31)</f>
        <v>0</v>
      </c>
      <c r="N32" s="218">
        <f t="shared" si="4"/>
        <v>0</v>
      </c>
      <c r="O32" s="218">
        <f t="shared" si="4"/>
        <v>0</v>
      </c>
      <c r="P32" s="218">
        <f t="shared" si="4"/>
        <v>0</v>
      </c>
      <c r="Q32" s="219">
        <f>SUM(Q11:Q31)</f>
        <v>0</v>
      </c>
      <c r="R32" s="218">
        <f t="shared" si="4"/>
        <v>0</v>
      </c>
      <c r="S32" s="213">
        <f t="shared" si="4"/>
        <v>0</v>
      </c>
      <c r="T32" s="218">
        <f t="shared" si="4"/>
        <v>0</v>
      </c>
      <c r="U32" s="218">
        <f t="shared" si="4"/>
        <v>0</v>
      </c>
      <c r="V32" s="218">
        <f t="shared" si="4"/>
        <v>0</v>
      </c>
      <c r="W32" s="218">
        <f t="shared" si="4"/>
        <v>0</v>
      </c>
      <c r="X32" s="218">
        <f t="shared" si="4"/>
        <v>0</v>
      </c>
      <c r="Y32" s="218">
        <f t="shared" si="4"/>
        <v>0</v>
      </c>
      <c r="Z32" s="218">
        <f t="shared" si="4"/>
        <v>0</v>
      </c>
      <c r="AA32" s="218">
        <f t="shared" si="4"/>
        <v>0</v>
      </c>
      <c r="AB32" s="218">
        <f t="shared" si="4"/>
        <v>0</v>
      </c>
      <c r="AC32" s="218">
        <f t="shared" si="4"/>
        <v>0</v>
      </c>
      <c r="AD32" s="218">
        <f t="shared" si="4"/>
        <v>0</v>
      </c>
      <c r="AE32" s="218">
        <f t="shared" si="4"/>
        <v>0</v>
      </c>
      <c r="AF32" s="200"/>
      <c r="AG32" s="217" t="s">
        <v>333</v>
      </c>
      <c r="AH32" s="218">
        <f t="shared" ref="AH32:AW32" si="5">SUM(AH11:AH31)</f>
        <v>0</v>
      </c>
      <c r="AI32" s="218">
        <f t="shared" si="5"/>
        <v>0</v>
      </c>
      <c r="AJ32" s="218">
        <f t="shared" si="5"/>
        <v>0</v>
      </c>
      <c r="AK32" s="219">
        <f t="shared" si="5"/>
        <v>0</v>
      </c>
      <c r="AL32" s="218">
        <f t="shared" si="5"/>
        <v>0</v>
      </c>
      <c r="AM32" s="218">
        <f t="shared" si="5"/>
        <v>0</v>
      </c>
      <c r="AN32" s="218">
        <f t="shared" si="5"/>
        <v>0</v>
      </c>
      <c r="AO32" s="219">
        <f t="shared" si="5"/>
        <v>0</v>
      </c>
      <c r="AP32" s="218">
        <f t="shared" si="5"/>
        <v>0</v>
      </c>
      <c r="AQ32" s="218">
        <f t="shared" si="5"/>
        <v>0</v>
      </c>
      <c r="AR32" s="218">
        <f t="shared" si="5"/>
        <v>0</v>
      </c>
      <c r="AS32" s="219">
        <f t="shared" si="5"/>
        <v>0</v>
      </c>
      <c r="AT32" s="218">
        <f t="shared" si="5"/>
        <v>0</v>
      </c>
      <c r="AU32" s="218">
        <f t="shared" si="5"/>
        <v>0</v>
      </c>
      <c r="AV32" s="218">
        <f t="shared" si="5"/>
        <v>0</v>
      </c>
      <c r="AW32" s="219">
        <f t="shared" si="5"/>
        <v>0</v>
      </c>
      <c r="AX32" s="220">
        <f t="shared" ref="AX32:BK32" si="6">SUM(AX11:AX31)</f>
        <v>0</v>
      </c>
      <c r="AY32" s="221">
        <f t="shared" si="6"/>
        <v>0</v>
      </c>
      <c r="AZ32" s="218">
        <f t="shared" si="6"/>
        <v>0</v>
      </c>
      <c r="BA32" s="218">
        <f t="shared" si="6"/>
        <v>0</v>
      </c>
      <c r="BB32" s="218">
        <f t="shared" si="6"/>
        <v>0</v>
      </c>
      <c r="BC32" s="218">
        <f t="shared" si="6"/>
        <v>0</v>
      </c>
      <c r="BD32" s="218">
        <f t="shared" si="6"/>
        <v>0</v>
      </c>
      <c r="BE32" s="218">
        <f t="shared" si="6"/>
        <v>0</v>
      </c>
      <c r="BF32" s="218">
        <f t="shared" si="6"/>
        <v>0</v>
      </c>
      <c r="BG32" s="218">
        <f t="shared" si="6"/>
        <v>0</v>
      </c>
      <c r="BH32" s="218">
        <f t="shared" si="6"/>
        <v>0</v>
      </c>
      <c r="BI32" s="218">
        <f t="shared" si="6"/>
        <v>0</v>
      </c>
      <c r="BJ32" s="218">
        <f t="shared" si="6"/>
        <v>0</v>
      </c>
      <c r="BK32" s="218">
        <f t="shared" si="6"/>
        <v>0</v>
      </c>
    </row>
    <row r="33" spans="1:63" ht="18" x14ac:dyDescent="0.3">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row>
    <row r="34" spans="1:63" ht="18" x14ac:dyDescent="0.3">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row>
    <row r="35" spans="1:63" ht="30" customHeight="1" x14ac:dyDescent="0.3">
      <c r="A35" s="1021" t="s">
        <v>294</v>
      </c>
      <c r="B35" s="205" t="s">
        <v>30</v>
      </c>
      <c r="C35" s="205" t="s">
        <v>31</v>
      </c>
      <c r="D35" s="1023" t="s">
        <v>32</v>
      </c>
      <c r="E35" s="1024"/>
      <c r="F35" s="205" t="s">
        <v>33</v>
      </c>
      <c r="G35" s="205" t="s">
        <v>34</v>
      </c>
      <c r="H35" s="1023" t="s">
        <v>35</v>
      </c>
      <c r="I35" s="1024"/>
      <c r="J35" s="205" t="s">
        <v>36</v>
      </c>
      <c r="K35" s="205" t="s">
        <v>37</v>
      </c>
      <c r="L35" s="1023" t="s">
        <v>8</v>
      </c>
      <c r="M35" s="1024"/>
      <c r="N35" s="205" t="s">
        <v>38</v>
      </c>
      <c r="O35" s="205" t="s">
        <v>39</v>
      </c>
      <c r="P35" s="1023" t="s">
        <v>40</v>
      </c>
      <c r="Q35" s="1024"/>
      <c r="R35" s="1023" t="s">
        <v>295</v>
      </c>
      <c r="S35" s="1024"/>
      <c r="T35" s="1023" t="s">
        <v>296</v>
      </c>
      <c r="U35" s="1026"/>
      <c r="V35" s="1026"/>
      <c r="W35" s="1026"/>
      <c r="X35" s="1026"/>
      <c r="Y35" s="1024"/>
      <c r="Z35" s="1023" t="s">
        <v>297</v>
      </c>
      <c r="AA35" s="1026"/>
      <c r="AB35" s="1026"/>
      <c r="AC35" s="1026"/>
      <c r="AD35" s="1026"/>
      <c r="AE35" s="1024"/>
      <c r="AF35" s="200"/>
      <c r="AG35" s="1021" t="s">
        <v>294</v>
      </c>
      <c r="AH35" s="205" t="s">
        <v>30</v>
      </c>
      <c r="AI35" s="205" t="s">
        <v>31</v>
      </c>
      <c r="AJ35" s="1023" t="s">
        <v>32</v>
      </c>
      <c r="AK35" s="1024"/>
      <c r="AL35" s="205" t="s">
        <v>33</v>
      </c>
      <c r="AM35" s="205" t="s">
        <v>34</v>
      </c>
      <c r="AN35" s="1023" t="s">
        <v>35</v>
      </c>
      <c r="AO35" s="1024"/>
      <c r="AP35" s="205" t="s">
        <v>36</v>
      </c>
      <c r="AQ35" s="205" t="s">
        <v>37</v>
      </c>
      <c r="AR35" s="1023" t="s">
        <v>8</v>
      </c>
      <c r="AS35" s="1024"/>
      <c r="AT35" s="205" t="s">
        <v>38</v>
      </c>
      <c r="AU35" s="205" t="s">
        <v>39</v>
      </c>
      <c r="AV35" s="1023" t="s">
        <v>40</v>
      </c>
      <c r="AW35" s="1024"/>
      <c r="AX35" s="1023" t="s">
        <v>295</v>
      </c>
      <c r="AY35" s="1024"/>
      <c r="AZ35" s="1023" t="s">
        <v>296</v>
      </c>
      <c r="BA35" s="1026"/>
      <c r="BB35" s="1026"/>
      <c r="BC35" s="1026"/>
      <c r="BD35" s="1026"/>
      <c r="BE35" s="1024"/>
      <c r="BF35" s="1023" t="s">
        <v>297</v>
      </c>
      <c r="BG35" s="1026"/>
      <c r="BH35" s="1026"/>
      <c r="BI35" s="1026"/>
      <c r="BJ35" s="1026"/>
      <c r="BK35" s="1024"/>
    </row>
    <row r="36" spans="1:63" ht="36" customHeight="1" x14ac:dyDescent="0.3">
      <c r="A36" s="1022"/>
      <c r="B36" s="206" t="s">
        <v>298</v>
      </c>
      <c r="C36" s="206" t="s">
        <v>298</v>
      </c>
      <c r="D36" s="206" t="s">
        <v>298</v>
      </c>
      <c r="E36" s="206" t="s">
        <v>299</v>
      </c>
      <c r="F36" s="206" t="s">
        <v>298</v>
      </c>
      <c r="G36" s="206" t="s">
        <v>298</v>
      </c>
      <c r="H36" s="206" t="s">
        <v>298</v>
      </c>
      <c r="I36" s="206" t="s">
        <v>299</v>
      </c>
      <c r="J36" s="206" t="s">
        <v>298</v>
      </c>
      <c r="K36" s="206" t="s">
        <v>298</v>
      </c>
      <c r="L36" s="206" t="s">
        <v>298</v>
      </c>
      <c r="M36" s="206" t="s">
        <v>299</v>
      </c>
      <c r="N36" s="206" t="s">
        <v>298</v>
      </c>
      <c r="O36" s="206" t="s">
        <v>298</v>
      </c>
      <c r="P36" s="206" t="s">
        <v>298</v>
      </c>
      <c r="Q36" s="206" t="s">
        <v>299</v>
      </c>
      <c r="R36" s="206" t="s">
        <v>298</v>
      </c>
      <c r="S36" s="206" t="s">
        <v>299</v>
      </c>
      <c r="T36" s="207" t="s">
        <v>300</v>
      </c>
      <c r="U36" s="207" t="s">
        <v>301</v>
      </c>
      <c r="V36" s="207" t="s">
        <v>302</v>
      </c>
      <c r="W36" s="207" t="s">
        <v>303</v>
      </c>
      <c r="X36" s="208" t="s">
        <v>304</v>
      </c>
      <c r="Y36" s="207" t="s">
        <v>305</v>
      </c>
      <c r="Z36" s="206" t="s">
        <v>306</v>
      </c>
      <c r="AA36" s="209" t="s">
        <v>307</v>
      </c>
      <c r="AB36" s="206" t="s">
        <v>308</v>
      </c>
      <c r="AC36" s="206" t="s">
        <v>309</v>
      </c>
      <c r="AD36" s="206" t="s">
        <v>310</v>
      </c>
      <c r="AE36" s="206" t="s">
        <v>311</v>
      </c>
      <c r="AF36" s="200"/>
      <c r="AG36" s="1022"/>
      <c r="AH36" s="206" t="s">
        <v>298</v>
      </c>
      <c r="AI36" s="206" t="s">
        <v>298</v>
      </c>
      <c r="AJ36" s="206" t="s">
        <v>298</v>
      </c>
      <c r="AK36" s="206" t="s">
        <v>299</v>
      </c>
      <c r="AL36" s="206" t="s">
        <v>298</v>
      </c>
      <c r="AM36" s="206" t="s">
        <v>298</v>
      </c>
      <c r="AN36" s="206" t="s">
        <v>298</v>
      </c>
      <c r="AO36" s="206" t="s">
        <v>299</v>
      </c>
      <c r="AP36" s="206" t="s">
        <v>298</v>
      </c>
      <c r="AQ36" s="206" t="s">
        <v>298</v>
      </c>
      <c r="AR36" s="206" t="s">
        <v>298</v>
      </c>
      <c r="AS36" s="206" t="s">
        <v>299</v>
      </c>
      <c r="AT36" s="206" t="s">
        <v>298</v>
      </c>
      <c r="AU36" s="206" t="s">
        <v>298</v>
      </c>
      <c r="AV36" s="206" t="s">
        <v>298</v>
      </c>
      <c r="AW36" s="206" t="s">
        <v>299</v>
      </c>
      <c r="AX36" s="206" t="s">
        <v>298</v>
      </c>
      <c r="AY36" s="206" t="s">
        <v>299</v>
      </c>
      <c r="AZ36" s="207" t="s">
        <v>300</v>
      </c>
      <c r="BA36" s="207" t="s">
        <v>301</v>
      </c>
      <c r="BB36" s="207" t="s">
        <v>302</v>
      </c>
      <c r="BC36" s="207" t="s">
        <v>303</v>
      </c>
      <c r="BD36" s="208" t="s">
        <v>304</v>
      </c>
      <c r="BE36" s="207" t="s">
        <v>305</v>
      </c>
      <c r="BF36" s="206" t="s">
        <v>306</v>
      </c>
      <c r="BG36" s="209" t="s">
        <v>307</v>
      </c>
      <c r="BH36" s="206" t="s">
        <v>308</v>
      </c>
      <c r="BI36" s="206" t="s">
        <v>309</v>
      </c>
      <c r="BJ36" s="206" t="s">
        <v>310</v>
      </c>
      <c r="BK36" s="206" t="s">
        <v>311</v>
      </c>
    </row>
    <row r="37" spans="1:63" ht="18" x14ac:dyDescent="0.3">
      <c r="A37" s="210" t="s">
        <v>312</v>
      </c>
      <c r="B37" s="210"/>
      <c r="C37" s="210"/>
      <c r="D37" s="210"/>
      <c r="E37" s="211"/>
      <c r="F37" s="210"/>
      <c r="G37" s="210"/>
      <c r="H37" s="210"/>
      <c r="I37" s="211"/>
      <c r="J37" s="210"/>
      <c r="K37" s="210"/>
      <c r="L37" s="210"/>
      <c r="M37" s="211"/>
      <c r="N37" s="210"/>
      <c r="O37" s="210"/>
      <c r="P37" s="210"/>
      <c r="Q37" s="211"/>
      <c r="R37" s="212">
        <f t="shared" ref="R37:R57" si="7">B37+C37+D37+F37+G37+H37+J37+K37+L37+N37+O37+P37</f>
        <v>0</v>
      </c>
      <c r="S37" s="213">
        <f>+E37+I37+M37+Q37</f>
        <v>0</v>
      </c>
      <c r="T37" s="214"/>
      <c r="U37" s="214"/>
      <c r="V37" s="214"/>
      <c r="W37" s="214"/>
      <c r="X37" s="214"/>
      <c r="Y37" s="215"/>
      <c r="Z37" s="215"/>
      <c r="AA37" s="215"/>
      <c r="AB37" s="215"/>
      <c r="AC37" s="215"/>
      <c r="AD37" s="215"/>
      <c r="AE37" s="216"/>
      <c r="AF37" s="200"/>
      <c r="AG37" s="210" t="s">
        <v>312</v>
      </c>
      <c r="AH37" s="210"/>
      <c r="AI37" s="210"/>
      <c r="AJ37" s="210"/>
      <c r="AK37" s="211"/>
      <c r="AL37" s="210"/>
      <c r="AM37" s="210"/>
      <c r="AN37" s="210"/>
      <c r="AO37" s="211"/>
      <c r="AP37" s="210"/>
      <c r="AQ37" s="210"/>
      <c r="AR37" s="210"/>
      <c r="AS37" s="211"/>
      <c r="AT37" s="210"/>
      <c r="AU37" s="210"/>
      <c r="AV37" s="210"/>
      <c r="AW37" s="211"/>
      <c r="AX37" s="212">
        <f t="shared" ref="AX37:AX57" si="8">AH37+AI37+AJ37+AL37+AM37+AN37+AP37+AQ37+AR37+AT37+AU37+AV37</f>
        <v>0</v>
      </c>
      <c r="AY37" s="213">
        <f>+AK37+AO37+AS37+AW37</f>
        <v>0</v>
      </c>
      <c r="AZ37" s="215"/>
      <c r="BA37" s="215"/>
      <c r="BB37" s="215"/>
      <c r="BC37" s="215"/>
      <c r="BD37" s="215"/>
      <c r="BE37" s="215"/>
      <c r="BF37" s="215"/>
      <c r="BG37" s="215"/>
      <c r="BH37" s="215"/>
      <c r="BI37" s="215"/>
      <c r="BJ37" s="215"/>
      <c r="BK37" s="216"/>
    </row>
    <row r="38" spans="1:63" ht="18" x14ac:dyDescent="0.3">
      <c r="A38" s="210" t="s">
        <v>313</v>
      </c>
      <c r="B38" s="210"/>
      <c r="C38" s="210"/>
      <c r="D38" s="210"/>
      <c r="E38" s="211"/>
      <c r="F38" s="210"/>
      <c r="G38" s="210"/>
      <c r="H38" s="210"/>
      <c r="I38" s="211"/>
      <c r="J38" s="210"/>
      <c r="K38" s="210"/>
      <c r="L38" s="210"/>
      <c r="M38" s="211"/>
      <c r="N38" s="210"/>
      <c r="O38" s="210"/>
      <c r="P38" s="210"/>
      <c r="Q38" s="211"/>
      <c r="R38" s="212">
        <f t="shared" si="7"/>
        <v>0</v>
      </c>
      <c r="S38" s="213">
        <f t="shared" ref="S38:S57" si="9">+E38+I38+M38+Q38</f>
        <v>0</v>
      </c>
      <c r="T38" s="214"/>
      <c r="U38" s="214"/>
      <c r="V38" s="214"/>
      <c r="W38" s="214"/>
      <c r="X38" s="214"/>
      <c r="Y38" s="215"/>
      <c r="Z38" s="215"/>
      <c r="AA38" s="215"/>
      <c r="AB38" s="215"/>
      <c r="AC38" s="215"/>
      <c r="AD38" s="215"/>
      <c r="AE38" s="215"/>
      <c r="AF38" s="200"/>
      <c r="AG38" s="210" t="s">
        <v>313</v>
      </c>
      <c r="AH38" s="210"/>
      <c r="AI38" s="210"/>
      <c r="AJ38" s="210"/>
      <c r="AK38" s="211"/>
      <c r="AL38" s="210"/>
      <c r="AM38" s="210"/>
      <c r="AN38" s="210"/>
      <c r="AO38" s="211"/>
      <c r="AP38" s="210"/>
      <c r="AQ38" s="210"/>
      <c r="AR38" s="210"/>
      <c r="AS38" s="211"/>
      <c r="AT38" s="210"/>
      <c r="AU38" s="210"/>
      <c r="AV38" s="210"/>
      <c r="AW38" s="211"/>
      <c r="AX38" s="212">
        <f t="shared" si="8"/>
        <v>0</v>
      </c>
      <c r="AY38" s="213">
        <f t="shared" ref="AY38:AY57" si="10">+AK38+AO38+AS38+AW38</f>
        <v>0</v>
      </c>
      <c r="AZ38" s="215"/>
      <c r="BA38" s="215"/>
      <c r="BB38" s="215"/>
      <c r="BC38" s="215"/>
      <c r="BD38" s="215"/>
      <c r="BE38" s="215"/>
      <c r="BF38" s="215"/>
      <c r="BG38" s="215"/>
      <c r="BH38" s="215"/>
      <c r="BI38" s="215"/>
      <c r="BJ38" s="215"/>
      <c r="BK38" s="215"/>
    </row>
    <row r="39" spans="1:63" ht="18" x14ac:dyDescent="0.3">
      <c r="A39" s="210" t="s">
        <v>314</v>
      </c>
      <c r="B39" s="210"/>
      <c r="C39" s="210"/>
      <c r="D39" s="210"/>
      <c r="E39" s="211"/>
      <c r="F39" s="210"/>
      <c r="G39" s="210"/>
      <c r="H39" s="210"/>
      <c r="I39" s="211"/>
      <c r="J39" s="210"/>
      <c r="K39" s="210"/>
      <c r="L39" s="210"/>
      <c r="M39" s="211"/>
      <c r="N39" s="210"/>
      <c r="O39" s="210"/>
      <c r="P39" s="210"/>
      <c r="Q39" s="211"/>
      <c r="R39" s="212">
        <f t="shared" si="7"/>
        <v>0</v>
      </c>
      <c r="S39" s="213">
        <f t="shared" si="9"/>
        <v>0</v>
      </c>
      <c r="T39" s="214"/>
      <c r="U39" s="214"/>
      <c r="V39" s="214"/>
      <c r="W39" s="214"/>
      <c r="X39" s="214"/>
      <c r="Y39" s="215"/>
      <c r="Z39" s="215"/>
      <c r="AA39" s="215"/>
      <c r="AB39" s="215"/>
      <c r="AC39" s="215"/>
      <c r="AD39" s="215"/>
      <c r="AE39" s="215"/>
      <c r="AF39" s="200"/>
      <c r="AG39" s="210" t="s">
        <v>314</v>
      </c>
      <c r="AH39" s="210"/>
      <c r="AI39" s="210"/>
      <c r="AJ39" s="210"/>
      <c r="AK39" s="211"/>
      <c r="AL39" s="210"/>
      <c r="AM39" s="210"/>
      <c r="AN39" s="210"/>
      <c r="AO39" s="211"/>
      <c r="AP39" s="210"/>
      <c r="AQ39" s="210"/>
      <c r="AR39" s="210"/>
      <c r="AS39" s="211"/>
      <c r="AT39" s="210"/>
      <c r="AU39" s="210"/>
      <c r="AV39" s="210"/>
      <c r="AW39" s="211"/>
      <c r="AX39" s="212">
        <f t="shared" si="8"/>
        <v>0</v>
      </c>
      <c r="AY39" s="213">
        <f t="shared" si="10"/>
        <v>0</v>
      </c>
      <c r="AZ39" s="215"/>
      <c r="BA39" s="215"/>
      <c r="BB39" s="215"/>
      <c r="BC39" s="215"/>
      <c r="BD39" s="215"/>
      <c r="BE39" s="215"/>
      <c r="BF39" s="215"/>
      <c r="BG39" s="215"/>
      <c r="BH39" s="215"/>
      <c r="BI39" s="215"/>
      <c r="BJ39" s="215"/>
      <c r="BK39" s="215"/>
    </row>
    <row r="40" spans="1:63" ht="18" x14ac:dyDescent="0.3">
      <c r="A40" s="210" t="s">
        <v>315</v>
      </c>
      <c r="B40" s="210"/>
      <c r="C40" s="210"/>
      <c r="D40" s="210"/>
      <c r="E40" s="211"/>
      <c r="F40" s="210"/>
      <c r="G40" s="210"/>
      <c r="H40" s="210"/>
      <c r="I40" s="211"/>
      <c r="J40" s="210"/>
      <c r="K40" s="210"/>
      <c r="L40" s="210"/>
      <c r="M40" s="211"/>
      <c r="N40" s="210"/>
      <c r="O40" s="210"/>
      <c r="P40" s="210"/>
      <c r="Q40" s="211"/>
      <c r="R40" s="212">
        <f t="shared" si="7"/>
        <v>0</v>
      </c>
      <c r="S40" s="213">
        <f t="shared" si="9"/>
        <v>0</v>
      </c>
      <c r="T40" s="214"/>
      <c r="U40" s="214"/>
      <c r="V40" s="214"/>
      <c r="W40" s="214"/>
      <c r="X40" s="214"/>
      <c r="Y40" s="215"/>
      <c r="Z40" s="215"/>
      <c r="AA40" s="215"/>
      <c r="AB40" s="215"/>
      <c r="AC40" s="215"/>
      <c r="AD40" s="215"/>
      <c r="AE40" s="215"/>
      <c r="AF40" s="200"/>
      <c r="AG40" s="210" t="s">
        <v>315</v>
      </c>
      <c r="AH40" s="210"/>
      <c r="AI40" s="210"/>
      <c r="AJ40" s="210"/>
      <c r="AK40" s="211"/>
      <c r="AL40" s="210"/>
      <c r="AM40" s="210"/>
      <c r="AN40" s="210"/>
      <c r="AO40" s="211"/>
      <c r="AP40" s="210"/>
      <c r="AQ40" s="210"/>
      <c r="AR40" s="210"/>
      <c r="AS40" s="211"/>
      <c r="AT40" s="210"/>
      <c r="AU40" s="210"/>
      <c r="AV40" s="210"/>
      <c r="AW40" s="211"/>
      <c r="AX40" s="212">
        <f t="shared" si="8"/>
        <v>0</v>
      </c>
      <c r="AY40" s="213">
        <f t="shared" si="10"/>
        <v>0</v>
      </c>
      <c r="AZ40" s="215"/>
      <c r="BA40" s="215"/>
      <c r="BB40" s="215"/>
      <c r="BC40" s="215"/>
      <c r="BD40" s="215"/>
      <c r="BE40" s="215"/>
      <c r="BF40" s="215"/>
      <c r="BG40" s="215"/>
      <c r="BH40" s="215"/>
      <c r="BI40" s="215"/>
      <c r="BJ40" s="215"/>
      <c r="BK40" s="215"/>
    </row>
    <row r="41" spans="1:63" ht="18" x14ac:dyDescent="0.3">
      <c r="A41" s="210" t="s">
        <v>316</v>
      </c>
      <c r="B41" s="210"/>
      <c r="C41" s="210"/>
      <c r="D41" s="210"/>
      <c r="E41" s="211"/>
      <c r="F41" s="210"/>
      <c r="G41" s="210"/>
      <c r="H41" s="210"/>
      <c r="I41" s="211"/>
      <c r="J41" s="210"/>
      <c r="K41" s="210"/>
      <c r="L41" s="210"/>
      <c r="M41" s="211"/>
      <c r="N41" s="210"/>
      <c r="O41" s="210"/>
      <c r="P41" s="210"/>
      <c r="Q41" s="211"/>
      <c r="R41" s="212">
        <f t="shared" si="7"/>
        <v>0</v>
      </c>
      <c r="S41" s="213">
        <f t="shared" si="9"/>
        <v>0</v>
      </c>
      <c r="T41" s="214"/>
      <c r="U41" s="214"/>
      <c r="V41" s="214"/>
      <c r="W41" s="214"/>
      <c r="X41" s="214"/>
      <c r="Y41" s="215"/>
      <c r="Z41" s="215"/>
      <c r="AA41" s="215"/>
      <c r="AB41" s="215"/>
      <c r="AC41" s="215"/>
      <c r="AD41" s="215"/>
      <c r="AE41" s="215"/>
      <c r="AF41" s="200"/>
      <c r="AG41" s="210" t="s">
        <v>316</v>
      </c>
      <c r="AH41" s="210"/>
      <c r="AI41" s="210"/>
      <c r="AJ41" s="210"/>
      <c r="AK41" s="211"/>
      <c r="AL41" s="210"/>
      <c r="AM41" s="210"/>
      <c r="AN41" s="210"/>
      <c r="AO41" s="211"/>
      <c r="AP41" s="210"/>
      <c r="AQ41" s="210"/>
      <c r="AR41" s="210"/>
      <c r="AS41" s="211"/>
      <c r="AT41" s="210"/>
      <c r="AU41" s="210"/>
      <c r="AV41" s="210"/>
      <c r="AW41" s="211"/>
      <c r="AX41" s="212">
        <f t="shared" si="8"/>
        <v>0</v>
      </c>
      <c r="AY41" s="213">
        <f t="shared" si="10"/>
        <v>0</v>
      </c>
      <c r="AZ41" s="215"/>
      <c r="BA41" s="215"/>
      <c r="BB41" s="215"/>
      <c r="BC41" s="215"/>
      <c r="BD41" s="215"/>
      <c r="BE41" s="215"/>
      <c r="BF41" s="215"/>
      <c r="BG41" s="215"/>
      <c r="BH41" s="215"/>
      <c r="BI41" s="215"/>
      <c r="BJ41" s="215"/>
      <c r="BK41" s="215"/>
    </row>
    <row r="42" spans="1:63" ht="18" x14ac:dyDescent="0.3">
      <c r="A42" s="210" t="s">
        <v>317</v>
      </c>
      <c r="B42" s="210"/>
      <c r="C42" s="210"/>
      <c r="D42" s="210"/>
      <c r="E42" s="211"/>
      <c r="F42" s="210"/>
      <c r="G42" s="210"/>
      <c r="H42" s="210"/>
      <c r="I42" s="211"/>
      <c r="J42" s="210"/>
      <c r="K42" s="210"/>
      <c r="L42" s="210"/>
      <c r="M42" s="211"/>
      <c r="N42" s="210"/>
      <c r="O42" s="210"/>
      <c r="P42" s="210"/>
      <c r="Q42" s="211"/>
      <c r="R42" s="212">
        <f t="shared" si="7"/>
        <v>0</v>
      </c>
      <c r="S42" s="213">
        <f t="shared" si="9"/>
        <v>0</v>
      </c>
      <c r="T42" s="214"/>
      <c r="U42" s="214"/>
      <c r="V42" s="214"/>
      <c r="W42" s="214"/>
      <c r="X42" s="214"/>
      <c r="Y42" s="215"/>
      <c r="Z42" s="215"/>
      <c r="AA42" s="215"/>
      <c r="AB42" s="215"/>
      <c r="AC42" s="215"/>
      <c r="AD42" s="215"/>
      <c r="AE42" s="215"/>
      <c r="AF42" s="200"/>
      <c r="AG42" s="210" t="s">
        <v>317</v>
      </c>
      <c r="AH42" s="210"/>
      <c r="AI42" s="210"/>
      <c r="AJ42" s="210"/>
      <c r="AK42" s="211"/>
      <c r="AL42" s="210"/>
      <c r="AM42" s="210"/>
      <c r="AN42" s="210"/>
      <c r="AO42" s="211"/>
      <c r="AP42" s="210"/>
      <c r="AQ42" s="210"/>
      <c r="AR42" s="210"/>
      <c r="AS42" s="211"/>
      <c r="AT42" s="210"/>
      <c r="AU42" s="210"/>
      <c r="AV42" s="210"/>
      <c r="AW42" s="211"/>
      <c r="AX42" s="212">
        <f t="shared" si="8"/>
        <v>0</v>
      </c>
      <c r="AY42" s="213">
        <f t="shared" si="10"/>
        <v>0</v>
      </c>
      <c r="AZ42" s="215"/>
      <c r="BA42" s="215"/>
      <c r="BB42" s="215"/>
      <c r="BC42" s="215"/>
      <c r="BD42" s="215"/>
      <c r="BE42" s="215"/>
      <c r="BF42" s="215"/>
      <c r="BG42" s="215"/>
      <c r="BH42" s="215"/>
      <c r="BI42" s="215"/>
      <c r="BJ42" s="215"/>
      <c r="BK42" s="215"/>
    </row>
    <row r="43" spans="1:63" ht="18" x14ac:dyDescent="0.3">
      <c r="A43" s="210" t="s">
        <v>318</v>
      </c>
      <c r="B43" s="210"/>
      <c r="C43" s="210"/>
      <c r="D43" s="210"/>
      <c r="E43" s="211"/>
      <c r="F43" s="210"/>
      <c r="G43" s="210"/>
      <c r="H43" s="210"/>
      <c r="I43" s="211"/>
      <c r="J43" s="210"/>
      <c r="K43" s="210"/>
      <c r="L43" s="210"/>
      <c r="M43" s="211"/>
      <c r="N43" s="210"/>
      <c r="O43" s="210"/>
      <c r="P43" s="210"/>
      <c r="Q43" s="211"/>
      <c r="R43" s="212">
        <f t="shared" si="7"/>
        <v>0</v>
      </c>
      <c r="S43" s="213">
        <f t="shared" si="9"/>
        <v>0</v>
      </c>
      <c r="T43" s="214"/>
      <c r="U43" s="214"/>
      <c r="V43" s="214"/>
      <c r="W43" s="214"/>
      <c r="X43" s="214"/>
      <c r="Y43" s="215"/>
      <c r="Z43" s="215"/>
      <c r="AA43" s="215"/>
      <c r="AB43" s="215"/>
      <c r="AC43" s="215"/>
      <c r="AD43" s="215"/>
      <c r="AE43" s="215"/>
      <c r="AF43" s="200"/>
      <c r="AG43" s="210" t="s">
        <v>318</v>
      </c>
      <c r="AH43" s="210"/>
      <c r="AI43" s="210"/>
      <c r="AJ43" s="210"/>
      <c r="AK43" s="211"/>
      <c r="AL43" s="210"/>
      <c r="AM43" s="210"/>
      <c r="AN43" s="210"/>
      <c r="AO43" s="211"/>
      <c r="AP43" s="210"/>
      <c r="AQ43" s="210"/>
      <c r="AR43" s="210"/>
      <c r="AS43" s="211"/>
      <c r="AT43" s="210"/>
      <c r="AU43" s="210"/>
      <c r="AV43" s="210"/>
      <c r="AW43" s="211"/>
      <c r="AX43" s="212">
        <f t="shared" si="8"/>
        <v>0</v>
      </c>
      <c r="AY43" s="213">
        <f t="shared" si="10"/>
        <v>0</v>
      </c>
      <c r="AZ43" s="215"/>
      <c r="BA43" s="215"/>
      <c r="BB43" s="215"/>
      <c r="BC43" s="215"/>
      <c r="BD43" s="215"/>
      <c r="BE43" s="215"/>
      <c r="BF43" s="215"/>
      <c r="BG43" s="215"/>
      <c r="BH43" s="215"/>
      <c r="BI43" s="215"/>
      <c r="BJ43" s="215"/>
      <c r="BK43" s="215"/>
    </row>
    <row r="44" spans="1:63" ht="18" x14ac:dyDescent="0.3">
      <c r="A44" s="210" t="s">
        <v>319</v>
      </c>
      <c r="B44" s="210"/>
      <c r="C44" s="210"/>
      <c r="D44" s="210"/>
      <c r="E44" s="211"/>
      <c r="F44" s="210"/>
      <c r="G44" s="210"/>
      <c r="H44" s="210"/>
      <c r="I44" s="211"/>
      <c r="J44" s="210"/>
      <c r="K44" s="210"/>
      <c r="L44" s="210"/>
      <c r="M44" s="211"/>
      <c r="N44" s="210"/>
      <c r="O44" s="210"/>
      <c r="P44" s="210"/>
      <c r="Q44" s="211"/>
      <c r="R44" s="212">
        <f t="shared" si="7"/>
        <v>0</v>
      </c>
      <c r="S44" s="213">
        <f t="shared" si="9"/>
        <v>0</v>
      </c>
      <c r="T44" s="214"/>
      <c r="U44" s="214"/>
      <c r="V44" s="214"/>
      <c r="W44" s="214"/>
      <c r="X44" s="214"/>
      <c r="Y44" s="215"/>
      <c r="Z44" s="215"/>
      <c r="AA44" s="215"/>
      <c r="AB44" s="215"/>
      <c r="AC44" s="215"/>
      <c r="AD44" s="215"/>
      <c r="AE44" s="215"/>
      <c r="AF44" s="200"/>
      <c r="AG44" s="210" t="s">
        <v>319</v>
      </c>
      <c r="AH44" s="210"/>
      <c r="AI44" s="210"/>
      <c r="AJ44" s="210"/>
      <c r="AK44" s="211"/>
      <c r="AL44" s="210"/>
      <c r="AM44" s="210"/>
      <c r="AN44" s="210"/>
      <c r="AO44" s="211"/>
      <c r="AP44" s="210"/>
      <c r="AQ44" s="210"/>
      <c r="AR44" s="210"/>
      <c r="AS44" s="211"/>
      <c r="AT44" s="210"/>
      <c r="AU44" s="210"/>
      <c r="AV44" s="210"/>
      <c r="AW44" s="211"/>
      <c r="AX44" s="212">
        <f t="shared" si="8"/>
        <v>0</v>
      </c>
      <c r="AY44" s="213">
        <f t="shared" si="10"/>
        <v>0</v>
      </c>
      <c r="AZ44" s="215"/>
      <c r="BA44" s="215"/>
      <c r="BB44" s="215"/>
      <c r="BC44" s="215"/>
      <c r="BD44" s="215"/>
      <c r="BE44" s="215"/>
      <c r="BF44" s="215"/>
      <c r="BG44" s="215"/>
      <c r="BH44" s="215"/>
      <c r="BI44" s="215"/>
      <c r="BJ44" s="215"/>
      <c r="BK44" s="215"/>
    </row>
    <row r="45" spans="1:63" ht="18" x14ac:dyDescent="0.3">
      <c r="A45" s="210" t="s">
        <v>320</v>
      </c>
      <c r="B45" s="210"/>
      <c r="C45" s="210"/>
      <c r="D45" s="210"/>
      <c r="E45" s="211"/>
      <c r="F45" s="210"/>
      <c r="G45" s="210"/>
      <c r="H45" s="210"/>
      <c r="I45" s="211"/>
      <c r="J45" s="210"/>
      <c r="K45" s="210"/>
      <c r="L45" s="210"/>
      <c r="M45" s="211"/>
      <c r="N45" s="210"/>
      <c r="O45" s="210"/>
      <c r="P45" s="210"/>
      <c r="Q45" s="211"/>
      <c r="R45" s="212">
        <f t="shared" si="7"/>
        <v>0</v>
      </c>
      <c r="S45" s="213">
        <f t="shared" si="9"/>
        <v>0</v>
      </c>
      <c r="T45" s="214"/>
      <c r="U45" s="214"/>
      <c r="V45" s="214"/>
      <c r="W45" s="214"/>
      <c r="X45" s="214"/>
      <c r="Y45" s="215"/>
      <c r="Z45" s="215"/>
      <c r="AA45" s="215"/>
      <c r="AB45" s="215"/>
      <c r="AC45" s="215"/>
      <c r="AD45" s="215"/>
      <c r="AE45" s="215"/>
      <c r="AF45" s="200"/>
      <c r="AG45" s="210" t="s">
        <v>320</v>
      </c>
      <c r="AH45" s="210"/>
      <c r="AI45" s="210"/>
      <c r="AJ45" s="210"/>
      <c r="AK45" s="211"/>
      <c r="AL45" s="210"/>
      <c r="AM45" s="210"/>
      <c r="AN45" s="210"/>
      <c r="AO45" s="211"/>
      <c r="AP45" s="210"/>
      <c r="AQ45" s="210"/>
      <c r="AR45" s="210"/>
      <c r="AS45" s="211"/>
      <c r="AT45" s="210"/>
      <c r="AU45" s="210"/>
      <c r="AV45" s="210"/>
      <c r="AW45" s="211"/>
      <c r="AX45" s="212">
        <f t="shared" si="8"/>
        <v>0</v>
      </c>
      <c r="AY45" s="213">
        <f t="shared" si="10"/>
        <v>0</v>
      </c>
      <c r="AZ45" s="215"/>
      <c r="BA45" s="215"/>
      <c r="BB45" s="215"/>
      <c r="BC45" s="215"/>
      <c r="BD45" s="215"/>
      <c r="BE45" s="215"/>
      <c r="BF45" s="215"/>
      <c r="BG45" s="215"/>
      <c r="BH45" s="215"/>
      <c r="BI45" s="210"/>
      <c r="BJ45" s="210"/>
      <c r="BK45" s="210"/>
    </row>
    <row r="46" spans="1:63" ht="18" x14ac:dyDescent="0.3">
      <c r="A46" s="210" t="s">
        <v>321</v>
      </c>
      <c r="B46" s="210"/>
      <c r="C46" s="210"/>
      <c r="D46" s="210"/>
      <c r="E46" s="211"/>
      <c r="F46" s="210"/>
      <c r="G46" s="210"/>
      <c r="H46" s="210"/>
      <c r="I46" s="211"/>
      <c r="J46" s="210"/>
      <c r="K46" s="210"/>
      <c r="L46" s="210"/>
      <c r="M46" s="211"/>
      <c r="N46" s="210"/>
      <c r="O46" s="210"/>
      <c r="P46" s="210"/>
      <c r="Q46" s="211"/>
      <c r="R46" s="212">
        <f t="shared" si="7"/>
        <v>0</v>
      </c>
      <c r="S46" s="213">
        <f t="shared" si="9"/>
        <v>0</v>
      </c>
      <c r="T46" s="214"/>
      <c r="U46" s="214"/>
      <c r="V46" s="214"/>
      <c r="W46" s="214"/>
      <c r="X46" s="214"/>
      <c r="Y46" s="215"/>
      <c r="Z46" s="215"/>
      <c r="AA46" s="215"/>
      <c r="AB46" s="215"/>
      <c r="AC46" s="215"/>
      <c r="AD46" s="215"/>
      <c r="AE46" s="215"/>
      <c r="AF46" s="200"/>
      <c r="AG46" s="210" t="s">
        <v>321</v>
      </c>
      <c r="AH46" s="210"/>
      <c r="AI46" s="210"/>
      <c r="AJ46" s="210"/>
      <c r="AK46" s="211"/>
      <c r="AL46" s="210"/>
      <c r="AM46" s="210"/>
      <c r="AN46" s="210"/>
      <c r="AO46" s="211"/>
      <c r="AP46" s="210"/>
      <c r="AQ46" s="210"/>
      <c r="AR46" s="210"/>
      <c r="AS46" s="211"/>
      <c r="AT46" s="210"/>
      <c r="AU46" s="210"/>
      <c r="AV46" s="210"/>
      <c r="AW46" s="211"/>
      <c r="AX46" s="212">
        <f t="shared" si="8"/>
        <v>0</v>
      </c>
      <c r="AY46" s="213">
        <f t="shared" si="10"/>
        <v>0</v>
      </c>
      <c r="AZ46" s="215"/>
      <c r="BA46" s="215"/>
      <c r="BB46" s="215"/>
      <c r="BC46" s="215"/>
      <c r="BD46" s="215"/>
      <c r="BE46" s="215"/>
      <c r="BF46" s="215"/>
      <c r="BG46" s="215"/>
      <c r="BH46" s="215"/>
      <c r="BI46" s="210"/>
      <c r="BJ46" s="210"/>
      <c r="BK46" s="210"/>
    </row>
    <row r="47" spans="1:63" ht="18" x14ac:dyDescent="0.3">
      <c r="A47" s="210" t="s">
        <v>322</v>
      </c>
      <c r="B47" s="210"/>
      <c r="C47" s="210"/>
      <c r="D47" s="210"/>
      <c r="E47" s="211"/>
      <c r="F47" s="210"/>
      <c r="G47" s="210"/>
      <c r="H47" s="210"/>
      <c r="I47" s="211"/>
      <c r="J47" s="210"/>
      <c r="K47" s="210"/>
      <c r="L47" s="210"/>
      <c r="M47" s="211"/>
      <c r="N47" s="210"/>
      <c r="O47" s="210"/>
      <c r="P47" s="210"/>
      <c r="Q47" s="211"/>
      <c r="R47" s="212">
        <f t="shared" si="7"/>
        <v>0</v>
      </c>
      <c r="S47" s="213">
        <f t="shared" si="9"/>
        <v>0</v>
      </c>
      <c r="T47" s="214"/>
      <c r="U47" s="214"/>
      <c r="V47" s="214"/>
      <c r="W47" s="214"/>
      <c r="X47" s="214"/>
      <c r="Y47" s="215"/>
      <c r="Z47" s="215"/>
      <c r="AA47" s="215"/>
      <c r="AB47" s="215"/>
      <c r="AC47" s="215"/>
      <c r="AD47" s="215"/>
      <c r="AE47" s="215"/>
      <c r="AF47" s="200"/>
      <c r="AG47" s="210" t="s">
        <v>322</v>
      </c>
      <c r="AH47" s="210"/>
      <c r="AI47" s="210"/>
      <c r="AJ47" s="210"/>
      <c r="AK47" s="211"/>
      <c r="AL47" s="210"/>
      <c r="AM47" s="210"/>
      <c r="AN47" s="210"/>
      <c r="AO47" s="211"/>
      <c r="AP47" s="210"/>
      <c r="AQ47" s="210"/>
      <c r="AR47" s="210"/>
      <c r="AS47" s="211"/>
      <c r="AT47" s="210"/>
      <c r="AU47" s="210"/>
      <c r="AV47" s="210"/>
      <c r="AW47" s="211"/>
      <c r="AX47" s="212">
        <f t="shared" si="8"/>
        <v>0</v>
      </c>
      <c r="AY47" s="213">
        <f t="shared" si="10"/>
        <v>0</v>
      </c>
      <c r="AZ47" s="215"/>
      <c r="BA47" s="215"/>
      <c r="BB47" s="215"/>
      <c r="BC47" s="215"/>
      <c r="BD47" s="215"/>
      <c r="BE47" s="215"/>
      <c r="BF47" s="215"/>
      <c r="BG47" s="215"/>
      <c r="BH47" s="215"/>
      <c r="BI47" s="210"/>
      <c r="BJ47" s="210"/>
      <c r="BK47" s="210"/>
    </row>
    <row r="48" spans="1:63" ht="18" x14ac:dyDescent="0.3">
      <c r="A48" s="210" t="s">
        <v>323</v>
      </c>
      <c r="B48" s="210"/>
      <c r="C48" s="210"/>
      <c r="D48" s="210"/>
      <c r="E48" s="211"/>
      <c r="F48" s="210"/>
      <c r="G48" s="210"/>
      <c r="H48" s="210"/>
      <c r="I48" s="211"/>
      <c r="J48" s="210"/>
      <c r="K48" s="210"/>
      <c r="L48" s="210"/>
      <c r="M48" s="211"/>
      <c r="N48" s="210"/>
      <c r="O48" s="210"/>
      <c r="P48" s="210"/>
      <c r="Q48" s="211"/>
      <c r="R48" s="212">
        <f t="shared" si="7"/>
        <v>0</v>
      </c>
      <c r="S48" s="213">
        <f t="shared" si="9"/>
        <v>0</v>
      </c>
      <c r="T48" s="214"/>
      <c r="U48" s="214"/>
      <c r="V48" s="214"/>
      <c r="W48" s="214"/>
      <c r="X48" s="214"/>
      <c r="Y48" s="215"/>
      <c r="Z48" s="215"/>
      <c r="AA48" s="215"/>
      <c r="AB48" s="215"/>
      <c r="AC48" s="215"/>
      <c r="AD48" s="215"/>
      <c r="AE48" s="215"/>
      <c r="AF48" s="200"/>
      <c r="AG48" s="210" t="s">
        <v>323</v>
      </c>
      <c r="AH48" s="210"/>
      <c r="AI48" s="210"/>
      <c r="AJ48" s="210"/>
      <c r="AK48" s="211"/>
      <c r="AL48" s="210"/>
      <c r="AM48" s="210"/>
      <c r="AN48" s="210"/>
      <c r="AO48" s="211"/>
      <c r="AP48" s="210"/>
      <c r="AQ48" s="210"/>
      <c r="AR48" s="210"/>
      <c r="AS48" s="211"/>
      <c r="AT48" s="210"/>
      <c r="AU48" s="210"/>
      <c r="AV48" s="210"/>
      <c r="AW48" s="211"/>
      <c r="AX48" s="212">
        <f t="shared" si="8"/>
        <v>0</v>
      </c>
      <c r="AY48" s="213">
        <f t="shared" si="10"/>
        <v>0</v>
      </c>
      <c r="AZ48" s="215"/>
      <c r="BA48" s="215"/>
      <c r="BB48" s="215"/>
      <c r="BC48" s="215"/>
      <c r="BD48" s="215"/>
      <c r="BE48" s="215"/>
      <c r="BF48" s="215"/>
      <c r="BG48" s="215"/>
      <c r="BH48" s="215"/>
      <c r="BI48" s="215"/>
      <c r="BJ48" s="215"/>
      <c r="BK48" s="215"/>
    </row>
    <row r="49" spans="1:63" ht="18" x14ac:dyDescent="0.3">
      <c r="A49" s="210" t="s">
        <v>324</v>
      </c>
      <c r="B49" s="210"/>
      <c r="C49" s="210"/>
      <c r="D49" s="210"/>
      <c r="E49" s="211"/>
      <c r="F49" s="210"/>
      <c r="G49" s="210"/>
      <c r="H49" s="210"/>
      <c r="I49" s="211"/>
      <c r="J49" s="210"/>
      <c r="K49" s="210"/>
      <c r="L49" s="210"/>
      <c r="M49" s="211"/>
      <c r="N49" s="210"/>
      <c r="O49" s="210"/>
      <c r="P49" s="210"/>
      <c r="Q49" s="211"/>
      <c r="R49" s="212">
        <f t="shared" si="7"/>
        <v>0</v>
      </c>
      <c r="S49" s="213">
        <f t="shared" si="9"/>
        <v>0</v>
      </c>
      <c r="T49" s="214"/>
      <c r="U49" s="214"/>
      <c r="V49" s="214"/>
      <c r="W49" s="214"/>
      <c r="X49" s="214"/>
      <c r="Y49" s="215"/>
      <c r="Z49" s="215"/>
      <c r="AA49" s="215"/>
      <c r="AB49" s="215"/>
      <c r="AC49" s="215"/>
      <c r="AD49" s="215"/>
      <c r="AE49" s="215"/>
      <c r="AF49" s="200"/>
      <c r="AG49" s="210" t="s">
        <v>324</v>
      </c>
      <c r="AH49" s="210"/>
      <c r="AI49" s="210"/>
      <c r="AJ49" s="210"/>
      <c r="AK49" s="211"/>
      <c r="AL49" s="210"/>
      <c r="AM49" s="210"/>
      <c r="AN49" s="210"/>
      <c r="AO49" s="211"/>
      <c r="AP49" s="210"/>
      <c r="AQ49" s="210"/>
      <c r="AR49" s="210"/>
      <c r="AS49" s="211"/>
      <c r="AT49" s="210"/>
      <c r="AU49" s="210"/>
      <c r="AV49" s="210"/>
      <c r="AW49" s="211"/>
      <c r="AX49" s="212">
        <f t="shared" si="8"/>
        <v>0</v>
      </c>
      <c r="AY49" s="213">
        <f t="shared" si="10"/>
        <v>0</v>
      </c>
      <c r="AZ49" s="215"/>
      <c r="BA49" s="215"/>
      <c r="BB49" s="215"/>
      <c r="BC49" s="215"/>
      <c r="BD49" s="215"/>
      <c r="BE49" s="215"/>
      <c r="BF49" s="215"/>
      <c r="BG49" s="215"/>
      <c r="BH49" s="215"/>
      <c r="BI49" s="215"/>
      <c r="BJ49" s="215"/>
      <c r="BK49" s="215"/>
    </row>
    <row r="50" spans="1:63" ht="18" x14ac:dyDescent="0.3">
      <c r="A50" s="210" t="s">
        <v>325</v>
      </c>
      <c r="B50" s="210"/>
      <c r="C50" s="210"/>
      <c r="D50" s="210"/>
      <c r="E50" s="211"/>
      <c r="F50" s="210"/>
      <c r="G50" s="210"/>
      <c r="H50" s="210"/>
      <c r="I50" s="211"/>
      <c r="J50" s="210"/>
      <c r="K50" s="210"/>
      <c r="L50" s="210"/>
      <c r="M50" s="211"/>
      <c r="N50" s="210"/>
      <c r="O50" s="210"/>
      <c r="P50" s="210"/>
      <c r="Q50" s="211"/>
      <c r="R50" s="212">
        <f t="shared" si="7"/>
        <v>0</v>
      </c>
      <c r="S50" s="213">
        <f t="shared" si="9"/>
        <v>0</v>
      </c>
      <c r="T50" s="214"/>
      <c r="U50" s="214"/>
      <c r="V50" s="214"/>
      <c r="W50" s="214"/>
      <c r="X50" s="214"/>
      <c r="Y50" s="215"/>
      <c r="Z50" s="215"/>
      <c r="AA50" s="215"/>
      <c r="AB50" s="215"/>
      <c r="AC50" s="215"/>
      <c r="AD50" s="215"/>
      <c r="AE50" s="215"/>
      <c r="AF50" s="200"/>
      <c r="AG50" s="210" t="s">
        <v>325</v>
      </c>
      <c r="AH50" s="210"/>
      <c r="AI50" s="210"/>
      <c r="AJ50" s="210"/>
      <c r="AK50" s="211"/>
      <c r="AL50" s="210"/>
      <c r="AM50" s="210"/>
      <c r="AN50" s="210"/>
      <c r="AO50" s="211"/>
      <c r="AP50" s="210"/>
      <c r="AQ50" s="210"/>
      <c r="AR50" s="210"/>
      <c r="AS50" s="211"/>
      <c r="AT50" s="210"/>
      <c r="AU50" s="210"/>
      <c r="AV50" s="210"/>
      <c r="AW50" s="211"/>
      <c r="AX50" s="212">
        <f t="shared" si="8"/>
        <v>0</v>
      </c>
      <c r="AY50" s="213">
        <f t="shared" si="10"/>
        <v>0</v>
      </c>
      <c r="AZ50" s="215"/>
      <c r="BA50" s="215"/>
      <c r="BB50" s="215"/>
      <c r="BC50" s="215"/>
      <c r="BD50" s="215"/>
      <c r="BE50" s="215"/>
      <c r="BF50" s="215"/>
      <c r="BG50" s="215"/>
      <c r="BH50" s="215"/>
      <c r="BI50" s="215"/>
      <c r="BJ50" s="215"/>
      <c r="BK50" s="215"/>
    </row>
    <row r="51" spans="1:63" ht="18" x14ac:dyDescent="0.3">
      <c r="A51" s="210" t="s">
        <v>326</v>
      </c>
      <c r="B51" s="210"/>
      <c r="C51" s="210"/>
      <c r="D51" s="210"/>
      <c r="E51" s="211"/>
      <c r="F51" s="210"/>
      <c r="G51" s="210"/>
      <c r="H51" s="210"/>
      <c r="I51" s="211"/>
      <c r="J51" s="210"/>
      <c r="K51" s="210"/>
      <c r="L51" s="210"/>
      <c r="M51" s="211"/>
      <c r="N51" s="210"/>
      <c r="O51" s="210"/>
      <c r="P51" s="210"/>
      <c r="Q51" s="211"/>
      <c r="R51" s="212">
        <f t="shared" si="7"/>
        <v>0</v>
      </c>
      <c r="S51" s="213">
        <f t="shared" si="9"/>
        <v>0</v>
      </c>
      <c r="T51" s="214"/>
      <c r="U51" s="214"/>
      <c r="V51" s="214"/>
      <c r="W51" s="214"/>
      <c r="X51" s="214"/>
      <c r="Y51" s="215"/>
      <c r="Z51" s="215"/>
      <c r="AA51" s="215"/>
      <c r="AB51" s="215"/>
      <c r="AC51" s="215"/>
      <c r="AD51" s="215"/>
      <c r="AE51" s="215"/>
      <c r="AF51" s="200"/>
      <c r="AG51" s="210" t="s">
        <v>326</v>
      </c>
      <c r="AH51" s="210"/>
      <c r="AI51" s="210"/>
      <c r="AJ51" s="210"/>
      <c r="AK51" s="211"/>
      <c r="AL51" s="210"/>
      <c r="AM51" s="210"/>
      <c r="AN51" s="210"/>
      <c r="AO51" s="211"/>
      <c r="AP51" s="210"/>
      <c r="AQ51" s="210"/>
      <c r="AR51" s="210"/>
      <c r="AS51" s="211"/>
      <c r="AT51" s="210"/>
      <c r="AU51" s="210"/>
      <c r="AV51" s="210"/>
      <c r="AW51" s="211"/>
      <c r="AX51" s="212">
        <f t="shared" si="8"/>
        <v>0</v>
      </c>
      <c r="AY51" s="213">
        <f t="shared" si="10"/>
        <v>0</v>
      </c>
      <c r="AZ51" s="215"/>
      <c r="BA51" s="215"/>
      <c r="BB51" s="215"/>
      <c r="BC51" s="215"/>
      <c r="BD51" s="215"/>
      <c r="BE51" s="215"/>
      <c r="BF51" s="215"/>
      <c r="BG51" s="215"/>
      <c r="BH51" s="215"/>
      <c r="BI51" s="215"/>
      <c r="BJ51" s="215"/>
      <c r="BK51" s="215"/>
    </row>
    <row r="52" spans="1:63" ht="18" x14ac:dyDescent="0.3">
      <c r="A52" s="210" t="s">
        <v>327</v>
      </c>
      <c r="B52" s="210"/>
      <c r="C52" s="210"/>
      <c r="D52" s="210"/>
      <c r="E52" s="211"/>
      <c r="F52" s="210"/>
      <c r="G52" s="210"/>
      <c r="H52" s="210"/>
      <c r="I52" s="211"/>
      <c r="J52" s="210"/>
      <c r="K52" s="210"/>
      <c r="L52" s="210"/>
      <c r="M52" s="211"/>
      <c r="N52" s="210"/>
      <c r="O52" s="210"/>
      <c r="P52" s="210"/>
      <c r="Q52" s="211"/>
      <c r="R52" s="212">
        <f t="shared" si="7"/>
        <v>0</v>
      </c>
      <c r="S52" s="213">
        <f t="shared" si="9"/>
        <v>0</v>
      </c>
      <c r="T52" s="214"/>
      <c r="U52" s="214"/>
      <c r="V52" s="214"/>
      <c r="W52" s="214"/>
      <c r="X52" s="214"/>
      <c r="Y52" s="215"/>
      <c r="Z52" s="215"/>
      <c r="AA52" s="215"/>
      <c r="AB52" s="215"/>
      <c r="AC52" s="215"/>
      <c r="AD52" s="215"/>
      <c r="AE52" s="215"/>
      <c r="AF52" s="200"/>
      <c r="AG52" s="210" t="s">
        <v>327</v>
      </c>
      <c r="AH52" s="210"/>
      <c r="AI52" s="210"/>
      <c r="AJ52" s="210"/>
      <c r="AK52" s="211"/>
      <c r="AL52" s="210"/>
      <c r="AM52" s="210"/>
      <c r="AN52" s="210"/>
      <c r="AO52" s="211"/>
      <c r="AP52" s="210"/>
      <c r="AQ52" s="210"/>
      <c r="AR52" s="210"/>
      <c r="AS52" s="211"/>
      <c r="AT52" s="210"/>
      <c r="AU52" s="210"/>
      <c r="AV52" s="210"/>
      <c r="AW52" s="211"/>
      <c r="AX52" s="212">
        <f t="shared" si="8"/>
        <v>0</v>
      </c>
      <c r="AY52" s="213">
        <f t="shared" si="10"/>
        <v>0</v>
      </c>
      <c r="AZ52" s="215"/>
      <c r="BA52" s="215"/>
      <c r="BB52" s="215"/>
      <c r="BC52" s="215"/>
      <c r="BD52" s="215"/>
      <c r="BE52" s="215"/>
      <c r="BF52" s="215"/>
      <c r="BG52" s="215"/>
      <c r="BH52" s="215"/>
      <c r="BI52" s="215"/>
      <c r="BJ52" s="215"/>
      <c r="BK52" s="215"/>
    </row>
    <row r="53" spans="1:63" ht="18" x14ac:dyDescent="0.3">
      <c r="A53" s="210" t="s">
        <v>328</v>
      </c>
      <c r="B53" s="210"/>
      <c r="C53" s="210"/>
      <c r="D53" s="210"/>
      <c r="E53" s="211"/>
      <c r="F53" s="210"/>
      <c r="G53" s="210"/>
      <c r="H53" s="210"/>
      <c r="I53" s="211"/>
      <c r="J53" s="210"/>
      <c r="K53" s="210"/>
      <c r="L53" s="210"/>
      <c r="M53" s="211"/>
      <c r="N53" s="210"/>
      <c r="O53" s="210"/>
      <c r="P53" s="210"/>
      <c r="Q53" s="211"/>
      <c r="R53" s="212">
        <f t="shared" si="7"/>
        <v>0</v>
      </c>
      <c r="S53" s="213">
        <f t="shared" si="9"/>
        <v>0</v>
      </c>
      <c r="T53" s="214"/>
      <c r="U53" s="214"/>
      <c r="V53" s="214"/>
      <c r="W53" s="214"/>
      <c r="X53" s="214"/>
      <c r="Y53" s="215"/>
      <c r="Z53" s="215"/>
      <c r="AA53" s="215"/>
      <c r="AB53" s="215"/>
      <c r="AC53" s="215"/>
      <c r="AD53" s="215"/>
      <c r="AE53" s="215"/>
      <c r="AF53" s="200"/>
      <c r="AG53" s="210" t="s">
        <v>328</v>
      </c>
      <c r="AH53" s="210"/>
      <c r="AI53" s="210"/>
      <c r="AJ53" s="210"/>
      <c r="AK53" s="211"/>
      <c r="AL53" s="210"/>
      <c r="AM53" s="210"/>
      <c r="AN53" s="210"/>
      <c r="AO53" s="211"/>
      <c r="AP53" s="210"/>
      <c r="AQ53" s="210"/>
      <c r="AR53" s="210"/>
      <c r="AS53" s="211"/>
      <c r="AT53" s="210"/>
      <c r="AU53" s="210"/>
      <c r="AV53" s="210"/>
      <c r="AW53" s="211"/>
      <c r="AX53" s="212">
        <f t="shared" si="8"/>
        <v>0</v>
      </c>
      <c r="AY53" s="213">
        <f t="shared" si="10"/>
        <v>0</v>
      </c>
      <c r="AZ53" s="215"/>
      <c r="BA53" s="215"/>
      <c r="BB53" s="215"/>
      <c r="BC53" s="215"/>
      <c r="BD53" s="215"/>
      <c r="BE53" s="215"/>
      <c r="BF53" s="215"/>
      <c r="BG53" s="215"/>
      <c r="BH53" s="215"/>
      <c r="BI53" s="215"/>
      <c r="BJ53" s="215"/>
      <c r="BK53" s="215"/>
    </row>
    <row r="54" spans="1:63" ht="18" x14ac:dyDescent="0.3">
      <c r="A54" s="210" t="s">
        <v>329</v>
      </c>
      <c r="B54" s="210"/>
      <c r="C54" s="210"/>
      <c r="D54" s="210"/>
      <c r="E54" s="211"/>
      <c r="F54" s="210"/>
      <c r="G54" s="210"/>
      <c r="H54" s="210"/>
      <c r="I54" s="211"/>
      <c r="J54" s="210"/>
      <c r="K54" s="210"/>
      <c r="L54" s="210"/>
      <c r="M54" s="211"/>
      <c r="N54" s="210"/>
      <c r="O54" s="210"/>
      <c r="P54" s="210"/>
      <c r="Q54" s="211"/>
      <c r="R54" s="212">
        <f t="shared" si="7"/>
        <v>0</v>
      </c>
      <c r="S54" s="213">
        <f t="shared" si="9"/>
        <v>0</v>
      </c>
      <c r="T54" s="214"/>
      <c r="U54" s="214"/>
      <c r="V54" s="214"/>
      <c r="W54" s="214"/>
      <c r="X54" s="214"/>
      <c r="Y54" s="215"/>
      <c r="Z54" s="215"/>
      <c r="AA54" s="215"/>
      <c r="AB54" s="215"/>
      <c r="AC54" s="215"/>
      <c r="AD54" s="215"/>
      <c r="AE54" s="215"/>
      <c r="AF54" s="200"/>
      <c r="AG54" s="210" t="s">
        <v>329</v>
      </c>
      <c r="AH54" s="210"/>
      <c r="AI54" s="210"/>
      <c r="AJ54" s="210"/>
      <c r="AK54" s="211"/>
      <c r="AL54" s="210"/>
      <c r="AM54" s="210"/>
      <c r="AN54" s="210"/>
      <c r="AO54" s="211"/>
      <c r="AP54" s="210"/>
      <c r="AQ54" s="210"/>
      <c r="AR54" s="210"/>
      <c r="AS54" s="211"/>
      <c r="AT54" s="210"/>
      <c r="AU54" s="210"/>
      <c r="AV54" s="210"/>
      <c r="AW54" s="211"/>
      <c r="AX54" s="212">
        <f t="shared" si="8"/>
        <v>0</v>
      </c>
      <c r="AY54" s="213">
        <f t="shared" si="10"/>
        <v>0</v>
      </c>
      <c r="AZ54" s="215"/>
      <c r="BA54" s="215"/>
      <c r="BB54" s="215"/>
      <c r="BC54" s="215"/>
      <c r="BD54" s="215"/>
      <c r="BE54" s="215"/>
      <c r="BF54" s="215"/>
      <c r="BG54" s="215"/>
      <c r="BH54" s="215"/>
      <c r="BI54" s="215"/>
      <c r="BJ54" s="215"/>
      <c r="BK54" s="215"/>
    </row>
    <row r="55" spans="1:63" ht="18" x14ac:dyDescent="0.3">
      <c r="A55" s="210" t="s">
        <v>330</v>
      </c>
      <c r="B55" s="210"/>
      <c r="C55" s="210"/>
      <c r="D55" s="210"/>
      <c r="E55" s="211"/>
      <c r="F55" s="210"/>
      <c r="G55" s="210"/>
      <c r="H55" s="210"/>
      <c r="I55" s="211"/>
      <c r="J55" s="210"/>
      <c r="K55" s="210"/>
      <c r="L55" s="210"/>
      <c r="M55" s="211"/>
      <c r="N55" s="210"/>
      <c r="O55" s="210"/>
      <c r="P55" s="210"/>
      <c r="Q55" s="211"/>
      <c r="R55" s="212">
        <f t="shared" si="7"/>
        <v>0</v>
      </c>
      <c r="S55" s="213">
        <f t="shared" si="9"/>
        <v>0</v>
      </c>
      <c r="T55" s="214"/>
      <c r="U55" s="214"/>
      <c r="V55" s="214"/>
      <c r="W55" s="214"/>
      <c r="X55" s="214"/>
      <c r="Y55" s="215"/>
      <c r="Z55" s="215"/>
      <c r="AA55" s="215"/>
      <c r="AB55" s="215"/>
      <c r="AC55" s="215"/>
      <c r="AD55" s="215"/>
      <c r="AE55" s="215"/>
      <c r="AF55" s="200"/>
      <c r="AG55" s="210" t="s">
        <v>330</v>
      </c>
      <c r="AH55" s="210"/>
      <c r="AI55" s="210"/>
      <c r="AJ55" s="210"/>
      <c r="AK55" s="211"/>
      <c r="AL55" s="210"/>
      <c r="AM55" s="210"/>
      <c r="AN55" s="210"/>
      <c r="AO55" s="211"/>
      <c r="AP55" s="210"/>
      <c r="AQ55" s="210"/>
      <c r="AR55" s="210"/>
      <c r="AS55" s="211"/>
      <c r="AT55" s="210"/>
      <c r="AU55" s="210"/>
      <c r="AV55" s="210"/>
      <c r="AW55" s="211"/>
      <c r="AX55" s="212">
        <f t="shared" si="8"/>
        <v>0</v>
      </c>
      <c r="AY55" s="213">
        <f t="shared" si="10"/>
        <v>0</v>
      </c>
      <c r="AZ55" s="215"/>
      <c r="BA55" s="215"/>
      <c r="BB55" s="215"/>
      <c r="BC55" s="215"/>
      <c r="BD55" s="215"/>
      <c r="BE55" s="215"/>
      <c r="BF55" s="215"/>
      <c r="BG55" s="215"/>
      <c r="BH55" s="215"/>
      <c r="BI55" s="215"/>
      <c r="BJ55" s="215"/>
      <c r="BK55" s="215"/>
    </row>
    <row r="56" spans="1:63" ht="18" x14ac:dyDescent="0.3">
      <c r="A56" s="210" t="s">
        <v>331</v>
      </c>
      <c r="B56" s="210"/>
      <c r="C56" s="210"/>
      <c r="D56" s="210"/>
      <c r="E56" s="211"/>
      <c r="F56" s="210"/>
      <c r="G56" s="210"/>
      <c r="H56" s="210"/>
      <c r="I56" s="211"/>
      <c r="J56" s="210"/>
      <c r="K56" s="210"/>
      <c r="L56" s="210"/>
      <c r="M56" s="211"/>
      <c r="N56" s="210"/>
      <c r="O56" s="210"/>
      <c r="P56" s="210"/>
      <c r="Q56" s="211"/>
      <c r="R56" s="212">
        <f t="shared" si="7"/>
        <v>0</v>
      </c>
      <c r="S56" s="213">
        <f t="shared" si="9"/>
        <v>0</v>
      </c>
      <c r="T56" s="214"/>
      <c r="U56" s="214"/>
      <c r="V56" s="214"/>
      <c r="W56" s="214"/>
      <c r="X56" s="214"/>
      <c r="Y56" s="215"/>
      <c r="Z56" s="215"/>
      <c r="AA56" s="215"/>
      <c r="AB56" s="215"/>
      <c r="AC56" s="215"/>
      <c r="AD56" s="215"/>
      <c r="AE56" s="215"/>
      <c r="AF56" s="200"/>
      <c r="AG56" s="210" t="s">
        <v>331</v>
      </c>
      <c r="AH56" s="210"/>
      <c r="AI56" s="210"/>
      <c r="AJ56" s="210"/>
      <c r="AK56" s="211"/>
      <c r="AL56" s="210"/>
      <c r="AM56" s="210"/>
      <c r="AN56" s="210"/>
      <c r="AO56" s="211"/>
      <c r="AP56" s="210"/>
      <c r="AQ56" s="210"/>
      <c r="AR56" s="210"/>
      <c r="AS56" s="211"/>
      <c r="AT56" s="210"/>
      <c r="AU56" s="210"/>
      <c r="AV56" s="210"/>
      <c r="AW56" s="211"/>
      <c r="AX56" s="212">
        <f t="shared" si="8"/>
        <v>0</v>
      </c>
      <c r="AY56" s="213">
        <f t="shared" si="10"/>
        <v>0</v>
      </c>
      <c r="AZ56" s="215"/>
      <c r="BA56" s="215"/>
      <c r="BB56" s="215"/>
      <c r="BC56" s="215"/>
      <c r="BD56" s="215"/>
      <c r="BE56" s="215"/>
      <c r="BF56" s="215"/>
      <c r="BG56" s="215"/>
      <c r="BH56" s="215"/>
      <c r="BI56" s="215"/>
      <c r="BJ56" s="215"/>
      <c r="BK56" s="215"/>
    </row>
    <row r="57" spans="1:63" ht="18" x14ac:dyDescent="0.3">
      <c r="A57" s="210" t="s">
        <v>332</v>
      </c>
      <c r="B57" s="210"/>
      <c r="C57" s="210"/>
      <c r="D57" s="210"/>
      <c r="E57" s="211"/>
      <c r="F57" s="210"/>
      <c r="G57" s="210"/>
      <c r="H57" s="210"/>
      <c r="I57" s="211"/>
      <c r="J57" s="210"/>
      <c r="K57" s="210"/>
      <c r="L57" s="210"/>
      <c r="M57" s="211"/>
      <c r="N57" s="210"/>
      <c r="O57" s="210"/>
      <c r="P57" s="210"/>
      <c r="Q57" s="211"/>
      <c r="R57" s="212">
        <f t="shared" si="7"/>
        <v>0</v>
      </c>
      <c r="S57" s="213">
        <f t="shared" si="9"/>
        <v>0</v>
      </c>
      <c r="T57" s="214"/>
      <c r="U57" s="214"/>
      <c r="V57" s="214"/>
      <c r="W57" s="214"/>
      <c r="X57" s="214"/>
      <c r="Y57" s="215"/>
      <c r="Z57" s="215"/>
      <c r="AA57" s="215"/>
      <c r="AB57" s="215"/>
      <c r="AC57" s="215"/>
      <c r="AD57" s="215"/>
      <c r="AE57" s="215"/>
      <c r="AF57" s="200"/>
      <c r="AG57" s="210" t="s">
        <v>332</v>
      </c>
      <c r="AH57" s="210"/>
      <c r="AI57" s="210"/>
      <c r="AJ57" s="210"/>
      <c r="AK57" s="211"/>
      <c r="AL57" s="210"/>
      <c r="AM57" s="210"/>
      <c r="AN57" s="210"/>
      <c r="AO57" s="211"/>
      <c r="AP57" s="210"/>
      <c r="AQ57" s="210"/>
      <c r="AR57" s="210"/>
      <c r="AS57" s="211"/>
      <c r="AT57" s="210"/>
      <c r="AU57" s="210"/>
      <c r="AV57" s="210"/>
      <c r="AW57" s="211"/>
      <c r="AX57" s="212">
        <f t="shared" si="8"/>
        <v>0</v>
      </c>
      <c r="AY57" s="213">
        <f t="shared" si="10"/>
        <v>0</v>
      </c>
      <c r="AZ57" s="215"/>
      <c r="BA57" s="215"/>
      <c r="BB57" s="215"/>
      <c r="BC57" s="215"/>
      <c r="BD57" s="215"/>
      <c r="BE57" s="215"/>
      <c r="BF57" s="215"/>
      <c r="BG57" s="215"/>
      <c r="BH57" s="215"/>
      <c r="BI57" s="215"/>
      <c r="BJ57" s="215"/>
      <c r="BK57" s="215"/>
    </row>
    <row r="58" spans="1:63" ht="18" x14ac:dyDescent="0.3">
      <c r="A58" s="217" t="s">
        <v>333</v>
      </c>
      <c r="B58" s="218">
        <f t="shared" ref="B58:Q58" si="11">SUM(B37:B57)</f>
        <v>0</v>
      </c>
      <c r="C58" s="218">
        <f t="shared" si="11"/>
        <v>0</v>
      </c>
      <c r="D58" s="218">
        <f t="shared" si="11"/>
        <v>0</v>
      </c>
      <c r="E58" s="219">
        <f t="shared" si="11"/>
        <v>0</v>
      </c>
      <c r="F58" s="218">
        <f t="shared" si="11"/>
        <v>0</v>
      </c>
      <c r="G58" s="218">
        <f t="shared" si="11"/>
        <v>0</v>
      </c>
      <c r="H58" s="218">
        <f t="shared" si="11"/>
        <v>0</v>
      </c>
      <c r="I58" s="219">
        <f t="shared" si="11"/>
        <v>0</v>
      </c>
      <c r="J58" s="218">
        <f t="shared" si="11"/>
        <v>0</v>
      </c>
      <c r="K58" s="218">
        <f t="shared" si="11"/>
        <v>0</v>
      </c>
      <c r="L58" s="218">
        <f t="shared" si="11"/>
        <v>0</v>
      </c>
      <c r="M58" s="219">
        <f t="shared" si="11"/>
        <v>0</v>
      </c>
      <c r="N58" s="218">
        <f t="shared" si="11"/>
        <v>0</v>
      </c>
      <c r="O58" s="218">
        <f t="shared" si="11"/>
        <v>0</v>
      </c>
      <c r="P58" s="218">
        <f t="shared" si="11"/>
        <v>0</v>
      </c>
      <c r="Q58" s="219">
        <f t="shared" si="11"/>
        <v>0</v>
      </c>
      <c r="R58" s="218">
        <f t="shared" ref="R58:AE58" si="12">SUM(R37:R57)</f>
        <v>0</v>
      </c>
      <c r="S58" s="213">
        <f t="shared" si="12"/>
        <v>0</v>
      </c>
      <c r="T58" s="218">
        <f t="shared" si="12"/>
        <v>0</v>
      </c>
      <c r="U58" s="218">
        <f t="shared" si="12"/>
        <v>0</v>
      </c>
      <c r="V58" s="218">
        <f t="shared" si="12"/>
        <v>0</v>
      </c>
      <c r="W58" s="218">
        <f t="shared" si="12"/>
        <v>0</v>
      </c>
      <c r="X58" s="218">
        <f t="shared" si="12"/>
        <v>0</v>
      </c>
      <c r="Y58" s="218">
        <f t="shared" si="12"/>
        <v>0</v>
      </c>
      <c r="Z58" s="218">
        <f t="shared" si="12"/>
        <v>0</v>
      </c>
      <c r="AA58" s="218">
        <f t="shared" si="12"/>
        <v>0</v>
      </c>
      <c r="AB58" s="218">
        <f t="shared" si="12"/>
        <v>0</v>
      </c>
      <c r="AC58" s="218">
        <f t="shared" si="12"/>
        <v>0</v>
      </c>
      <c r="AD58" s="218">
        <f t="shared" si="12"/>
        <v>0</v>
      </c>
      <c r="AE58" s="218">
        <f t="shared" si="12"/>
        <v>0</v>
      </c>
      <c r="AF58" s="200"/>
      <c r="AG58" s="217" t="s">
        <v>333</v>
      </c>
      <c r="AH58" s="218">
        <f t="shared" ref="AH58:AW58" si="13">SUM(AH37:AH57)</f>
        <v>0</v>
      </c>
      <c r="AI58" s="218">
        <f t="shared" si="13"/>
        <v>0</v>
      </c>
      <c r="AJ58" s="218">
        <f t="shared" si="13"/>
        <v>0</v>
      </c>
      <c r="AK58" s="219">
        <f t="shared" si="13"/>
        <v>0</v>
      </c>
      <c r="AL58" s="218">
        <f t="shared" si="13"/>
        <v>0</v>
      </c>
      <c r="AM58" s="218">
        <f t="shared" si="13"/>
        <v>0</v>
      </c>
      <c r="AN58" s="218">
        <f t="shared" si="13"/>
        <v>0</v>
      </c>
      <c r="AO58" s="219">
        <f t="shared" si="13"/>
        <v>0</v>
      </c>
      <c r="AP58" s="218">
        <f t="shared" si="13"/>
        <v>0</v>
      </c>
      <c r="AQ58" s="218">
        <f t="shared" si="13"/>
        <v>0</v>
      </c>
      <c r="AR58" s="218">
        <f t="shared" si="13"/>
        <v>0</v>
      </c>
      <c r="AS58" s="219">
        <f t="shared" si="13"/>
        <v>0</v>
      </c>
      <c r="AT58" s="218">
        <f t="shared" si="13"/>
        <v>0</v>
      </c>
      <c r="AU58" s="218">
        <f t="shared" si="13"/>
        <v>0</v>
      </c>
      <c r="AV58" s="218">
        <f t="shared" si="13"/>
        <v>0</v>
      </c>
      <c r="AW58" s="219">
        <f t="shared" si="13"/>
        <v>0</v>
      </c>
      <c r="AX58" s="220">
        <f t="shared" ref="AX58:BK58" si="14">SUM(AX37:AX57)</f>
        <v>0</v>
      </c>
      <c r="AY58" s="221">
        <f t="shared" si="14"/>
        <v>0</v>
      </c>
      <c r="AZ58" s="218">
        <f t="shared" si="14"/>
        <v>0</v>
      </c>
      <c r="BA58" s="218">
        <f t="shared" si="14"/>
        <v>0</v>
      </c>
      <c r="BB58" s="218">
        <f t="shared" si="14"/>
        <v>0</v>
      </c>
      <c r="BC58" s="218">
        <f t="shared" si="14"/>
        <v>0</v>
      </c>
      <c r="BD58" s="218">
        <f t="shared" si="14"/>
        <v>0</v>
      </c>
      <c r="BE58" s="218">
        <f t="shared" si="14"/>
        <v>0</v>
      </c>
      <c r="BF58" s="218">
        <f t="shared" si="14"/>
        <v>0</v>
      </c>
      <c r="BG58" s="218">
        <f t="shared" si="14"/>
        <v>0</v>
      </c>
      <c r="BH58" s="218">
        <f t="shared" si="14"/>
        <v>0</v>
      </c>
      <c r="BI58" s="218">
        <f t="shared" si="14"/>
        <v>0</v>
      </c>
      <c r="BJ58" s="218">
        <f t="shared" si="14"/>
        <v>0</v>
      </c>
      <c r="BK58" s="218">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5" right="0.75" top="1" bottom="1" header="0.3" footer="0.3"/>
  <pageSetup paperSize="9" scale="1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2" zoomScale="90" zoomScaleNormal="90" workbookViewId="0">
      <selection activeCell="A2" sqref="A2:B2"/>
    </sheetView>
  </sheetViews>
  <sheetFormatPr baseColWidth="10" defaultColWidth="10.6640625" defaultRowHeight="13.8" x14ac:dyDescent="0.3"/>
  <cols>
    <col min="1" max="1" width="72" style="125" bestFit="1" customWidth="1"/>
    <col min="2" max="2" width="73.44140625" style="125" customWidth="1"/>
    <col min="3" max="3" width="10.6640625" style="125"/>
    <col min="4" max="4" width="31.109375" style="125" customWidth="1"/>
    <col min="5" max="5" width="70.109375" style="125" customWidth="1"/>
    <col min="6" max="6" width="17.33203125" style="125" customWidth="1"/>
    <col min="7" max="8" width="21.6640625" style="125" customWidth="1"/>
    <col min="9" max="9" width="19.33203125" style="125" customWidth="1"/>
    <col min="10" max="10" width="42" style="125" customWidth="1"/>
    <col min="11" max="16384" width="10.6640625" style="125"/>
  </cols>
  <sheetData>
    <row r="1" spans="1:2" ht="25.5" customHeight="1" x14ac:dyDescent="0.3">
      <c r="A1" s="1029" t="s">
        <v>182</v>
      </c>
      <c r="B1" s="1030"/>
    </row>
    <row r="2" spans="1:2" ht="25.5" customHeight="1" x14ac:dyDescent="0.3">
      <c r="A2" s="1031" t="s">
        <v>334</v>
      </c>
      <c r="B2" s="1032"/>
    </row>
    <row r="3" spans="1:2" x14ac:dyDescent="0.3">
      <c r="A3" s="143" t="s">
        <v>335</v>
      </c>
      <c r="B3" s="126" t="s">
        <v>336</v>
      </c>
    </row>
    <row r="4" spans="1:2" x14ac:dyDescent="0.3">
      <c r="A4" s="144" t="s">
        <v>9</v>
      </c>
      <c r="B4" s="133" t="s">
        <v>337</v>
      </c>
    </row>
    <row r="5" spans="1:2" ht="96.6" x14ac:dyDescent="0.3">
      <c r="A5" s="144" t="s">
        <v>10</v>
      </c>
      <c r="B5" s="146" t="s">
        <v>338</v>
      </c>
    </row>
    <row r="6" spans="1:2" x14ac:dyDescent="0.3">
      <c r="A6" s="144" t="s">
        <v>15</v>
      </c>
      <c r="B6" s="1033" t="s">
        <v>339</v>
      </c>
    </row>
    <row r="7" spans="1:2" x14ac:dyDescent="0.3">
      <c r="A7" s="144" t="s">
        <v>17</v>
      </c>
      <c r="B7" s="1034"/>
    </row>
    <row r="8" spans="1:2" x14ac:dyDescent="0.3">
      <c r="A8" s="144" t="s">
        <v>19</v>
      </c>
      <c r="B8" s="1034"/>
    </row>
    <row r="9" spans="1:2" x14ac:dyDescent="0.3">
      <c r="A9" s="144" t="s">
        <v>340</v>
      </c>
      <c r="B9" s="1035"/>
    </row>
    <row r="10" spans="1:2" ht="27.6" x14ac:dyDescent="0.3">
      <c r="A10" s="144" t="s">
        <v>7</v>
      </c>
      <c r="B10" s="127" t="s">
        <v>341</v>
      </c>
    </row>
    <row r="11" spans="1:2" ht="27.6" x14ac:dyDescent="0.3">
      <c r="A11" s="144" t="s">
        <v>27</v>
      </c>
      <c r="B11" s="127" t="s">
        <v>342</v>
      </c>
    </row>
    <row r="12" spans="1:2" ht="55.2" x14ac:dyDescent="0.3">
      <c r="A12" s="144" t="s">
        <v>26</v>
      </c>
      <c r="B12" s="128" t="s">
        <v>343</v>
      </c>
    </row>
    <row r="13" spans="1:2" ht="27.6" x14ac:dyDescent="0.3">
      <c r="A13" s="144" t="s">
        <v>344</v>
      </c>
      <c r="B13" s="128" t="s">
        <v>345</v>
      </c>
    </row>
    <row r="14" spans="1:2" ht="27.6" x14ac:dyDescent="0.3">
      <c r="A14" s="144" t="s">
        <v>346</v>
      </c>
      <c r="B14" s="128" t="s">
        <v>347</v>
      </c>
    </row>
    <row r="15" spans="1:2" ht="72" customHeight="1" x14ac:dyDescent="0.3">
      <c r="A15" s="145" t="s">
        <v>348</v>
      </c>
      <c r="B15" s="129" t="s">
        <v>349</v>
      </c>
    </row>
    <row r="16" spans="1:2" ht="165.6" x14ac:dyDescent="0.3">
      <c r="A16" s="145" t="s">
        <v>350</v>
      </c>
      <c r="B16" s="130" t="s">
        <v>351</v>
      </c>
    </row>
    <row r="17" spans="1:2" ht="25.5" customHeight="1" x14ac:dyDescent="0.3">
      <c r="A17" s="1031" t="s">
        <v>352</v>
      </c>
      <c r="B17" s="1032"/>
    </row>
    <row r="18" spans="1:2" x14ac:dyDescent="0.3">
      <c r="A18" s="143" t="s">
        <v>335</v>
      </c>
      <c r="B18" s="126" t="s">
        <v>336</v>
      </c>
    </row>
    <row r="19" spans="1:2" x14ac:dyDescent="0.3">
      <c r="A19" s="144" t="s">
        <v>9</v>
      </c>
      <c r="B19" s="133" t="s">
        <v>337</v>
      </c>
    </row>
    <row r="20" spans="1:2" ht="96.6" x14ac:dyDescent="0.3">
      <c r="A20" s="144" t="s">
        <v>10</v>
      </c>
      <c r="B20" s="132" t="s">
        <v>353</v>
      </c>
    </row>
    <row r="21" spans="1:2" ht="27.6" x14ac:dyDescent="0.3">
      <c r="A21" s="144" t="s">
        <v>354</v>
      </c>
      <c r="B21" s="128" t="s">
        <v>355</v>
      </c>
    </row>
    <row r="22" spans="1:2" ht="41.4" x14ac:dyDescent="0.3">
      <c r="A22" s="144" t="s">
        <v>356</v>
      </c>
      <c r="B22" s="128" t="s">
        <v>357</v>
      </c>
    </row>
    <row r="23" spans="1:2" ht="55.2" x14ac:dyDescent="0.3">
      <c r="A23" s="144" t="s">
        <v>358</v>
      </c>
      <c r="B23" s="128" t="s">
        <v>359</v>
      </c>
    </row>
    <row r="24" spans="1:2" ht="27.6" x14ac:dyDescent="0.3">
      <c r="A24" s="144" t="s">
        <v>360</v>
      </c>
      <c r="B24" s="128" t="s">
        <v>361</v>
      </c>
    </row>
    <row r="25" spans="1:2" x14ac:dyDescent="0.3">
      <c r="A25" s="144" t="s">
        <v>362</v>
      </c>
      <c r="B25" s="128" t="s">
        <v>363</v>
      </c>
    </row>
    <row r="26" spans="1:2" ht="45.75" customHeight="1" x14ac:dyDescent="0.3">
      <c r="A26" s="144" t="s">
        <v>364</v>
      </c>
      <c r="B26" s="131" t="s">
        <v>365</v>
      </c>
    </row>
    <row r="27" spans="1:2" ht="55.2" x14ac:dyDescent="0.3">
      <c r="A27" s="144" t="s">
        <v>196</v>
      </c>
      <c r="B27" s="131" t="s">
        <v>366</v>
      </c>
    </row>
    <row r="28" spans="1:2" ht="41.4" x14ac:dyDescent="0.3">
      <c r="A28" s="144" t="s">
        <v>367</v>
      </c>
      <c r="B28" s="131" t="s">
        <v>368</v>
      </c>
    </row>
    <row r="29" spans="1:2" ht="41.4" x14ac:dyDescent="0.3">
      <c r="A29" s="144" t="s">
        <v>369</v>
      </c>
      <c r="B29" s="131" t="s">
        <v>370</v>
      </c>
    </row>
    <row r="30" spans="1:2" ht="41.4" x14ac:dyDescent="0.3">
      <c r="A30" s="144" t="s">
        <v>371</v>
      </c>
      <c r="B30" s="131" t="s">
        <v>372</v>
      </c>
    </row>
    <row r="31" spans="1:2" ht="144" customHeight="1" x14ac:dyDescent="0.3">
      <c r="A31" s="144" t="s">
        <v>373</v>
      </c>
      <c r="B31" s="131" t="s">
        <v>374</v>
      </c>
    </row>
    <row r="32" spans="1:2" ht="27.6" x14ac:dyDescent="0.3">
      <c r="A32" s="144" t="s">
        <v>375</v>
      </c>
      <c r="B32" s="131" t="s">
        <v>376</v>
      </c>
    </row>
    <row r="33" spans="1:2" ht="27.6" x14ac:dyDescent="0.3">
      <c r="A33" s="144" t="s">
        <v>377</v>
      </c>
      <c r="B33" s="131" t="s">
        <v>378</v>
      </c>
    </row>
    <row r="34" spans="1:2" ht="27.6" x14ac:dyDescent="0.3">
      <c r="A34" s="144" t="s">
        <v>379</v>
      </c>
      <c r="B34" s="131" t="s">
        <v>380</v>
      </c>
    </row>
    <row r="35" spans="1:2" ht="27.6" x14ac:dyDescent="0.3">
      <c r="A35" s="144" t="s">
        <v>381</v>
      </c>
      <c r="B35" s="131" t="s">
        <v>382</v>
      </c>
    </row>
    <row r="36" spans="1:2" ht="69" x14ac:dyDescent="0.3">
      <c r="A36" s="144" t="s">
        <v>383</v>
      </c>
      <c r="B36" s="131" t="s">
        <v>384</v>
      </c>
    </row>
    <row r="37" spans="1:2" x14ac:dyDescent="0.3">
      <c r="A37" s="144" t="s">
        <v>185</v>
      </c>
      <c r="B37" s="131" t="s">
        <v>385</v>
      </c>
    </row>
    <row r="38" spans="1:2" ht="27.6" x14ac:dyDescent="0.3">
      <c r="A38" s="144" t="s">
        <v>386</v>
      </c>
      <c r="B38" s="131" t="s">
        <v>387</v>
      </c>
    </row>
    <row r="39" spans="1:2" ht="41.4" x14ac:dyDescent="0.3">
      <c r="A39" s="144" t="s">
        <v>388</v>
      </c>
      <c r="B39" s="131" t="s">
        <v>389</v>
      </c>
    </row>
    <row r="40" spans="1:2" ht="27.6" x14ac:dyDescent="0.3">
      <c r="A40" s="145" t="s">
        <v>188</v>
      </c>
      <c r="B40" s="131" t="s">
        <v>390</v>
      </c>
    </row>
    <row r="41" spans="1:2" ht="25.5" customHeight="1" x14ac:dyDescent="0.3">
      <c r="A41" s="1031" t="s">
        <v>391</v>
      </c>
      <c r="B41" s="1032"/>
    </row>
    <row r="42" spans="1:2" x14ac:dyDescent="0.3">
      <c r="A42" s="1029" t="s">
        <v>392</v>
      </c>
      <c r="B42" s="1030"/>
    </row>
    <row r="43" spans="1:2" ht="72" customHeight="1" x14ac:dyDescent="0.3">
      <c r="A43" s="1027" t="s">
        <v>393</v>
      </c>
      <c r="B43" s="1028"/>
    </row>
    <row r="44" spans="1:2" ht="27.6" x14ac:dyDescent="0.3">
      <c r="A44" s="144" t="s">
        <v>369</v>
      </c>
      <c r="B44" s="131" t="s">
        <v>394</v>
      </c>
    </row>
    <row r="45" spans="1:2" ht="27.6" x14ac:dyDescent="0.3">
      <c r="A45" s="145" t="s">
        <v>395</v>
      </c>
      <c r="B45" s="131" t="s">
        <v>396</v>
      </c>
    </row>
  </sheetData>
  <mergeCells count="7">
    <mergeCell ref="A43:B43"/>
    <mergeCell ref="A1:B1"/>
    <mergeCell ref="A2:B2"/>
    <mergeCell ref="B6:B9"/>
    <mergeCell ref="A17:B17"/>
    <mergeCell ref="A41:B41"/>
    <mergeCell ref="A42:B42"/>
  </mergeCells>
  <pageMargins left="0.25" right="0.25" top="1" bottom="1"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C18" sqref="C18"/>
    </sheetView>
  </sheetViews>
  <sheetFormatPr baseColWidth="10" defaultColWidth="9.10937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9.109375" style="108"/>
  </cols>
  <sheetData>
    <row r="1" spans="1:9" s="113" customFormat="1" x14ac:dyDescent="0.3">
      <c r="A1" s="112" t="s">
        <v>397</v>
      </c>
      <c r="B1" s="112" t="s">
        <v>398</v>
      </c>
      <c r="C1" s="112" t="s">
        <v>399</v>
      </c>
      <c r="D1" s="112" t="s">
        <v>400</v>
      </c>
      <c r="E1" s="112" t="s">
        <v>371</v>
      </c>
      <c r="F1" s="112" t="s">
        <v>401</v>
      </c>
      <c r="G1" s="112" t="s">
        <v>402</v>
      </c>
      <c r="H1" s="112" t="s">
        <v>296</v>
      </c>
      <c r="I1" s="112" t="s">
        <v>362</v>
      </c>
    </row>
    <row r="2" spans="1:9" s="113" customFormat="1" x14ac:dyDescent="0.3">
      <c r="A2" s="114" t="s">
        <v>403</v>
      </c>
      <c r="B2" s="109" t="s">
        <v>404</v>
      </c>
      <c r="C2" s="114" t="s">
        <v>405</v>
      </c>
      <c r="D2" s="115" t="s">
        <v>406</v>
      </c>
      <c r="E2" s="110" t="s">
        <v>407</v>
      </c>
      <c r="F2" s="116" t="s">
        <v>408</v>
      </c>
      <c r="G2" s="117" t="s">
        <v>409</v>
      </c>
      <c r="H2" s="117" t="s">
        <v>410</v>
      </c>
      <c r="I2" s="116" t="s">
        <v>411</v>
      </c>
    </row>
    <row r="3" spans="1:9" x14ac:dyDescent="0.3">
      <c r="A3" s="114" t="s">
        <v>412</v>
      </c>
      <c r="B3" s="109" t="s">
        <v>413</v>
      </c>
      <c r="C3" s="114" t="s">
        <v>414</v>
      </c>
      <c r="D3" s="118" t="s">
        <v>415</v>
      </c>
      <c r="E3" s="110" t="s">
        <v>416</v>
      </c>
      <c r="F3" s="116" t="s">
        <v>417</v>
      </c>
      <c r="G3" s="117" t="s">
        <v>418</v>
      </c>
      <c r="H3" s="117" t="s">
        <v>305</v>
      </c>
      <c r="I3" s="116" t="s">
        <v>419</v>
      </c>
    </row>
    <row r="4" spans="1:9" x14ac:dyDescent="0.3">
      <c r="A4" s="114" t="s">
        <v>190</v>
      </c>
      <c r="B4" s="109" t="s">
        <v>420</v>
      </c>
      <c r="C4" s="114" t="s">
        <v>421</v>
      </c>
      <c r="D4" s="118" t="s">
        <v>422</v>
      </c>
      <c r="E4" s="110" t="s">
        <v>423</v>
      </c>
      <c r="F4" s="116" t="s">
        <v>424</v>
      </c>
      <c r="G4" s="117" t="s">
        <v>425</v>
      </c>
      <c r="H4" s="117" t="s">
        <v>300</v>
      </c>
      <c r="I4" s="116" t="s">
        <v>426</v>
      </c>
    </row>
    <row r="5" spans="1:9" x14ac:dyDescent="0.3">
      <c r="A5" s="114" t="s">
        <v>427</v>
      </c>
      <c r="B5" s="109" t="s">
        <v>428</v>
      </c>
      <c r="C5" s="114" t="s">
        <v>429</v>
      </c>
      <c r="D5" s="118" t="s">
        <v>430</v>
      </c>
      <c r="E5" s="110" t="s">
        <v>431</v>
      </c>
      <c r="F5" s="116" t="s">
        <v>432</v>
      </c>
      <c r="G5" s="117" t="s">
        <v>433</v>
      </c>
      <c r="H5" s="117" t="s">
        <v>301</v>
      </c>
      <c r="I5" s="116" t="s">
        <v>434</v>
      </c>
    </row>
    <row r="6" spans="1:9" ht="27.6" x14ac:dyDescent="0.3">
      <c r="A6" s="114" t="s">
        <v>435</v>
      </c>
      <c r="B6" s="109" t="s">
        <v>436</v>
      </c>
      <c r="C6" s="114" t="s">
        <v>437</v>
      </c>
      <c r="D6" s="118" t="s">
        <v>438</v>
      </c>
      <c r="E6" s="110" t="s">
        <v>439</v>
      </c>
      <c r="G6" s="117" t="s">
        <v>440</v>
      </c>
      <c r="H6" s="117" t="s">
        <v>302</v>
      </c>
      <c r="I6" s="116" t="s">
        <v>441</v>
      </c>
    </row>
    <row r="7" spans="1:9" ht="27.6" x14ac:dyDescent="0.3">
      <c r="B7" s="109" t="s">
        <v>442</v>
      </c>
      <c r="C7" s="114" t="s">
        <v>443</v>
      </c>
      <c r="D7" s="118" t="s">
        <v>444</v>
      </c>
      <c r="E7" s="116" t="s">
        <v>445</v>
      </c>
      <c r="G7" s="110" t="s">
        <v>311</v>
      </c>
      <c r="H7" s="117" t="s">
        <v>303</v>
      </c>
      <c r="I7" s="116" t="s">
        <v>446</v>
      </c>
    </row>
    <row r="8" spans="1:9" ht="27.6" x14ac:dyDescent="0.3">
      <c r="A8" s="119"/>
      <c r="B8" s="109" t="s">
        <v>447</v>
      </c>
      <c r="C8" s="114" t="s">
        <v>448</v>
      </c>
      <c r="D8" s="118" t="s">
        <v>449</v>
      </c>
      <c r="E8" s="116" t="s">
        <v>450</v>
      </c>
      <c r="I8" s="116" t="s">
        <v>451</v>
      </c>
    </row>
    <row r="9" spans="1:9" ht="32.1" customHeight="1" x14ac:dyDescent="0.3">
      <c r="A9" s="119"/>
      <c r="B9" s="109" t="s">
        <v>452</v>
      </c>
      <c r="C9" s="114" t="s">
        <v>453</v>
      </c>
      <c r="D9" s="118" t="s">
        <v>454</v>
      </c>
      <c r="E9" s="116" t="s">
        <v>455</v>
      </c>
      <c r="I9" s="116" t="s">
        <v>456</v>
      </c>
    </row>
    <row r="10" spans="1:9" x14ac:dyDescent="0.3">
      <c r="A10" s="119"/>
      <c r="B10" s="109" t="s">
        <v>457</v>
      </c>
      <c r="C10" s="114" t="s">
        <v>458</v>
      </c>
      <c r="D10" s="118" t="s">
        <v>459</v>
      </c>
      <c r="E10" s="116" t="s">
        <v>460</v>
      </c>
      <c r="I10" s="116" t="s">
        <v>461</v>
      </c>
    </row>
    <row r="11" spans="1:9" x14ac:dyDescent="0.3">
      <c r="A11" s="119"/>
      <c r="B11" s="109" t="s">
        <v>462</v>
      </c>
      <c r="C11" s="114" t="s">
        <v>463</v>
      </c>
      <c r="D11" s="118" t="s">
        <v>464</v>
      </c>
      <c r="E11" s="116" t="s">
        <v>465</v>
      </c>
      <c r="I11" s="116" t="s">
        <v>466</v>
      </c>
    </row>
    <row r="12" spans="1:9" ht="27.6" x14ac:dyDescent="0.3">
      <c r="A12" s="119"/>
      <c r="B12" s="109" t="s">
        <v>467</v>
      </c>
      <c r="C12" s="114" t="s">
        <v>468</v>
      </c>
      <c r="D12" s="118" t="s">
        <v>469</v>
      </c>
      <c r="E12" s="116" t="s">
        <v>470</v>
      </c>
      <c r="I12" s="116" t="s">
        <v>471</v>
      </c>
    </row>
    <row r="13" spans="1:9" x14ac:dyDescent="0.3">
      <c r="A13" s="119"/>
      <c r="B13" s="222" t="s">
        <v>472</v>
      </c>
      <c r="D13" s="118" t="s">
        <v>473</v>
      </c>
      <c r="E13" s="116" t="s">
        <v>474</v>
      </c>
      <c r="I13" s="116" t="s">
        <v>475</v>
      </c>
    </row>
    <row r="14" spans="1:9" x14ac:dyDescent="0.3">
      <c r="A14" s="119"/>
      <c r="B14" s="109" t="s">
        <v>476</v>
      </c>
      <c r="C14" s="119"/>
      <c r="D14" s="118" t="s">
        <v>477</v>
      </c>
      <c r="E14" s="116" t="s">
        <v>478</v>
      </c>
    </row>
    <row r="15" spans="1:9" x14ac:dyDescent="0.3">
      <c r="A15" s="119"/>
      <c r="B15" s="109" t="s">
        <v>479</v>
      </c>
      <c r="C15" s="119"/>
      <c r="D15" s="118" t="s">
        <v>480</v>
      </c>
      <c r="E15" s="116" t="s">
        <v>481</v>
      </c>
    </row>
    <row r="16" spans="1:9" x14ac:dyDescent="0.3">
      <c r="A16" s="119"/>
      <c r="B16" s="109" t="s">
        <v>482</v>
      </c>
      <c r="C16" s="119"/>
      <c r="D16" s="118" t="s">
        <v>483</v>
      </c>
      <c r="E16" s="120"/>
    </row>
    <row r="17" spans="1:5" x14ac:dyDescent="0.3">
      <c r="A17" s="119"/>
      <c r="B17" s="109" t="s">
        <v>484</v>
      </c>
      <c r="C17" s="119"/>
      <c r="D17" s="118" t="s">
        <v>485</v>
      </c>
      <c r="E17" s="120"/>
    </row>
    <row r="18" spans="1:5" x14ac:dyDescent="0.3">
      <c r="A18" s="119"/>
      <c r="B18" s="109" t="s">
        <v>486</v>
      </c>
      <c r="C18" s="119"/>
      <c r="D18" s="118" t="s">
        <v>487</v>
      </c>
      <c r="E18" s="120"/>
    </row>
    <row r="19" spans="1:5" x14ac:dyDescent="0.3">
      <c r="A19" s="119"/>
      <c r="B19" s="109" t="s">
        <v>488</v>
      </c>
      <c r="C19" s="119"/>
      <c r="D19" s="118" t="s">
        <v>489</v>
      </c>
      <c r="E19" s="120"/>
    </row>
    <row r="20" spans="1:5" x14ac:dyDescent="0.3">
      <c r="A20" s="119"/>
      <c r="B20" s="109" t="s">
        <v>490</v>
      </c>
      <c r="C20" s="119"/>
      <c r="D20" s="118" t="s">
        <v>491</v>
      </c>
      <c r="E20" s="120"/>
    </row>
    <row r="21" spans="1:5" x14ac:dyDescent="0.3">
      <c r="B21" s="109" t="s">
        <v>492</v>
      </c>
      <c r="D21" s="118" t="s">
        <v>493</v>
      </c>
      <c r="E21" s="120"/>
    </row>
    <row r="22" spans="1:5" x14ac:dyDescent="0.3">
      <c r="B22" s="109" t="s">
        <v>494</v>
      </c>
      <c r="D22" s="118" t="s">
        <v>495</v>
      </c>
      <c r="E22" s="120"/>
    </row>
    <row r="23" spans="1:5" x14ac:dyDescent="0.3">
      <c r="B23" s="109" t="s">
        <v>496</v>
      </c>
      <c r="D23" s="118" t="s">
        <v>497</v>
      </c>
      <c r="E23" s="120"/>
    </row>
    <row r="24" spans="1:5" x14ac:dyDescent="0.3">
      <c r="D24" s="121" t="s">
        <v>498</v>
      </c>
      <c r="E24" s="121" t="s">
        <v>499</v>
      </c>
    </row>
    <row r="25" spans="1:5" x14ac:dyDescent="0.3">
      <c r="D25" s="122" t="s">
        <v>500</v>
      </c>
      <c r="E25" s="116" t="s">
        <v>501</v>
      </c>
    </row>
    <row r="26" spans="1:5" x14ac:dyDescent="0.3">
      <c r="D26" s="122" t="s">
        <v>502</v>
      </c>
      <c r="E26" s="116" t="s">
        <v>503</v>
      </c>
    </row>
    <row r="27" spans="1:5" x14ac:dyDescent="0.3">
      <c r="D27" s="1036" t="s">
        <v>504</v>
      </c>
      <c r="E27" s="116" t="s">
        <v>505</v>
      </c>
    </row>
    <row r="28" spans="1:5" x14ac:dyDescent="0.3">
      <c r="D28" s="1037"/>
      <c r="E28" s="116" t="s">
        <v>506</v>
      </c>
    </row>
    <row r="29" spans="1:5" x14ac:dyDescent="0.3">
      <c r="D29" s="1037"/>
      <c r="E29" s="116" t="s">
        <v>507</v>
      </c>
    </row>
    <row r="30" spans="1:5" x14ac:dyDescent="0.3">
      <c r="D30" s="1038"/>
      <c r="E30" s="116" t="s">
        <v>508</v>
      </c>
    </row>
    <row r="31" spans="1:5" x14ac:dyDescent="0.3">
      <c r="D31" s="122" t="s">
        <v>509</v>
      </c>
      <c r="E31" s="116" t="s">
        <v>510</v>
      </c>
    </row>
    <row r="32" spans="1:5" x14ac:dyDescent="0.3">
      <c r="D32" s="122" t="s">
        <v>511</v>
      </c>
      <c r="E32" s="116" t="s">
        <v>512</v>
      </c>
    </row>
    <row r="33" spans="4:5" x14ac:dyDescent="0.3">
      <c r="D33" s="122" t="s">
        <v>513</v>
      </c>
      <c r="E33" s="116" t="s">
        <v>514</v>
      </c>
    </row>
    <row r="34" spans="4:5" x14ac:dyDescent="0.3">
      <c r="D34" s="122" t="s">
        <v>515</v>
      </c>
      <c r="E34" s="116" t="s">
        <v>516</v>
      </c>
    </row>
    <row r="35" spans="4:5" x14ac:dyDescent="0.3">
      <c r="D35" s="122" t="s">
        <v>517</v>
      </c>
      <c r="E35" s="116" t="s">
        <v>518</v>
      </c>
    </row>
    <row r="36" spans="4:5" x14ac:dyDescent="0.3">
      <c r="D36" s="122" t="s">
        <v>519</v>
      </c>
      <c r="E36" s="116" t="s">
        <v>520</v>
      </c>
    </row>
    <row r="37" spans="4:5" x14ac:dyDescent="0.3">
      <c r="D37" s="122" t="s">
        <v>521</v>
      </c>
      <c r="E37" s="116" t="s">
        <v>522</v>
      </c>
    </row>
    <row r="38" spans="4:5" x14ac:dyDescent="0.3">
      <c r="D38" s="122" t="s">
        <v>523</v>
      </c>
      <c r="E38" s="116" t="s">
        <v>524</v>
      </c>
    </row>
    <row r="39" spans="4:5" x14ac:dyDescent="0.3">
      <c r="D39" s="123" t="s">
        <v>525</v>
      </c>
      <c r="E39" s="116" t="s">
        <v>526</v>
      </c>
    </row>
    <row r="40" spans="4:5" x14ac:dyDescent="0.3">
      <c r="D40" s="123" t="s">
        <v>527</v>
      </c>
      <c r="E40" s="116" t="s">
        <v>528</v>
      </c>
    </row>
    <row r="41" spans="4:5" x14ac:dyDescent="0.3">
      <c r="D41" s="122" t="s">
        <v>529</v>
      </c>
      <c r="E41" s="116" t="s">
        <v>530</v>
      </c>
    </row>
    <row r="42" spans="4:5" x14ac:dyDescent="0.3">
      <c r="D42" s="122" t="s">
        <v>531</v>
      </c>
      <c r="E42" s="116" t="s">
        <v>532</v>
      </c>
    </row>
    <row r="43" spans="4:5" x14ac:dyDescent="0.3">
      <c r="D43" s="123" t="s">
        <v>533</v>
      </c>
      <c r="E43" s="116" t="s">
        <v>534</v>
      </c>
    </row>
    <row r="44" spans="4:5" x14ac:dyDescent="0.3">
      <c r="D44" s="124" t="s">
        <v>535</v>
      </c>
      <c r="E44" s="116" t="s">
        <v>536</v>
      </c>
    </row>
    <row r="45" spans="4:5" x14ac:dyDescent="0.3">
      <c r="D45" s="118" t="s">
        <v>537</v>
      </c>
      <c r="E45" s="116" t="s">
        <v>538</v>
      </c>
    </row>
    <row r="46" spans="4:5" x14ac:dyDescent="0.3">
      <c r="D46" s="118" t="s">
        <v>539</v>
      </c>
      <c r="E46" s="116" t="s">
        <v>540</v>
      </c>
    </row>
    <row r="47" spans="4:5" x14ac:dyDescent="0.3">
      <c r="D47" s="118" t="s">
        <v>541</v>
      </c>
      <c r="E47" s="116" t="s">
        <v>542</v>
      </c>
    </row>
    <row r="48" spans="4:5" x14ac:dyDescent="0.3">
      <c r="D48" s="118" t="s">
        <v>543</v>
      </c>
      <c r="E48" s="116" t="s">
        <v>544</v>
      </c>
    </row>
    <row r="49" spans="4:4" x14ac:dyDescent="0.3">
      <c r="D49" s="121" t="s">
        <v>545</v>
      </c>
    </row>
    <row r="50" spans="4:4" x14ac:dyDescent="0.3">
      <c r="D50" s="118" t="s">
        <v>546</v>
      </c>
    </row>
    <row r="51" spans="4:4" x14ac:dyDescent="0.3">
      <c r="D51" s="118" t="s">
        <v>547</v>
      </c>
    </row>
    <row r="52" spans="4:4" x14ac:dyDescent="0.3">
      <c r="D52" s="121" t="s">
        <v>548</v>
      </c>
    </row>
    <row r="53" spans="4:4" x14ac:dyDescent="0.3">
      <c r="D53" s="124" t="s">
        <v>549</v>
      </c>
    </row>
    <row r="54" spans="4:4" x14ac:dyDescent="0.3">
      <c r="D54" s="124" t="s">
        <v>550</v>
      </c>
    </row>
    <row r="55" spans="4:4" x14ac:dyDescent="0.3">
      <c r="D55" s="124" t="s">
        <v>551</v>
      </c>
    </row>
    <row r="56" spans="4:4" x14ac:dyDescent="0.3">
      <c r="D56" s="124" t="s">
        <v>552</v>
      </c>
    </row>
  </sheetData>
  <mergeCells count="1">
    <mergeCell ref="D27:D30"/>
  </mergeCells>
  <pageMargins left="0.75" right="0.75" top="1" bottom="1" header="0.3" footer="0.3"/>
  <pageSetup scale="2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4140625" defaultRowHeight="14.4" x14ac:dyDescent="0.3"/>
  <sheetData/>
  <pageMargins left="0.75" right="0.75" top="1" bottom="1"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4140625" defaultRowHeight="14.4" x14ac:dyDescent="0.3"/>
  <cols>
    <col min="1" max="2" width="10.6640625" customWidth="1"/>
    <col min="3" max="3" width="6.6640625" customWidth="1"/>
    <col min="4" max="4" width="8.6640625" customWidth="1"/>
    <col min="5" max="5" width="10.6640625" customWidth="1"/>
  </cols>
  <sheetData>
    <row r="1" spans="1:14" x14ac:dyDescent="0.3">
      <c r="B1" t="s">
        <v>553</v>
      </c>
      <c r="C1" s="1042" t="s">
        <v>554</v>
      </c>
      <c r="D1" s="1042"/>
      <c r="E1" s="1042"/>
      <c r="F1" s="1042"/>
      <c r="G1" s="1043" t="s">
        <v>555</v>
      </c>
      <c r="H1" s="1044"/>
      <c r="I1" s="1044"/>
      <c r="J1" s="1045"/>
      <c r="K1" s="1041" t="s">
        <v>556</v>
      </c>
      <c r="L1" s="1041"/>
      <c r="M1" s="1041"/>
      <c r="N1" s="1041"/>
    </row>
    <row r="2" spans="1:14" x14ac:dyDescent="0.3">
      <c r="C2" s="4"/>
      <c r="D2" s="4"/>
      <c r="E2" s="4"/>
      <c r="F2" s="4" t="s">
        <v>557</v>
      </c>
      <c r="G2" s="30"/>
      <c r="H2" s="4"/>
      <c r="I2" s="4"/>
      <c r="J2" s="31" t="s">
        <v>557</v>
      </c>
      <c r="K2" s="4"/>
      <c r="L2" s="4"/>
      <c r="M2" s="4"/>
      <c r="N2" s="4" t="s">
        <v>557</v>
      </c>
    </row>
    <row r="3" spans="1:14" x14ac:dyDescent="0.3">
      <c r="A3" s="1040" t="s">
        <v>558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104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1040"/>
      <c r="B5" s="5">
        <v>3</v>
      </c>
      <c r="C5" s="6">
        <v>0.05</v>
      </c>
      <c r="D5" s="6">
        <v>0.05</v>
      </c>
      <c r="E5" s="6">
        <v>0.1</v>
      </c>
      <c r="F5" s="7">
        <f>(C5+D5+E5)</f>
        <v>0.2</v>
      </c>
      <c r="G5" s="32">
        <v>0.1</v>
      </c>
      <c r="H5" s="6">
        <v>0.1</v>
      </c>
      <c r="I5" s="6">
        <v>0.1</v>
      </c>
      <c r="J5" s="33">
        <f>(G5+H5+I5)</f>
        <v>0.30000000000000004</v>
      </c>
      <c r="K5" s="24"/>
      <c r="L5" s="5"/>
      <c r="M5" s="5"/>
      <c r="N5" s="5"/>
    </row>
    <row r="6" spans="1:14" x14ac:dyDescent="0.3">
      <c r="A6" s="1040"/>
      <c r="B6" s="5">
        <v>4</v>
      </c>
      <c r="C6" s="6">
        <v>0.1</v>
      </c>
      <c r="D6" s="6">
        <v>0.1</v>
      </c>
      <c r="E6" s="6">
        <v>0.2</v>
      </c>
      <c r="F6" s="7">
        <f>(C6+D6+E6)</f>
        <v>0.4</v>
      </c>
      <c r="G6" s="32">
        <v>0</v>
      </c>
      <c r="H6" s="6">
        <v>0</v>
      </c>
      <c r="I6" s="6">
        <v>0.1</v>
      </c>
      <c r="J6" s="33">
        <f>(G6+H6+I6)</f>
        <v>0.1</v>
      </c>
      <c r="K6" s="24"/>
      <c r="L6" s="5"/>
      <c r="M6" s="5"/>
      <c r="N6" s="5"/>
    </row>
    <row r="7" spans="1:14" x14ac:dyDescent="0.3">
      <c r="A7" s="1040"/>
      <c r="B7" s="5">
        <v>5</v>
      </c>
      <c r="C7" s="6">
        <v>0</v>
      </c>
      <c r="D7" s="6">
        <v>0</v>
      </c>
      <c r="E7" s="6">
        <v>0</v>
      </c>
      <c r="F7" s="7">
        <f>(C7+D7+E7)</f>
        <v>0</v>
      </c>
      <c r="G7" s="32">
        <v>0</v>
      </c>
      <c r="H7" s="6">
        <v>0</v>
      </c>
      <c r="I7" s="6">
        <v>0</v>
      </c>
      <c r="J7" s="33">
        <f>(G7+H7+I7)</f>
        <v>0</v>
      </c>
      <c r="K7" s="24"/>
      <c r="L7" s="5"/>
      <c r="M7" s="5"/>
      <c r="N7" s="5"/>
    </row>
    <row r="8" spans="1:14" x14ac:dyDescent="0.3">
      <c r="A8" s="1040" t="s">
        <v>559</v>
      </c>
      <c r="B8" s="9">
        <v>6</v>
      </c>
      <c r="C8" s="10">
        <v>0.1</v>
      </c>
      <c r="D8" s="10">
        <v>0.1</v>
      </c>
      <c r="E8" s="10">
        <v>0.1</v>
      </c>
      <c r="F8" s="11">
        <f>C8+D8+E8</f>
        <v>0.30000000000000004</v>
      </c>
      <c r="G8" s="34"/>
      <c r="H8" s="9"/>
      <c r="I8" s="9"/>
      <c r="J8" s="35"/>
      <c r="K8" s="25"/>
      <c r="L8" s="9"/>
      <c r="M8" s="9"/>
      <c r="N8" s="9"/>
    </row>
    <row r="9" spans="1:14" x14ac:dyDescent="0.3">
      <c r="A9" s="1040"/>
      <c r="B9" s="9">
        <v>7</v>
      </c>
      <c r="C9" s="9"/>
      <c r="D9" s="9"/>
      <c r="E9" s="9"/>
      <c r="F9" s="19"/>
      <c r="G9" s="36"/>
      <c r="H9" s="9"/>
      <c r="I9" s="9"/>
      <c r="J9" s="35"/>
      <c r="K9" s="25"/>
      <c r="L9" s="9"/>
      <c r="M9" s="9"/>
      <c r="N9" s="9"/>
    </row>
    <row r="10" spans="1:14" x14ac:dyDescent="0.3">
      <c r="A10" s="1040"/>
      <c r="B10" s="9">
        <v>8</v>
      </c>
      <c r="C10" s="9"/>
      <c r="D10" s="9"/>
      <c r="E10" s="9"/>
      <c r="F10" s="19"/>
      <c r="G10" s="36"/>
      <c r="H10" s="9"/>
      <c r="I10" s="9"/>
      <c r="J10" s="35"/>
      <c r="K10" s="25"/>
      <c r="L10" s="9"/>
      <c r="M10" s="9"/>
      <c r="N10" s="9"/>
    </row>
    <row r="11" spans="1:14" x14ac:dyDescent="0.3">
      <c r="A11" s="1040"/>
      <c r="B11" s="9">
        <v>9</v>
      </c>
      <c r="C11" s="9"/>
      <c r="D11" s="9"/>
      <c r="E11" s="9"/>
      <c r="F11" s="19"/>
      <c r="G11" s="36"/>
      <c r="H11" s="9"/>
      <c r="I11" s="9"/>
      <c r="J11" s="35"/>
      <c r="K11" s="25"/>
      <c r="L11" s="9"/>
      <c r="M11" s="9"/>
      <c r="N11" s="9"/>
    </row>
    <row r="12" spans="1:14" x14ac:dyDescent="0.3">
      <c r="A12" s="1040" t="s">
        <v>560</v>
      </c>
      <c r="B12" s="14">
        <v>10</v>
      </c>
      <c r="C12" s="14"/>
      <c r="D12" s="14"/>
      <c r="E12" s="14"/>
      <c r="F12" s="20"/>
      <c r="G12" s="37"/>
      <c r="H12" s="14"/>
      <c r="I12" s="14"/>
      <c r="J12" s="38"/>
      <c r="K12" s="26"/>
      <c r="L12" s="14"/>
      <c r="M12" s="14"/>
      <c r="N12" s="14"/>
    </row>
    <row r="13" spans="1:14" x14ac:dyDescent="0.3">
      <c r="A13" s="1040"/>
      <c r="B13" s="14">
        <v>11</v>
      </c>
      <c r="C13" s="14"/>
      <c r="D13" s="14"/>
      <c r="E13" s="14"/>
      <c r="F13" s="20"/>
      <c r="G13" s="37"/>
      <c r="H13" s="14"/>
      <c r="I13" s="14"/>
      <c r="J13" s="38"/>
      <c r="K13" s="26"/>
      <c r="L13" s="14"/>
      <c r="M13" s="14"/>
      <c r="N13" s="14"/>
    </row>
    <row r="14" spans="1:14" x14ac:dyDescent="0.3">
      <c r="A14" s="1040"/>
      <c r="B14" s="14">
        <v>12</v>
      </c>
      <c r="C14" s="14"/>
      <c r="D14" s="14"/>
      <c r="E14" s="14"/>
      <c r="F14" s="20"/>
      <c r="G14" s="37"/>
      <c r="H14" s="14"/>
      <c r="I14" s="14"/>
      <c r="J14" s="38"/>
      <c r="K14" s="26"/>
      <c r="L14" s="14"/>
      <c r="M14" s="14"/>
      <c r="N14" s="14"/>
    </row>
    <row r="15" spans="1:14" x14ac:dyDescent="0.3">
      <c r="A15" s="1040"/>
      <c r="B15" s="14">
        <v>13</v>
      </c>
      <c r="C15" s="14"/>
      <c r="D15" s="14"/>
      <c r="E15" s="14"/>
      <c r="F15" s="20"/>
      <c r="G15" s="37"/>
      <c r="H15" s="14"/>
      <c r="I15" s="14"/>
      <c r="J15" s="38"/>
      <c r="K15" s="26"/>
      <c r="L15" s="14"/>
      <c r="M15" s="14"/>
      <c r="N15" s="14"/>
    </row>
    <row r="16" spans="1:14" x14ac:dyDescent="0.3">
      <c r="A16" s="1040" t="s">
        <v>561</v>
      </c>
      <c r="B16" s="15">
        <v>14</v>
      </c>
      <c r="C16" s="15"/>
      <c r="D16" s="15"/>
      <c r="E16" s="15"/>
      <c r="F16" s="21"/>
      <c r="G16" s="39"/>
      <c r="H16" s="15"/>
      <c r="I16" s="15"/>
      <c r="J16" s="40"/>
      <c r="K16" s="27"/>
      <c r="L16" s="15"/>
      <c r="M16" s="15"/>
      <c r="N16" s="15"/>
    </row>
    <row r="17" spans="1:14" x14ac:dyDescent="0.3">
      <c r="A17" s="1040"/>
      <c r="B17" s="15">
        <v>15</v>
      </c>
      <c r="C17" s="15"/>
      <c r="D17" s="15"/>
      <c r="E17" s="15"/>
      <c r="F17" s="21"/>
      <c r="G17" s="39"/>
      <c r="H17" s="15"/>
      <c r="I17" s="15"/>
      <c r="J17" s="40"/>
      <c r="K17" s="27"/>
      <c r="L17" s="15"/>
      <c r="M17" s="15"/>
      <c r="N17" s="15"/>
    </row>
    <row r="18" spans="1:14" x14ac:dyDescent="0.3">
      <c r="A18" s="1040"/>
      <c r="B18" s="15">
        <v>16</v>
      </c>
      <c r="C18" s="15"/>
      <c r="D18" s="15"/>
      <c r="E18" s="15"/>
      <c r="F18" s="21"/>
      <c r="G18" s="39"/>
      <c r="H18" s="15"/>
      <c r="I18" s="15"/>
      <c r="J18" s="40"/>
      <c r="K18" s="27"/>
      <c r="L18" s="15"/>
      <c r="M18" s="15"/>
      <c r="N18" s="15"/>
    </row>
    <row r="19" spans="1:14" x14ac:dyDescent="0.3">
      <c r="A19" s="1040" t="s">
        <v>562</v>
      </c>
      <c r="B19" s="18">
        <v>17</v>
      </c>
      <c r="C19" s="18"/>
      <c r="D19" s="18"/>
      <c r="E19" s="18"/>
      <c r="F19" s="22"/>
      <c r="G19" s="41"/>
      <c r="H19" s="18"/>
      <c r="I19" s="18"/>
      <c r="J19" s="42"/>
      <c r="K19" s="28"/>
      <c r="L19" s="18"/>
      <c r="M19" s="18"/>
      <c r="N19" s="18"/>
    </row>
    <row r="20" spans="1:14" x14ac:dyDescent="0.3">
      <c r="A20" s="1040"/>
      <c r="B20" s="18">
        <v>18</v>
      </c>
      <c r="C20" s="18"/>
      <c r="D20" s="18"/>
      <c r="E20" s="18"/>
      <c r="F20" s="22"/>
      <c r="G20" s="41"/>
      <c r="H20" s="18"/>
      <c r="I20" s="18"/>
      <c r="J20" s="42"/>
      <c r="K20" s="28"/>
      <c r="L20" s="18"/>
      <c r="M20" s="18"/>
      <c r="N20" s="18"/>
    </row>
    <row r="21" spans="1:14" x14ac:dyDescent="0.3">
      <c r="A21" s="1040"/>
      <c r="B21" s="18">
        <v>19</v>
      </c>
      <c r="C21" s="18"/>
      <c r="D21" s="18"/>
      <c r="E21" s="18"/>
      <c r="F21" s="22"/>
      <c r="G21" s="41"/>
      <c r="H21" s="18"/>
      <c r="I21" s="18"/>
      <c r="J21" s="42"/>
      <c r="K21" s="28"/>
      <c r="L21" s="18"/>
      <c r="M21" s="18"/>
      <c r="N21" s="18"/>
    </row>
    <row r="22" spans="1:14" x14ac:dyDescent="0.3">
      <c r="A22" s="1040"/>
      <c r="B22" s="18">
        <v>20</v>
      </c>
      <c r="C22" s="18"/>
      <c r="D22" s="18"/>
      <c r="E22" s="18"/>
      <c r="F22" s="22"/>
      <c r="G22" s="41"/>
      <c r="H22" s="18"/>
      <c r="I22" s="18"/>
      <c r="J22" s="42"/>
      <c r="K22" s="28"/>
      <c r="L22" s="18"/>
      <c r="M22" s="18"/>
      <c r="N22" s="18"/>
    </row>
    <row r="23" spans="1:14" x14ac:dyDescent="0.3">
      <c r="A23" s="1040" t="s">
        <v>563</v>
      </c>
      <c r="B23" s="13">
        <v>21</v>
      </c>
      <c r="C23" s="13"/>
      <c r="D23" s="13"/>
      <c r="E23" s="13"/>
      <c r="F23" s="23"/>
      <c r="G23" s="43"/>
      <c r="H23" s="13"/>
      <c r="I23" s="13"/>
      <c r="J23" s="44"/>
      <c r="K23" s="29"/>
      <c r="L23" s="13"/>
      <c r="M23" s="13"/>
      <c r="N23" s="13"/>
    </row>
    <row r="24" spans="1:14" x14ac:dyDescent="0.3">
      <c r="A24" s="1040"/>
      <c r="B24" s="13">
        <v>22</v>
      </c>
      <c r="C24" s="13"/>
      <c r="D24" s="13"/>
      <c r="E24" s="13"/>
      <c r="F24" s="23"/>
      <c r="G24" s="43"/>
      <c r="H24" s="13"/>
      <c r="I24" s="13"/>
      <c r="J24" s="44"/>
      <c r="K24" s="29"/>
      <c r="L24" s="13"/>
      <c r="M24" s="13"/>
      <c r="N24" s="13"/>
    </row>
    <row r="25" spans="1:14" x14ac:dyDescent="0.3">
      <c r="A25" s="1040"/>
      <c r="B25" s="13">
        <v>23</v>
      </c>
      <c r="C25" s="13"/>
      <c r="D25" s="13"/>
      <c r="E25" s="13"/>
      <c r="F25" s="23"/>
      <c r="G25" s="43"/>
      <c r="H25" s="13"/>
      <c r="I25" s="13"/>
      <c r="J25" s="44"/>
      <c r="K25" s="29"/>
      <c r="L25" s="13"/>
      <c r="M25" s="13"/>
      <c r="N25" s="13"/>
    </row>
    <row r="26" spans="1:14" x14ac:dyDescent="0.3">
      <c r="A26" s="1040"/>
      <c r="B26" s="13">
        <v>24</v>
      </c>
      <c r="C26" s="13"/>
      <c r="D26" s="13"/>
      <c r="E26" s="13"/>
      <c r="F26" s="23"/>
      <c r="G26" s="43"/>
      <c r="H26" s="13"/>
      <c r="I26" s="13"/>
      <c r="J26" s="44"/>
      <c r="K26" s="29"/>
      <c r="L26" s="13"/>
      <c r="M26" s="13"/>
      <c r="N26" s="13"/>
    </row>
    <row r="27" spans="1:14" x14ac:dyDescent="0.3">
      <c r="A27" s="1040" t="s">
        <v>564</v>
      </c>
      <c r="B27" s="9">
        <v>25</v>
      </c>
      <c r="C27" s="9"/>
      <c r="D27" s="9"/>
      <c r="E27" s="9"/>
      <c r="F27" s="9"/>
      <c r="G27" s="9"/>
      <c r="H27" s="9"/>
      <c r="I27" s="9"/>
      <c r="J27" s="9"/>
      <c r="K27" s="9"/>
      <c r="L27" s="9"/>
      <c r="M27" s="9"/>
      <c r="N27" s="9"/>
    </row>
    <row r="28" spans="1:14" x14ac:dyDescent="0.3">
      <c r="A28" s="1040"/>
      <c r="B28" s="9">
        <v>26</v>
      </c>
      <c r="C28" s="9"/>
      <c r="D28" s="9"/>
      <c r="E28" s="9"/>
      <c r="F28" s="9"/>
      <c r="G28" s="9"/>
      <c r="H28" s="9"/>
      <c r="I28" s="9"/>
      <c r="J28" s="9"/>
      <c r="K28" s="9"/>
      <c r="L28" s="9"/>
      <c r="M28" s="9"/>
      <c r="N28" s="9"/>
    </row>
    <row r="29" spans="1:14" x14ac:dyDescent="0.3">
      <c r="A29" s="1040"/>
      <c r="B29" s="9">
        <v>27</v>
      </c>
      <c r="C29" s="9"/>
      <c r="D29" s="9"/>
      <c r="E29" s="9"/>
      <c r="F29" s="9"/>
      <c r="G29" s="9"/>
      <c r="H29" s="9"/>
      <c r="I29" s="9"/>
      <c r="J29" s="9"/>
      <c r="K29" s="9"/>
      <c r="L29" s="9"/>
      <c r="M29" s="9"/>
      <c r="N29" s="9"/>
    </row>
    <row r="30" spans="1:14" x14ac:dyDescent="0.3">
      <c r="A30" s="1040"/>
      <c r="B30" s="9">
        <v>28</v>
      </c>
      <c r="C30" s="9"/>
      <c r="D30" s="9"/>
      <c r="E30" s="9"/>
      <c r="F30" s="9"/>
      <c r="G30" s="9"/>
      <c r="H30" s="9"/>
      <c r="I30" s="9"/>
      <c r="J30" s="9"/>
      <c r="K30" s="9"/>
      <c r="L30" s="9"/>
      <c r="M30" s="9"/>
      <c r="N30" s="9"/>
    </row>
    <row r="31" spans="1:14" x14ac:dyDescent="0.3">
      <c r="A31" s="1040"/>
      <c r="B31" s="9">
        <v>29</v>
      </c>
      <c r="C31" s="9"/>
      <c r="D31" s="9"/>
      <c r="E31" s="9"/>
      <c r="F31" s="9"/>
      <c r="G31" s="9"/>
      <c r="H31" s="9"/>
      <c r="I31" s="9"/>
      <c r="J31" s="9"/>
      <c r="K31" s="9"/>
      <c r="L31" s="9"/>
      <c r="M31" s="9"/>
      <c r="N31" s="9"/>
    </row>
    <row r="32" spans="1:14" x14ac:dyDescent="0.3">
      <c r="A32" s="1040" t="s">
        <v>565</v>
      </c>
      <c r="B32" s="16">
        <v>30</v>
      </c>
      <c r="C32" s="16"/>
      <c r="D32" s="16"/>
      <c r="E32" s="16"/>
      <c r="F32" s="16"/>
      <c r="G32" s="16"/>
      <c r="H32" s="16"/>
      <c r="I32" s="16"/>
      <c r="J32" s="16"/>
      <c r="K32" s="16"/>
      <c r="L32" s="16"/>
      <c r="M32" s="16"/>
      <c r="N32" s="16"/>
    </row>
    <row r="33" spans="1:14" x14ac:dyDescent="0.3">
      <c r="A33" s="1040"/>
      <c r="B33" s="16">
        <v>31</v>
      </c>
      <c r="C33" s="16"/>
      <c r="D33" s="16"/>
      <c r="E33" s="16"/>
      <c r="F33" s="16"/>
      <c r="G33" s="16"/>
      <c r="H33" s="16"/>
      <c r="I33" s="16"/>
      <c r="J33" s="16"/>
      <c r="K33" s="16"/>
      <c r="L33" s="16"/>
      <c r="M33" s="16"/>
      <c r="N33" s="16"/>
    </row>
    <row r="34" spans="1:14" x14ac:dyDescent="0.3">
      <c r="A34" s="1040"/>
      <c r="B34" s="16">
        <v>32</v>
      </c>
      <c r="C34" s="16"/>
      <c r="D34" s="16"/>
      <c r="E34" s="16"/>
      <c r="F34" s="16"/>
      <c r="G34" s="16"/>
      <c r="H34" s="16"/>
      <c r="I34" s="16"/>
      <c r="J34" s="16"/>
      <c r="K34" s="16"/>
      <c r="L34" s="16"/>
      <c r="M34" s="16"/>
      <c r="N34" s="16"/>
    </row>
    <row r="35" spans="1:14" x14ac:dyDescent="0.3">
      <c r="A35" s="1040" t="s">
        <v>566</v>
      </c>
      <c r="B35" s="17">
        <v>33</v>
      </c>
      <c r="C35" s="14"/>
      <c r="D35" s="14"/>
      <c r="E35" s="14"/>
      <c r="F35" s="14"/>
      <c r="G35" s="14"/>
      <c r="H35" s="14"/>
      <c r="I35" s="14"/>
      <c r="J35" s="14"/>
      <c r="K35" s="14"/>
      <c r="L35" s="14"/>
      <c r="M35" s="14"/>
      <c r="N35" s="14"/>
    </row>
    <row r="36" spans="1:14" x14ac:dyDescent="0.3">
      <c r="A36" s="1040"/>
      <c r="B36" s="14">
        <v>34</v>
      </c>
      <c r="C36" s="14"/>
      <c r="D36" s="14"/>
      <c r="E36" s="14"/>
      <c r="F36" s="14"/>
      <c r="G36" s="14"/>
      <c r="H36" s="14"/>
      <c r="I36" s="14"/>
      <c r="J36" s="14"/>
      <c r="K36" s="14"/>
      <c r="L36" s="14"/>
      <c r="M36" s="14"/>
      <c r="N36" s="14"/>
    </row>
    <row r="37" spans="1:14" x14ac:dyDescent="0.3">
      <c r="A37" s="1040"/>
      <c r="B37" s="45">
        <v>35</v>
      </c>
      <c r="C37" s="14"/>
      <c r="D37" s="14"/>
      <c r="E37" s="14"/>
      <c r="F37" s="14"/>
      <c r="G37" s="14"/>
      <c r="H37" s="14"/>
      <c r="I37" s="14"/>
      <c r="J37" s="14"/>
      <c r="K37" s="14"/>
      <c r="L37" s="14"/>
      <c r="M37" s="14"/>
      <c r="N37" s="14"/>
    </row>
    <row r="38" spans="1:14" x14ac:dyDescent="0.3">
      <c r="A38" s="1040" t="s">
        <v>567</v>
      </c>
      <c r="B38" s="8">
        <v>36</v>
      </c>
      <c r="C38" s="8"/>
      <c r="D38" s="8"/>
      <c r="E38" s="8"/>
      <c r="F38" s="8"/>
      <c r="G38" s="8"/>
      <c r="H38" s="8"/>
      <c r="I38" s="8"/>
      <c r="J38" s="8"/>
      <c r="K38" s="8"/>
      <c r="L38" s="8"/>
      <c r="M38" s="8"/>
      <c r="N38" s="8"/>
    </row>
    <row r="39" spans="1:14" x14ac:dyDescent="0.3">
      <c r="A39" s="1040"/>
      <c r="B39" s="8">
        <v>37</v>
      </c>
      <c r="C39" s="8"/>
      <c r="D39" s="8"/>
      <c r="E39" s="8"/>
      <c r="F39" s="8"/>
      <c r="G39" s="8"/>
      <c r="H39" s="8"/>
      <c r="I39" s="8"/>
      <c r="J39" s="8"/>
      <c r="K39" s="8"/>
      <c r="L39" s="8"/>
      <c r="M39" s="8"/>
      <c r="N39" s="8"/>
    </row>
    <row r="40" spans="1:14" x14ac:dyDescent="0.3">
      <c r="A40" s="1040"/>
      <c r="B40" s="8">
        <v>38</v>
      </c>
      <c r="C40" s="8"/>
      <c r="D40" s="8"/>
      <c r="E40" s="8"/>
      <c r="F40" s="8"/>
      <c r="G40" s="8"/>
      <c r="H40" s="8"/>
      <c r="I40" s="8"/>
      <c r="J40" s="8"/>
      <c r="K40" s="8"/>
      <c r="L40" s="8"/>
      <c r="M40" s="8"/>
      <c r="N40" s="8"/>
    </row>
    <row r="41" spans="1:14" x14ac:dyDescent="0.3">
      <c r="A41" s="1046" t="s">
        <v>568</v>
      </c>
      <c r="B41" s="46">
        <v>39</v>
      </c>
      <c r="C41" s="47"/>
      <c r="D41" s="47"/>
      <c r="E41" s="47"/>
      <c r="F41" s="47"/>
      <c r="G41" s="47"/>
      <c r="H41" s="47"/>
      <c r="I41" s="47"/>
      <c r="J41" s="47"/>
      <c r="K41" s="47"/>
      <c r="L41" s="47"/>
      <c r="M41" s="47"/>
      <c r="N41" s="47"/>
    </row>
    <row r="42" spans="1:14" x14ac:dyDescent="0.3">
      <c r="A42" s="1046"/>
      <c r="B42" s="47">
        <v>40</v>
      </c>
      <c r="C42" s="47"/>
      <c r="D42" s="47"/>
      <c r="E42" s="47"/>
      <c r="F42" s="47"/>
      <c r="G42" s="47"/>
      <c r="H42" s="47"/>
      <c r="I42" s="47"/>
      <c r="J42" s="47"/>
      <c r="K42" s="47"/>
      <c r="L42" s="47"/>
      <c r="M42" s="47"/>
      <c r="N42" s="47"/>
    </row>
    <row r="43" spans="1:14" x14ac:dyDescent="0.3">
      <c r="A43" s="1046"/>
      <c r="B43" s="47">
        <v>41</v>
      </c>
      <c r="C43" s="47"/>
      <c r="D43" s="47"/>
      <c r="E43" s="47"/>
      <c r="F43" s="47"/>
      <c r="G43" s="47"/>
      <c r="H43" s="47"/>
      <c r="I43" s="47"/>
      <c r="J43" s="47"/>
      <c r="K43" s="47"/>
      <c r="L43" s="47"/>
      <c r="M43" s="47"/>
      <c r="N43" s="47"/>
    </row>
    <row r="44" spans="1:14" x14ac:dyDescent="0.3">
      <c r="A44" s="1046"/>
      <c r="B44" s="48">
        <v>42</v>
      </c>
      <c r="C44" s="47"/>
      <c r="D44" s="47"/>
      <c r="E44" s="47"/>
      <c r="F44" s="47"/>
      <c r="G44" s="47"/>
      <c r="H44" s="47"/>
      <c r="I44" s="47"/>
      <c r="J44" s="47"/>
      <c r="K44" s="47"/>
      <c r="L44" s="47"/>
      <c r="M44" s="47"/>
      <c r="N44" s="47"/>
    </row>
    <row r="45" spans="1:14" x14ac:dyDescent="0.3">
      <c r="A45" s="1039" t="s">
        <v>569</v>
      </c>
      <c r="B45" s="12">
        <v>43</v>
      </c>
      <c r="C45" s="12"/>
      <c r="D45" s="12"/>
      <c r="E45" s="12"/>
      <c r="F45" s="12"/>
      <c r="G45" s="12"/>
      <c r="H45" s="12"/>
      <c r="I45" s="12"/>
      <c r="J45" s="12"/>
      <c r="K45" s="12"/>
      <c r="L45" s="12"/>
      <c r="M45" s="12"/>
      <c r="N45" s="12"/>
    </row>
    <row r="46" spans="1:14" x14ac:dyDescent="0.3">
      <c r="A46" s="103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687"/>
      <c r="B1" s="617" t="s">
        <v>0</v>
      </c>
      <c r="C1" s="618"/>
      <c r="D1" s="618"/>
      <c r="E1" s="618"/>
      <c r="F1" s="618"/>
      <c r="G1" s="618"/>
      <c r="H1" s="618"/>
      <c r="I1" s="618"/>
      <c r="J1" s="618"/>
      <c r="K1" s="618"/>
      <c r="L1" s="618"/>
      <c r="M1" s="618"/>
      <c r="N1" s="618"/>
      <c r="O1" s="618"/>
      <c r="P1" s="618"/>
      <c r="Q1" s="618"/>
      <c r="R1" s="618"/>
      <c r="S1" s="618"/>
      <c r="T1" s="618"/>
      <c r="U1" s="618"/>
      <c r="V1" s="618"/>
      <c r="W1" s="618"/>
      <c r="X1" s="618"/>
      <c r="Y1" s="619"/>
      <c r="Z1" s="721" t="s">
        <v>91</v>
      </c>
      <c r="AA1" s="722"/>
      <c r="AB1" s="723"/>
    </row>
    <row r="2" spans="1:28" ht="30.75" customHeight="1" x14ac:dyDescent="0.3">
      <c r="A2" s="688"/>
      <c r="B2" s="633" t="s">
        <v>2</v>
      </c>
      <c r="C2" s="634"/>
      <c r="D2" s="634"/>
      <c r="E2" s="634"/>
      <c r="F2" s="634"/>
      <c r="G2" s="634"/>
      <c r="H2" s="634"/>
      <c r="I2" s="634"/>
      <c r="J2" s="634"/>
      <c r="K2" s="634"/>
      <c r="L2" s="634"/>
      <c r="M2" s="634"/>
      <c r="N2" s="634"/>
      <c r="O2" s="634"/>
      <c r="P2" s="634"/>
      <c r="Q2" s="634"/>
      <c r="R2" s="634"/>
      <c r="S2" s="634"/>
      <c r="T2" s="634"/>
      <c r="U2" s="634"/>
      <c r="V2" s="634"/>
      <c r="W2" s="634"/>
      <c r="X2" s="634"/>
      <c r="Y2" s="635"/>
      <c r="Z2" s="690" t="s">
        <v>92</v>
      </c>
      <c r="AA2" s="691"/>
      <c r="AB2" s="692"/>
    </row>
    <row r="3" spans="1:28" ht="24" customHeight="1" x14ac:dyDescent="0.3">
      <c r="A3" s="688"/>
      <c r="B3" s="712" t="s">
        <v>4</v>
      </c>
      <c r="C3" s="713"/>
      <c r="D3" s="713"/>
      <c r="E3" s="713"/>
      <c r="F3" s="713"/>
      <c r="G3" s="713"/>
      <c r="H3" s="713"/>
      <c r="I3" s="713"/>
      <c r="J3" s="713"/>
      <c r="K3" s="713"/>
      <c r="L3" s="713"/>
      <c r="M3" s="713"/>
      <c r="N3" s="713"/>
      <c r="O3" s="713"/>
      <c r="P3" s="713"/>
      <c r="Q3" s="713"/>
      <c r="R3" s="713"/>
      <c r="S3" s="713"/>
      <c r="T3" s="713"/>
      <c r="U3" s="713"/>
      <c r="V3" s="713"/>
      <c r="W3" s="713"/>
      <c r="X3" s="713"/>
      <c r="Y3" s="714"/>
      <c r="Z3" s="690" t="s">
        <v>93</v>
      </c>
      <c r="AA3" s="691"/>
      <c r="AB3" s="692"/>
    </row>
    <row r="4" spans="1:28" ht="15.75" customHeight="1" thickBot="1" x14ac:dyDescent="0.35">
      <c r="A4" s="689"/>
      <c r="B4" s="715"/>
      <c r="C4" s="716"/>
      <c r="D4" s="716"/>
      <c r="E4" s="716"/>
      <c r="F4" s="716"/>
      <c r="G4" s="716"/>
      <c r="H4" s="716"/>
      <c r="I4" s="716"/>
      <c r="J4" s="716"/>
      <c r="K4" s="716"/>
      <c r="L4" s="716"/>
      <c r="M4" s="716"/>
      <c r="N4" s="716"/>
      <c r="O4" s="716"/>
      <c r="P4" s="716"/>
      <c r="Q4" s="716"/>
      <c r="R4" s="716"/>
      <c r="S4" s="716"/>
      <c r="T4" s="716"/>
      <c r="U4" s="716"/>
      <c r="V4" s="716"/>
      <c r="W4" s="716"/>
      <c r="X4" s="716"/>
      <c r="Y4" s="717"/>
      <c r="Z4" s="693" t="s">
        <v>6</v>
      </c>
      <c r="AA4" s="694"/>
      <c r="AB4" s="695"/>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699" t="s">
        <v>15</v>
      </c>
      <c r="B7" s="700"/>
      <c r="C7" s="718"/>
      <c r="D7" s="719"/>
      <c r="E7" s="719"/>
      <c r="F7" s="719"/>
      <c r="G7" s="719"/>
      <c r="H7" s="719"/>
      <c r="I7" s="719"/>
      <c r="J7" s="719"/>
      <c r="K7" s="720"/>
      <c r="L7" s="62"/>
      <c r="M7" s="63"/>
      <c r="N7" s="63"/>
      <c r="O7" s="63"/>
      <c r="P7" s="63"/>
      <c r="Q7" s="64"/>
      <c r="R7" s="594" t="s">
        <v>9</v>
      </c>
      <c r="S7" s="696"/>
      <c r="T7" s="595"/>
      <c r="U7" s="588" t="s">
        <v>94</v>
      </c>
      <c r="V7" s="589"/>
      <c r="W7" s="594" t="s">
        <v>10</v>
      </c>
      <c r="X7" s="595"/>
      <c r="Y7" s="583" t="s">
        <v>11</v>
      </c>
      <c r="Z7" s="584"/>
      <c r="AA7" s="708"/>
      <c r="AB7" s="709"/>
    </row>
    <row r="8" spans="1:28" ht="15" customHeight="1" x14ac:dyDescent="0.3">
      <c r="A8" s="703"/>
      <c r="B8" s="704"/>
      <c r="C8" s="712"/>
      <c r="D8" s="713"/>
      <c r="E8" s="713"/>
      <c r="F8" s="713"/>
      <c r="G8" s="713"/>
      <c r="H8" s="713"/>
      <c r="I8" s="713"/>
      <c r="J8" s="713"/>
      <c r="K8" s="714"/>
      <c r="L8" s="62"/>
      <c r="M8" s="63"/>
      <c r="N8" s="63"/>
      <c r="O8" s="63"/>
      <c r="P8" s="63"/>
      <c r="Q8" s="64"/>
      <c r="R8" s="596"/>
      <c r="S8" s="697"/>
      <c r="T8" s="597"/>
      <c r="U8" s="590"/>
      <c r="V8" s="591"/>
      <c r="W8" s="596"/>
      <c r="X8" s="597"/>
      <c r="Y8" s="574" t="s">
        <v>12</v>
      </c>
      <c r="Z8" s="575"/>
      <c r="AA8" s="724"/>
      <c r="AB8" s="725"/>
    </row>
    <row r="9" spans="1:28" ht="15" customHeight="1" thickBot="1" x14ac:dyDescent="0.35">
      <c r="A9" s="701"/>
      <c r="B9" s="702"/>
      <c r="C9" s="715"/>
      <c r="D9" s="716"/>
      <c r="E9" s="716"/>
      <c r="F9" s="716"/>
      <c r="G9" s="716"/>
      <c r="H9" s="716"/>
      <c r="I9" s="716"/>
      <c r="J9" s="716"/>
      <c r="K9" s="717"/>
      <c r="L9" s="62"/>
      <c r="M9" s="63"/>
      <c r="N9" s="63"/>
      <c r="O9" s="63"/>
      <c r="P9" s="63"/>
      <c r="Q9" s="64"/>
      <c r="R9" s="598"/>
      <c r="S9" s="698"/>
      <c r="T9" s="599"/>
      <c r="U9" s="592"/>
      <c r="V9" s="593"/>
      <c r="W9" s="598"/>
      <c r="X9" s="599"/>
      <c r="Y9" s="710" t="s">
        <v>13</v>
      </c>
      <c r="Z9" s="711"/>
      <c r="AA9" s="726"/>
      <c r="AB9" s="727"/>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600" t="s">
        <v>17</v>
      </c>
      <c r="B11" s="601"/>
      <c r="C11" s="602"/>
      <c r="D11" s="603"/>
      <c r="E11" s="603"/>
      <c r="F11" s="603"/>
      <c r="G11" s="603"/>
      <c r="H11" s="603"/>
      <c r="I11" s="603"/>
      <c r="J11" s="603"/>
      <c r="K11" s="604"/>
      <c r="L11" s="72"/>
      <c r="M11" s="654" t="s">
        <v>19</v>
      </c>
      <c r="N11" s="655"/>
      <c r="O11" s="655"/>
      <c r="P11" s="655"/>
      <c r="Q11" s="656"/>
      <c r="R11" s="705"/>
      <c r="S11" s="706"/>
      <c r="T11" s="706"/>
      <c r="U11" s="706"/>
      <c r="V11" s="707"/>
      <c r="W11" s="654" t="s">
        <v>21</v>
      </c>
      <c r="X11" s="656"/>
      <c r="Y11" s="637"/>
      <c r="Z11" s="638"/>
      <c r="AA11" s="638"/>
      <c r="AB11" s="639"/>
    </row>
    <row r="12" spans="1:28" ht="9" customHeight="1" thickBot="1" x14ac:dyDescent="0.35">
      <c r="A12" s="59"/>
      <c r="B12" s="54"/>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73"/>
      <c r="AB12" s="74"/>
    </row>
    <row r="13" spans="1:28" s="76" customFormat="1" ht="37.5" customHeight="1" thickBot="1" x14ac:dyDescent="0.35">
      <c r="A13" s="600" t="s">
        <v>23</v>
      </c>
      <c r="B13" s="601"/>
      <c r="C13" s="681"/>
      <c r="D13" s="682"/>
      <c r="E13" s="682"/>
      <c r="F13" s="682"/>
      <c r="G13" s="682"/>
      <c r="H13" s="682"/>
      <c r="I13" s="682"/>
      <c r="J13" s="682"/>
      <c r="K13" s="682"/>
      <c r="L13" s="682"/>
      <c r="M13" s="682"/>
      <c r="N13" s="682"/>
      <c r="O13" s="682"/>
      <c r="P13" s="682"/>
      <c r="Q13" s="683"/>
      <c r="R13" s="54"/>
      <c r="S13" s="636" t="s">
        <v>95</v>
      </c>
      <c r="T13" s="636"/>
      <c r="U13" s="75"/>
      <c r="V13" s="596" t="s">
        <v>26</v>
      </c>
      <c r="W13" s="636"/>
      <c r="X13" s="636"/>
      <c r="Y13" s="636"/>
      <c r="Z13" s="54"/>
      <c r="AA13" s="662"/>
      <c r="AB13" s="663"/>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699" t="s">
        <v>7</v>
      </c>
      <c r="B15" s="700"/>
      <c r="C15" s="677" t="s">
        <v>96</v>
      </c>
      <c r="D15" s="80"/>
      <c r="E15" s="80"/>
      <c r="F15" s="80"/>
      <c r="G15" s="80"/>
      <c r="H15" s="80"/>
      <c r="I15" s="80"/>
      <c r="J15" s="70"/>
      <c r="K15" s="81"/>
      <c r="L15" s="70"/>
      <c r="M15" s="60"/>
      <c r="N15" s="60"/>
      <c r="O15" s="60"/>
      <c r="P15" s="60"/>
      <c r="Q15" s="659" t="s">
        <v>27</v>
      </c>
      <c r="R15" s="660"/>
      <c r="S15" s="660"/>
      <c r="T15" s="660"/>
      <c r="U15" s="660"/>
      <c r="V15" s="660"/>
      <c r="W15" s="660"/>
      <c r="X15" s="660"/>
      <c r="Y15" s="660"/>
      <c r="Z15" s="660"/>
      <c r="AA15" s="660"/>
      <c r="AB15" s="661"/>
    </row>
    <row r="16" spans="1:28" ht="35.25" customHeight="1" thickBot="1" x14ac:dyDescent="0.35">
      <c r="A16" s="701"/>
      <c r="B16" s="702"/>
      <c r="C16" s="678"/>
      <c r="D16" s="80"/>
      <c r="E16" s="80"/>
      <c r="F16" s="80"/>
      <c r="G16" s="80"/>
      <c r="H16" s="80"/>
      <c r="I16" s="80"/>
      <c r="J16" s="70"/>
      <c r="K16" s="70"/>
      <c r="L16" s="70"/>
      <c r="M16" s="60"/>
      <c r="N16" s="60"/>
      <c r="O16" s="60"/>
      <c r="P16" s="60"/>
      <c r="Q16" s="652" t="s">
        <v>97</v>
      </c>
      <c r="R16" s="586"/>
      <c r="S16" s="586"/>
      <c r="T16" s="586"/>
      <c r="U16" s="586"/>
      <c r="V16" s="653"/>
      <c r="W16" s="585" t="s">
        <v>98</v>
      </c>
      <c r="X16" s="586"/>
      <c r="Y16" s="586"/>
      <c r="Z16" s="586"/>
      <c r="AA16" s="586"/>
      <c r="AB16" s="587"/>
    </row>
    <row r="17" spans="1:39" ht="27" customHeight="1" x14ac:dyDescent="0.3">
      <c r="A17" s="82"/>
      <c r="B17" s="60"/>
      <c r="C17" s="60"/>
      <c r="D17" s="80"/>
      <c r="E17" s="80"/>
      <c r="F17" s="80"/>
      <c r="G17" s="80"/>
      <c r="H17" s="80"/>
      <c r="I17" s="80"/>
      <c r="J17" s="80"/>
      <c r="K17" s="80"/>
      <c r="L17" s="80"/>
      <c r="M17" s="60"/>
      <c r="N17" s="60"/>
      <c r="O17" s="60"/>
      <c r="P17" s="60"/>
      <c r="Q17" s="608" t="s">
        <v>99</v>
      </c>
      <c r="R17" s="609"/>
      <c r="S17" s="610"/>
      <c r="T17" s="614" t="s">
        <v>100</v>
      </c>
      <c r="U17" s="615"/>
      <c r="V17" s="616"/>
      <c r="W17" s="728" t="s">
        <v>99</v>
      </c>
      <c r="X17" s="610"/>
      <c r="Y17" s="728" t="s">
        <v>101</v>
      </c>
      <c r="Z17" s="610"/>
      <c r="AA17" s="614" t="s">
        <v>102</v>
      </c>
      <c r="AB17" s="729"/>
      <c r="AC17" s="83"/>
      <c r="AD17" s="83"/>
    </row>
    <row r="18" spans="1:39" ht="27" customHeight="1" x14ac:dyDescent="0.3">
      <c r="A18" s="82"/>
      <c r="B18" s="60"/>
      <c r="C18" s="60"/>
      <c r="D18" s="80"/>
      <c r="E18" s="80"/>
      <c r="F18" s="80"/>
      <c r="G18" s="80"/>
      <c r="H18" s="80"/>
      <c r="I18" s="80"/>
      <c r="J18" s="80"/>
      <c r="K18" s="80"/>
      <c r="L18" s="80"/>
      <c r="M18" s="60"/>
      <c r="N18" s="60"/>
      <c r="O18" s="60"/>
      <c r="P18" s="60"/>
      <c r="Q18" s="140"/>
      <c r="R18" s="141"/>
      <c r="S18" s="142"/>
      <c r="T18" s="614"/>
      <c r="U18" s="615"/>
      <c r="V18" s="616"/>
      <c r="W18" s="134"/>
      <c r="X18" s="135"/>
      <c r="Y18" s="134"/>
      <c r="Z18" s="135"/>
      <c r="AA18" s="136"/>
      <c r="AB18" s="137"/>
      <c r="AC18" s="83"/>
      <c r="AD18" s="83"/>
    </row>
    <row r="19" spans="1:39" ht="18" customHeight="1" thickBot="1" x14ac:dyDescent="0.35">
      <c r="A19" s="59"/>
      <c r="B19" s="54"/>
      <c r="C19" s="80"/>
      <c r="D19" s="80"/>
      <c r="E19" s="80"/>
      <c r="F19" s="80"/>
      <c r="G19" s="84"/>
      <c r="H19" s="84"/>
      <c r="I19" s="84"/>
      <c r="J19" s="84"/>
      <c r="K19" s="84"/>
      <c r="L19" s="84"/>
      <c r="M19" s="80"/>
      <c r="N19" s="80"/>
      <c r="O19" s="80"/>
      <c r="P19" s="80"/>
      <c r="Q19" s="605"/>
      <c r="R19" s="606"/>
      <c r="S19" s="607"/>
      <c r="T19" s="613"/>
      <c r="U19" s="606"/>
      <c r="V19" s="607"/>
      <c r="W19" s="664"/>
      <c r="X19" s="665"/>
      <c r="Y19" s="736"/>
      <c r="Z19" s="737"/>
      <c r="AA19" s="611"/>
      <c r="AB19" s="612"/>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626" t="s">
        <v>47</v>
      </c>
      <c r="B21" s="627"/>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9"/>
    </row>
    <row r="22" spans="1:39" ht="15" customHeight="1" x14ac:dyDescent="0.3">
      <c r="A22" s="734" t="s">
        <v>48</v>
      </c>
      <c r="B22" s="579" t="s">
        <v>49</v>
      </c>
      <c r="C22" s="580"/>
      <c r="D22" s="648" t="s">
        <v>103</v>
      </c>
      <c r="E22" s="649"/>
      <c r="F22" s="649"/>
      <c r="G22" s="649"/>
      <c r="H22" s="649"/>
      <c r="I22" s="649"/>
      <c r="J22" s="649"/>
      <c r="K22" s="649"/>
      <c r="L22" s="649"/>
      <c r="M22" s="649"/>
      <c r="N22" s="649"/>
      <c r="O22" s="631"/>
      <c r="P22" s="630" t="s">
        <v>41</v>
      </c>
      <c r="Q22" s="630" t="s">
        <v>51</v>
      </c>
      <c r="R22" s="630"/>
      <c r="S22" s="630"/>
      <c r="T22" s="630"/>
      <c r="U22" s="630"/>
      <c r="V22" s="630"/>
      <c r="W22" s="630"/>
      <c r="X22" s="630"/>
      <c r="Y22" s="630"/>
      <c r="Z22" s="630"/>
      <c r="AA22" s="630"/>
      <c r="AB22" s="650"/>
    </row>
    <row r="23" spans="1:39" ht="27" customHeight="1" x14ac:dyDescent="0.3">
      <c r="A23" s="735"/>
      <c r="B23" s="581"/>
      <c r="C23" s="582"/>
      <c r="D23" s="88" t="s">
        <v>30</v>
      </c>
      <c r="E23" s="88" t="s">
        <v>31</v>
      </c>
      <c r="F23" s="88" t="s">
        <v>32</v>
      </c>
      <c r="G23" s="88" t="s">
        <v>33</v>
      </c>
      <c r="H23" s="88" t="s">
        <v>34</v>
      </c>
      <c r="I23" s="88" t="s">
        <v>35</v>
      </c>
      <c r="J23" s="88" t="s">
        <v>36</v>
      </c>
      <c r="K23" s="88" t="s">
        <v>37</v>
      </c>
      <c r="L23" s="88" t="s">
        <v>8</v>
      </c>
      <c r="M23" s="88" t="s">
        <v>38</v>
      </c>
      <c r="N23" s="88" t="s">
        <v>39</v>
      </c>
      <c r="O23" s="88" t="s">
        <v>40</v>
      </c>
      <c r="P23" s="631"/>
      <c r="Q23" s="630"/>
      <c r="R23" s="630"/>
      <c r="S23" s="630"/>
      <c r="T23" s="630"/>
      <c r="U23" s="630"/>
      <c r="V23" s="630"/>
      <c r="W23" s="630"/>
      <c r="X23" s="630"/>
      <c r="Y23" s="630"/>
      <c r="Z23" s="630"/>
      <c r="AA23" s="630"/>
      <c r="AB23" s="650"/>
    </row>
    <row r="24" spans="1:39" ht="42" customHeight="1" thickBot="1" x14ac:dyDescent="0.35">
      <c r="A24" s="85"/>
      <c r="B24" s="730"/>
      <c r="C24" s="731"/>
      <c r="D24" s="89"/>
      <c r="E24" s="89"/>
      <c r="F24" s="89"/>
      <c r="G24" s="89"/>
      <c r="H24" s="89"/>
      <c r="I24" s="89"/>
      <c r="J24" s="89"/>
      <c r="K24" s="89"/>
      <c r="L24" s="89"/>
      <c r="M24" s="89"/>
      <c r="N24" s="89"/>
      <c r="O24" s="89"/>
      <c r="P24" s="86">
        <f>SUM(D24:O24)</f>
        <v>0</v>
      </c>
      <c r="Q24" s="743" t="s">
        <v>104</v>
      </c>
      <c r="R24" s="743"/>
      <c r="S24" s="743"/>
      <c r="T24" s="743"/>
      <c r="U24" s="743"/>
      <c r="V24" s="743"/>
      <c r="W24" s="743"/>
      <c r="X24" s="743"/>
      <c r="Y24" s="743"/>
      <c r="Z24" s="743"/>
      <c r="AA24" s="743"/>
      <c r="AB24" s="744"/>
    </row>
    <row r="25" spans="1:39" ht="21.75" customHeight="1" x14ac:dyDescent="0.3">
      <c r="A25" s="740" t="s">
        <v>53</v>
      </c>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2"/>
    </row>
    <row r="26" spans="1:39" ht="23.1" customHeight="1" x14ac:dyDescent="0.3">
      <c r="A26" s="732" t="s">
        <v>54</v>
      </c>
      <c r="B26" s="630" t="s">
        <v>55</v>
      </c>
      <c r="C26" s="630" t="s">
        <v>49</v>
      </c>
      <c r="D26" s="630" t="s">
        <v>56</v>
      </c>
      <c r="E26" s="630"/>
      <c r="F26" s="630"/>
      <c r="G26" s="630"/>
      <c r="H26" s="630"/>
      <c r="I26" s="630"/>
      <c r="J26" s="630"/>
      <c r="K26" s="630"/>
      <c r="L26" s="630"/>
      <c r="M26" s="630"/>
      <c r="N26" s="630"/>
      <c r="O26" s="630"/>
      <c r="P26" s="630"/>
      <c r="Q26" s="630" t="s">
        <v>57</v>
      </c>
      <c r="R26" s="630"/>
      <c r="S26" s="630"/>
      <c r="T26" s="630"/>
      <c r="U26" s="630"/>
      <c r="V26" s="630"/>
      <c r="W26" s="630"/>
      <c r="X26" s="630"/>
      <c r="Y26" s="630"/>
      <c r="Z26" s="630"/>
      <c r="AA26" s="630"/>
      <c r="AB26" s="650"/>
      <c r="AE26" s="87"/>
      <c r="AF26" s="87"/>
      <c r="AG26" s="87"/>
      <c r="AH26" s="87"/>
      <c r="AI26" s="87"/>
      <c r="AJ26" s="87"/>
      <c r="AK26" s="87"/>
      <c r="AL26" s="87"/>
      <c r="AM26" s="87"/>
    </row>
    <row r="27" spans="1:39" ht="23.1" customHeight="1" x14ac:dyDescent="0.3">
      <c r="A27" s="732"/>
      <c r="B27" s="630"/>
      <c r="C27" s="733"/>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581" t="s">
        <v>105</v>
      </c>
      <c r="R27" s="651"/>
      <c r="S27" s="651"/>
      <c r="T27" s="582"/>
      <c r="U27" s="581" t="s">
        <v>60</v>
      </c>
      <c r="V27" s="651"/>
      <c r="W27" s="651"/>
      <c r="X27" s="582"/>
      <c r="Y27" s="581" t="s">
        <v>61</v>
      </c>
      <c r="Z27" s="651"/>
      <c r="AA27" s="651"/>
      <c r="AB27" s="666"/>
      <c r="AE27" s="87"/>
      <c r="AF27" s="87"/>
      <c r="AG27" s="87"/>
      <c r="AH27" s="87"/>
      <c r="AI27" s="87"/>
      <c r="AJ27" s="87"/>
      <c r="AK27" s="87"/>
      <c r="AL27" s="87"/>
      <c r="AM27" s="87"/>
    </row>
    <row r="28" spans="1:39" ht="33" customHeight="1" x14ac:dyDescent="0.3">
      <c r="A28" s="738"/>
      <c r="B28" s="577"/>
      <c r="C28" s="90" t="s">
        <v>62</v>
      </c>
      <c r="D28" s="89"/>
      <c r="E28" s="89"/>
      <c r="F28" s="89"/>
      <c r="G28" s="89"/>
      <c r="H28" s="89"/>
      <c r="I28" s="89"/>
      <c r="J28" s="89"/>
      <c r="K28" s="89"/>
      <c r="L28" s="89"/>
      <c r="M28" s="89"/>
      <c r="N28" s="89"/>
      <c r="O28" s="89"/>
      <c r="P28" s="138">
        <f>SUM(D28:O28)</f>
        <v>0</v>
      </c>
      <c r="Q28" s="640" t="s">
        <v>106</v>
      </c>
      <c r="R28" s="641"/>
      <c r="S28" s="641"/>
      <c r="T28" s="642"/>
      <c r="U28" s="640" t="s">
        <v>107</v>
      </c>
      <c r="V28" s="641"/>
      <c r="W28" s="641"/>
      <c r="X28" s="642"/>
      <c r="Y28" s="640" t="s">
        <v>108</v>
      </c>
      <c r="Z28" s="641"/>
      <c r="AA28" s="641"/>
      <c r="AB28" s="646"/>
      <c r="AE28" s="87"/>
      <c r="AF28" s="87"/>
      <c r="AG28" s="87"/>
      <c r="AH28" s="87"/>
      <c r="AI28" s="87"/>
      <c r="AJ28" s="87"/>
      <c r="AK28" s="87"/>
      <c r="AL28" s="87"/>
      <c r="AM28" s="87"/>
    </row>
    <row r="29" spans="1:39" ht="33.75" customHeight="1" thickBot="1" x14ac:dyDescent="0.35">
      <c r="A29" s="739"/>
      <c r="B29" s="578"/>
      <c r="C29" s="91" t="s">
        <v>63</v>
      </c>
      <c r="D29" s="92"/>
      <c r="E29" s="92"/>
      <c r="F29" s="92"/>
      <c r="G29" s="93"/>
      <c r="H29" s="93"/>
      <c r="I29" s="93"/>
      <c r="J29" s="93"/>
      <c r="K29" s="93"/>
      <c r="L29" s="93"/>
      <c r="M29" s="93"/>
      <c r="N29" s="93"/>
      <c r="O29" s="93"/>
      <c r="P29" s="139">
        <f>SUM(D29:O29)</f>
        <v>0</v>
      </c>
      <c r="Q29" s="643"/>
      <c r="R29" s="644"/>
      <c r="S29" s="644"/>
      <c r="T29" s="645"/>
      <c r="U29" s="643"/>
      <c r="V29" s="644"/>
      <c r="W29" s="644"/>
      <c r="X29" s="645"/>
      <c r="Y29" s="643"/>
      <c r="Z29" s="644"/>
      <c r="AA29" s="644"/>
      <c r="AB29" s="647"/>
      <c r="AC29" s="49"/>
      <c r="AE29" s="87"/>
      <c r="AF29" s="87"/>
      <c r="AG29" s="87"/>
      <c r="AH29" s="87"/>
      <c r="AI29" s="87"/>
      <c r="AJ29" s="87"/>
      <c r="AK29" s="87"/>
      <c r="AL29" s="87"/>
      <c r="AM29" s="87"/>
    </row>
    <row r="30" spans="1:39" ht="26.1" customHeight="1" x14ac:dyDescent="0.3">
      <c r="A30" s="753" t="s">
        <v>64</v>
      </c>
      <c r="B30" s="749" t="s">
        <v>65</v>
      </c>
      <c r="C30" s="632" t="s">
        <v>66</v>
      </c>
      <c r="D30" s="632"/>
      <c r="E30" s="632"/>
      <c r="F30" s="632"/>
      <c r="G30" s="632"/>
      <c r="H30" s="632"/>
      <c r="I30" s="632"/>
      <c r="J30" s="632"/>
      <c r="K30" s="632"/>
      <c r="L30" s="632"/>
      <c r="M30" s="632"/>
      <c r="N30" s="632"/>
      <c r="O30" s="632"/>
      <c r="P30" s="632"/>
      <c r="Q30" s="674" t="s">
        <v>67</v>
      </c>
      <c r="R30" s="675"/>
      <c r="S30" s="675"/>
      <c r="T30" s="675"/>
      <c r="U30" s="675"/>
      <c r="V30" s="675"/>
      <c r="W30" s="675"/>
      <c r="X30" s="675"/>
      <c r="Y30" s="675"/>
      <c r="Z30" s="675"/>
      <c r="AA30" s="675"/>
      <c r="AB30" s="676"/>
      <c r="AE30" s="87"/>
      <c r="AF30" s="87"/>
      <c r="AG30" s="87"/>
      <c r="AH30" s="87"/>
      <c r="AI30" s="87"/>
      <c r="AJ30" s="87"/>
      <c r="AK30" s="87"/>
      <c r="AL30" s="87"/>
      <c r="AM30" s="87"/>
    </row>
    <row r="31" spans="1:39" ht="26.1" customHeight="1" x14ac:dyDescent="0.3">
      <c r="A31" s="732"/>
      <c r="B31" s="750"/>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648" t="s">
        <v>82</v>
      </c>
      <c r="R31" s="649"/>
      <c r="S31" s="649"/>
      <c r="T31" s="649"/>
      <c r="U31" s="649"/>
      <c r="V31" s="649"/>
      <c r="W31" s="649"/>
      <c r="X31" s="649"/>
      <c r="Y31" s="649"/>
      <c r="Z31" s="649"/>
      <c r="AA31" s="649"/>
      <c r="AB31" s="667"/>
      <c r="AE31" s="94"/>
      <c r="AF31" s="94"/>
      <c r="AG31" s="94"/>
      <c r="AH31" s="94"/>
      <c r="AI31" s="94"/>
      <c r="AJ31" s="94"/>
      <c r="AK31" s="94"/>
      <c r="AL31" s="94"/>
      <c r="AM31" s="94"/>
    </row>
    <row r="32" spans="1:39" ht="28.5" customHeight="1" x14ac:dyDescent="0.3">
      <c r="A32" s="751"/>
      <c r="B32" s="747"/>
      <c r="C32" s="90" t="s">
        <v>62</v>
      </c>
      <c r="D32" s="95"/>
      <c r="E32" s="95"/>
      <c r="F32" s="95"/>
      <c r="G32" s="95"/>
      <c r="H32" s="95"/>
      <c r="I32" s="95"/>
      <c r="J32" s="95"/>
      <c r="K32" s="95"/>
      <c r="L32" s="95"/>
      <c r="M32" s="95"/>
      <c r="N32" s="95"/>
      <c r="O32" s="95"/>
      <c r="P32" s="96">
        <f t="shared" ref="P32:P39" si="0">SUM(D32:O32)</f>
        <v>0</v>
      </c>
      <c r="Q32" s="668" t="s">
        <v>109</v>
      </c>
      <c r="R32" s="669"/>
      <c r="S32" s="669"/>
      <c r="T32" s="669"/>
      <c r="U32" s="669"/>
      <c r="V32" s="669"/>
      <c r="W32" s="669"/>
      <c r="X32" s="669"/>
      <c r="Y32" s="669"/>
      <c r="Z32" s="669"/>
      <c r="AA32" s="669"/>
      <c r="AB32" s="670"/>
      <c r="AC32" s="97"/>
      <c r="AE32" s="98"/>
      <c r="AF32" s="98"/>
      <c r="AG32" s="98"/>
      <c r="AH32" s="98"/>
      <c r="AI32" s="98"/>
      <c r="AJ32" s="98"/>
      <c r="AK32" s="98"/>
      <c r="AL32" s="98"/>
      <c r="AM32" s="98"/>
    </row>
    <row r="33" spans="1:29" ht="28.5" customHeight="1" x14ac:dyDescent="0.3">
      <c r="A33" s="752"/>
      <c r="B33" s="748"/>
      <c r="C33" s="99" t="s">
        <v>63</v>
      </c>
      <c r="D33" s="100"/>
      <c r="E33" s="100"/>
      <c r="F33" s="100"/>
      <c r="G33" s="100"/>
      <c r="H33" s="100"/>
      <c r="I33" s="100"/>
      <c r="J33" s="100"/>
      <c r="K33" s="100"/>
      <c r="L33" s="100"/>
      <c r="M33" s="100"/>
      <c r="N33" s="100"/>
      <c r="O33" s="100"/>
      <c r="P33" s="101">
        <f t="shared" si="0"/>
        <v>0</v>
      </c>
      <c r="Q33" s="671"/>
      <c r="R33" s="672"/>
      <c r="S33" s="672"/>
      <c r="T33" s="672"/>
      <c r="U33" s="672"/>
      <c r="V33" s="672"/>
      <c r="W33" s="672"/>
      <c r="X33" s="672"/>
      <c r="Y33" s="672"/>
      <c r="Z33" s="672"/>
      <c r="AA33" s="672"/>
      <c r="AB33" s="673"/>
      <c r="AC33" s="97"/>
    </row>
    <row r="34" spans="1:29" ht="28.5" customHeight="1" x14ac:dyDescent="0.3">
      <c r="A34" s="752"/>
      <c r="B34" s="679"/>
      <c r="C34" s="102" t="s">
        <v>62</v>
      </c>
      <c r="D34" s="103"/>
      <c r="E34" s="103"/>
      <c r="F34" s="103"/>
      <c r="G34" s="103"/>
      <c r="H34" s="103"/>
      <c r="I34" s="103"/>
      <c r="J34" s="103"/>
      <c r="K34" s="103"/>
      <c r="L34" s="103"/>
      <c r="M34" s="103"/>
      <c r="N34" s="103"/>
      <c r="O34" s="103"/>
      <c r="P34" s="101">
        <f t="shared" si="0"/>
        <v>0</v>
      </c>
      <c r="Q34" s="620"/>
      <c r="R34" s="621"/>
      <c r="S34" s="621"/>
      <c r="T34" s="621"/>
      <c r="U34" s="621"/>
      <c r="V34" s="621"/>
      <c r="W34" s="621"/>
      <c r="X34" s="621"/>
      <c r="Y34" s="621"/>
      <c r="Z34" s="621"/>
      <c r="AA34" s="621"/>
      <c r="AB34" s="622"/>
      <c r="AC34" s="97"/>
    </row>
    <row r="35" spans="1:29" ht="28.5" customHeight="1" x14ac:dyDescent="0.3">
      <c r="A35" s="752"/>
      <c r="B35" s="748"/>
      <c r="C35" s="99" t="s">
        <v>63</v>
      </c>
      <c r="D35" s="100"/>
      <c r="E35" s="100"/>
      <c r="F35" s="100"/>
      <c r="G35" s="100"/>
      <c r="H35" s="100"/>
      <c r="I35" s="100"/>
      <c r="J35" s="100"/>
      <c r="K35" s="100"/>
      <c r="L35" s="104"/>
      <c r="M35" s="104"/>
      <c r="N35" s="104"/>
      <c r="O35" s="104"/>
      <c r="P35" s="101">
        <f t="shared" si="0"/>
        <v>0</v>
      </c>
      <c r="Q35" s="623"/>
      <c r="R35" s="624"/>
      <c r="S35" s="624"/>
      <c r="T35" s="624"/>
      <c r="U35" s="624"/>
      <c r="V35" s="624"/>
      <c r="W35" s="624"/>
      <c r="X35" s="624"/>
      <c r="Y35" s="624"/>
      <c r="Z35" s="624"/>
      <c r="AA35" s="624"/>
      <c r="AB35" s="625"/>
      <c r="AC35" s="97"/>
    </row>
    <row r="36" spans="1:29" ht="28.5" customHeight="1" x14ac:dyDescent="0.3">
      <c r="A36" s="745"/>
      <c r="B36" s="679"/>
      <c r="C36" s="102" t="s">
        <v>62</v>
      </c>
      <c r="D36" s="103"/>
      <c r="E36" s="103"/>
      <c r="F36" s="103"/>
      <c r="G36" s="103"/>
      <c r="H36" s="103"/>
      <c r="I36" s="103"/>
      <c r="J36" s="103"/>
      <c r="K36" s="103"/>
      <c r="L36" s="103"/>
      <c r="M36" s="103"/>
      <c r="N36" s="103"/>
      <c r="O36" s="103"/>
      <c r="P36" s="101">
        <f t="shared" si="0"/>
        <v>0</v>
      </c>
      <c r="Q36" s="620"/>
      <c r="R36" s="621"/>
      <c r="S36" s="621"/>
      <c r="T36" s="621"/>
      <c r="U36" s="621"/>
      <c r="V36" s="621"/>
      <c r="W36" s="621"/>
      <c r="X36" s="621"/>
      <c r="Y36" s="621"/>
      <c r="Z36" s="621"/>
      <c r="AA36" s="621"/>
      <c r="AB36" s="622"/>
      <c r="AC36" s="97"/>
    </row>
    <row r="37" spans="1:29" ht="28.5" customHeight="1" x14ac:dyDescent="0.3">
      <c r="A37" s="746"/>
      <c r="B37" s="748"/>
      <c r="C37" s="99" t="s">
        <v>63</v>
      </c>
      <c r="D37" s="100"/>
      <c r="E37" s="100"/>
      <c r="F37" s="100"/>
      <c r="G37" s="100"/>
      <c r="H37" s="100"/>
      <c r="I37" s="100"/>
      <c r="J37" s="100"/>
      <c r="K37" s="100"/>
      <c r="L37" s="104"/>
      <c r="M37" s="104"/>
      <c r="N37" s="104"/>
      <c r="O37" s="104"/>
      <c r="P37" s="101">
        <f t="shared" si="0"/>
        <v>0</v>
      </c>
      <c r="Q37" s="623"/>
      <c r="R37" s="624"/>
      <c r="S37" s="624"/>
      <c r="T37" s="624"/>
      <c r="U37" s="624"/>
      <c r="V37" s="624"/>
      <c r="W37" s="624"/>
      <c r="X37" s="624"/>
      <c r="Y37" s="624"/>
      <c r="Z37" s="624"/>
      <c r="AA37" s="624"/>
      <c r="AB37" s="625"/>
      <c r="AC37" s="97"/>
    </row>
    <row r="38" spans="1:29" ht="28.5" customHeight="1" x14ac:dyDescent="0.3">
      <c r="A38" s="657"/>
      <c r="B38" s="679"/>
      <c r="C38" s="102" t="s">
        <v>62</v>
      </c>
      <c r="D38" s="103"/>
      <c r="E38" s="103"/>
      <c r="F38" s="103"/>
      <c r="G38" s="103"/>
      <c r="H38" s="103"/>
      <c r="I38" s="103"/>
      <c r="J38" s="103"/>
      <c r="K38" s="103"/>
      <c r="L38" s="103"/>
      <c r="M38" s="103"/>
      <c r="N38" s="103"/>
      <c r="O38" s="103"/>
      <c r="P38" s="101">
        <f t="shared" si="0"/>
        <v>0</v>
      </c>
      <c r="Q38" s="620"/>
      <c r="R38" s="621"/>
      <c r="S38" s="621"/>
      <c r="T38" s="621"/>
      <c r="U38" s="621"/>
      <c r="V38" s="621"/>
      <c r="W38" s="621"/>
      <c r="X38" s="621"/>
      <c r="Y38" s="621"/>
      <c r="Z38" s="621"/>
      <c r="AA38" s="621"/>
      <c r="AB38" s="622"/>
      <c r="AC38" s="97"/>
    </row>
    <row r="39" spans="1:29" ht="28.5" customHeight="1" thickBot="1" x14ac:dyDescent="0.35">
      <c r="A39" s="658"/>
      <c r="B39" s="680"/>
      <c r="C39" s="91" t="s">
        <v>63</v>
      </c>
      <c r="D39" s="105"/>
      <c r="E39" s="105"/>
      <c r="F39" s="105"/>
      <c r="G39" s="105"/>
      <c r="H39" s="105"/>
      <c r="I39" s="105"/>
      <c r="J39" s="105"/>
      <c r="K39" s="105"/>
      <c r="L39" s="106"/>
      <c r="M39" s="106"/>
      <c r="N39" s="106"/>
      <c r="O39" s="106"/>
      <c r="P39" s="107">
        <f t="shared" si="0"/>
        <v>0</v>
      </c>
      <c r="Q39" s="684"/>
      <c r="R39" s="685"/>
      <c r="S39" s="685"/>
      <c r="T39" s="685"/>
      <c r="U39" s="685"/>
      <c r="V39" s="685"/>
      <c r="W39" s="685"/>
      <c r="X39" s="685"/>
      <c r="Y39" s="685"/>
      <c r="Z39" s="685"/>
      <c r="AA39" s="685"/>
      <c r="AB39" s="686"/>
      <c r="AC39" s="97"/>
    </row>
    <row r="40" spans="1:29" x14ac:dyDescent="0.3">
      <c r="A40" s="50" t="s">
        <v>89</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03"/>
  <sheetViews>
    <sheetView showGridLines="0" view="pageBreakPreview" topLeftCell="O55" zoomScale="80" zoomScaleNormal="60" zoomScaleSheetLayoutView="80" workbookViewId="0">
      <selection activeCell="T34" sqref="T34:V35"/>
    </sheetView>
  </sheetViews>
  <sheetFormatPr baseColWidth="10" defaultColWidth="10.6640625" defaultRowHeight="14.4" x14ac:dyDescent="0.3"/>
  <cols>
    <col min="1" max="1" width="64.44140625" style="50" customWidth="1"/>
    <col min="2" max="2" width="20.6640625" style="50" customWidth="1"/>
    <col min="3" max="3" width="38.109375" style="50" customWidth="1"/>
    <col min="4" max="14" width="20.6640625" style="50" customWidth="1"/>
    <col min="15" max="15" width="18.33203125" style="50" customWidth="1"/>
    <col min="16" max="16" width="18.109375" style="50" customWidth="1"/>
    <col min="17" max="17" width="20.33203125" style="50" customWidth="1"/>
    <col min="18" max="18" width="19.33203125" style="50" customWidth="1"/>
    <col min="19" max="19" width="48.109375" style="50" customWidth="1"/>
    <col min="20" max="21" width="18.109375" style="50" customWidth="1"/>
    <col min="22" max="22" width="25.109375" style="50" customWidth="1"/>
    <col min="23"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769" t="s">
        <v>4</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517" t="s">
        <v>5</v>
      </c>
      <c r="AC3" s="518"/>
      <c r="AD3" s="519"/>
    </row>
    <row r="4" spans="1:33" ht="21.75" customHeight="1" thickBot="1" x14ac:dyDescent="0.35">
      <c r="A4" s="510"/>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9.5"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22</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775" t="s">
        <v>110</v>
      </c>
      <c r="D17" s="776"/>
      <c r="E17" s="776"/>
      <c r="F17" s="776"/>
      <c r="G17" s="776"/>
      <c r="H17" s="776"/>
      <c r="I17" s="776"/>
      <c r="J17" s="776"/>
      <c r="K17" s="776"/>
      <c r="L17" s="776"/>
      <c r="M17" s="776"/>
      <c r="N17" s="776"/>
      <c r="O17" s="776"/>
      <c r="P17" s="776"/>
      <c r="Q17" s="777"/>
      <c r="R17" s="484" t="s">
        <v>25</v>
      </c>
      <c r="S17" s="488"/>
      <c r="T17" s="488"/>
      <c r="U17" s="488"/>
      <c r="V17" s="485"/>
      <c r="W17" s="486">
        <v>0.9</v>
      </c>
      <c r="X17" s="487"/>
      <c r="Y17" s="488" t="s">
        <v>26</v>
      </c>
      <c r="Z17" s="488"/>
      <c r="AA17" s="488"/>
      <c r="AB17" s="485"/>
      <c r="AC17" s="451">
        <v>0.2</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282">
        <v>683483817</v>
      </c>
      <c r="R22" s="283">
        <v>8537488</v>
      </c>
      <c r="S22" s="283">
        <v>11658906</v>
      </c>
      <c r="T22" s="283">
        <v>0</v>
      </c>
      <c r="U22" s="283">
        <v>31411000</v>
      </c>
      <c r="V22" s="283">
        <v>69659690</v>
      </c>
      <c r="W22" s="283">
        <v>0</v>
      </c>
      <c r="X22" s="331">
        <v>-31819212</v>
      </c>
      <c r="Y22" s="331">
        <v>0</v>
      </c>
      <c r="Z22" s="331">
        <v>0</v>
      </c>
      <c r="AA22" s="331">
        <v>0</v>
      </c>
      <c r="AB22" s="331">
        <v>0</v>
      </c>
      <c r="AC22" s="284">
        <f>SUM(Q22:AB22)</f>
        <v>772931689</v>
      </c>
      <c r="AD22" s="285"/>
      <c r="AE22" s="3"/>
      <c r="AF22" s="3">
        <v>772931689</v>
      </c>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290">
        <f>215111267</f>
        <v>215111267</v>
      </c>
      <c r="R23" s="291">
        <f>480950967-Q23</f>
        <v>265839700</v>
      </c>
      <c r="S23" s="291">
        <f>598985084-Q23-R23</f>
        <v>118034117</v>
      </c>
      <c r="T23" s="291">
        <f>582264203-Q23-R23-S23</f>
        <v>-16720881</v>
      </c>
      <c r="U23" s="291">
        <f>608999034-Q23-R23-S23-T23</f>
        <v>26734831</v>
      </c>
      <c r="V23" s="291">
        <f>620904450-Q23-R23-S23-T23-U23</f>
        <v>11905416</v>
      </c>
      <c r="W23" s="291">
        <f>694538612-Q23-R23-S23-T23-U23-V23</f>
        <v>73634162</v>
      </c>
      <c r="X23" s="332">
        <f>694366038-Q23-R23-S23-T23-U23-V23-W23</f>
        <v>-172574</v>
      </c>
      <c r="Y23" s="332">
        <f>693991038-Q23-R23-S23-T23-U23-V23-W23-X23</f>
        <v>-375000</v>
      </c>
      <c r="Z23" s="332"/>
      <c r="AA23" s="332"/>
      <c r="AB23" s="332"/>
      <c r="AC23" s="288">
        <f>SUM(Q23:AB23)</f>
        <v>693991038</v>
      </c>
      <c r="AD23" s="292">
        <f>AC23/AC22</f>
        <v>0.89786852819796859</v>
      </c>
      <c r="AE23" s="3"/>
      <c r="AF23" s="3"/>
    </row>
    <row r="24" spans="1:41" ht="32.1" customHeight="1" x14ac:dyDescent="0.3">
      <c r="A24" s="439" t="s">
        <v>45</v>
      </c>
      <c r="B24" s="440"/>
      <c r="C24" s="287">
        <f>9390833+9911170+7076465</f>
        <v>26378468</v>
      </c>
      <c r="D24" s="288"/>
      <c r="E24" s="288"/>
      <c r="F24" s="288"/>
      <c r="G24" s="288"/>
      <c r="H24" s="288"/>
      <c r="I24" s="288"/>
      <c r="J24" s="288"/>
      <c r="K24" s="288"/>
      <c r="L24" s="288"/>
      <c r="M24" s="288"/>
      <c r="N24" s="288"/>
      <c r="O24" s="291">
        <f>SUM(C24:N24)</f>
        <v>26378468</v>
      </c>
      <c r="P24" s="293"/>
      <c r="Q24" s="290"/>
      <c r="R24" s="291">
        <f>2332686+5667247+15634065</f>
        <v>23633998</v>
      </c>
      <c r="S24" s="291">
        <f>2332686+9767318+40103208+10000000</f>
        <v>62203212</v>
      </c>
      <c r="T24" s="291">
        <f>2332686+37500+9767318+40103208+10000000</f>
        <v>62240712</v>
      </c>
      <c r="U24" s="291">
        <f>31411000+2558257+37500+8536960+9767318+40103208</f>
        <v>92414243</v>
      </c>
      <c r="V24" s="291">
        <f>2558257+37500+9767318+40103208</f>
        <v>52466283</v>
      </c>
      <c r="W24" s="291">
        <f>2558257+37500+6146000+9767318+40103208</f>
        <v>58612283</v>
      </c>
      <c r="X24" s="332">
        <f>814000+2558257+37500+12000000+9767318+40103208+20000000-6363842</f>
        <v>78916441</v>
      </c>
      <c r="Y24" s="332">
        <f>2558257+37500+10000000+9767318+40103208+20000000-6363842</f>
        <v>76102441</v>
      </c>
      <c r="Z24" s="332">
        <f>2558257+37500+14400000+9767318+40103208+20000000-6363842</f>
        <v>80502441</v>
      </c>
      <c r="AA24" s="332">
        <f>2558257+37500+13000000+9767318+40103208+4095218-6363842</f>
        <v>63197659</v>
      </c>
      <c r="AB24" s="332">
        <f>4557086+75000+14400000+9767318+40103208+40103208+20000000-6363844</f>
        <v>122641976</v>
      </c>
      <c r="AC24" s="288">
        <f>SUM(Q24:AB24)</f>
        <v>772931689</v>
      </c>
      <c r="AD24" s="292"/>
      <c r="AE24" s="3"/>
      <c r="AF24" s="3"/>
    </row>
    <row r="25" spans="1:41" ht="32.1" customHeight="1" thickBot="1" x14ac:dyDescent="0.35">
      <c r="A25" s="398" t="s">
        <v>46</v>
      </c>
      <c r="B25" s="441"/>
      <c r="C25" s="297">
        <v>7741652</v>
      </c>
      <c r="D25" s="298">
        <f>12069914-C25</f>
        <v>4328262</v>
      </c>
      <c r="E25" s="298">
        <f>19279460-C25-D25</f>
        <v>7209546</v>
      </c>
      <c r="F25" s="298">
        <f>26220277-C25-D25-E25</f>
        <v>6940817</v>
      </c>
      <c r="G25" s="298">
        <f>26378468-C25-D25-E25-F25</f>
        <v>158191</v>
      </c>
      <c r="H25" s="298">
        <f>26378468-C25-D25-E25-F25-G25</f>
        <v>0</v>
      </c>
      <c r="I25" s="298">
        <f>26378468-C25-D25-E25-F25-G25-H25</f>
        <v>0</v>
      </c>
      <c r="J25" s="298"/>
      <c r="K25" s="298"/>
      <c r="L25" s="298"/>
      <c r="M25" s="298"/>
      <c r="N25" s="298"/>
      <c r="O25" s="299">
        <f>SUM(C25:N25)</f>
        <v>26378468</v>
      </c>
      <c r="P25" s="300">
        <f>IFERROR(O25/(SUMIF(C25:N25,"&gt;0",C24:O24))," ")</f>
        <v>1</v>
      </c>
      <c r="Q25" s="301"/>
      <c r="R25" s="302">
        <f>3897040</f>
        <v>3897040</v>
      </c>
      <c r="S25" s="302">
        <f>35155514-R25</f>
        <v>31258474</v>
      </c>
      <c r="T25" s="302">
        <f>85390370-R25-S25</f>
        <v>50234856</v>
      </c>
      <c r="U25" s="302">
        <f>141512957-R25-S25-T25</f>
        <v>56122587</v>
      </c>
      <c r="V25" s="302">
        <f>205293868-R25-S25-T25-U25</f>
        <v>63780911</v>
      </c>
      <c r="W25" s="302">
        <f>276460813-R25-S25-T25-U25-V25</f>
        <v>71166945</v>
      </c>
      <c r="X25" s="302">
        <f>333493097-R25-S25-T25-U25-V25-W25</f>
        <v>57032284</v>
      </c>
      <c r="Y25" s="302">
        <f>413282244-R25-S25-T25-U25-V25-W25-X25</f>
        <v>79789147</v>
      </c>
      <c r="Z25" s="302"/>
      <c r="AA25" s="302"/>
      <c r="AB25" s="302"/>
      <c r="AC25" s="298">
        <f>SUM(Q25:AB25)</f>
        <v>413282244</v>
      </c>
      <c r="AD25" s="303">
        <f>AC25/AC24</f>
        <v>0.53469439781243078</v>
      </c>
      <c r="AE25" s="3"/>
      <c r="AF25" s="3"/>
    </row>
    <row r="26" spans="1:41" ht="32.1" customHeight="1" thickBot="1" x14ac:dyDescent="0.35">
      <c r="A26" s="248"/>
      <c r="B26" s="243"/>
      <c r="C26" s="305"/>
      <c r="D26" s="305"/>
      <c r="E26" s="305"/>
      <c r="F26" s="305"/>
      <c r="G26" s="304"/>
      <c r="H26" s="304"/>
      <c r="I26" s="304"/>
      <c r="J26" s="305"/>
      <c r="K26" s="305"/>
      <c r="L26" s="305"/>
      <c r="M26" s="305"/>
      <c r="N26" s="305"/>
      <c r="O26" s="304"/>
      <c r="P26" s="305"/>
      <c r="Q26" s="305"/>
      <c r="R26" s="305"/>
      <c r="S26" s="305"/>
      <c r="T26" s="305"/>
      <c r="U26" s="305"/>
      <c r="V26" s="305"/>
      <c r="W26" s="305"/>
      <c r="X26" s="305"/>
      <c r="Y26" s="305"/>
      <c r="Z26" s="305"/>
      <c r="AA26" s="305"/>
      <c r="AB26" s="305"/>
      <c r="AC26" s="249"/>
      <c r="AD26" s="263"/>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56.25" customHeight="1" thickBot="1" x14ac:dyDescent="0.35">
      <c r="A30" s="333" t="s">
        <v>110</v>
      </c>
      <c r="B30" s="778"/>
      <c r="C30" s="779"/>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x14ac:dyDescent="0.3">
      <c r="A31" s="769" t="s">
        <v>53</v>
      </c>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6"/>
    </row>
    <row r="32" spans="1:41" ht="23.1" customHeight="1" x14ac:dyDescent="0.3">
      <c r="A32" s="439" t="s">
        <v>54</v>
      </c>
      <c r="B32" s="429" t="s">
        <v>55</v>
      </c>
      <c r="C32" s="429" t="s">
        <v>49</v>
      </c>
      <c r="D32" s="429" t="s">
        <v>56</v>
      </c>
      <c r="E32" s="429"/>
      <c r="F32" s="429"/>
      <c r="G32" s="429"/>
      <c r="H32" s="429"/>
      <c r="I32" s="429"/>
      <c r="J32" s="429"/>
      <c r="K32" s="429"/>
      <c r="L32" s="429"/>
      <c r="M32" s="429"/>
      <c r="N32" s="429"/>
      <c r="O32" s="429"/>
      <c r="P32" s="429"/>
      <c r="Q32" s="429" t="s">
        <v>57</v>
      </c>
      <c r="R32" s="429"/>
      <c r="S32" s="429"/>
      <c r="T32" s="429"/>
      <c r="U32" s="429"/>
      <c r="V32" s="429"/>
      <c r="W32" s="429"/>
      <c r="X32" s="429"/>
      <c r="Y32" s="429"/>
      <c r="Z32" s="429"/>
      <c r="AA32" s="429"/>
      <c r="AB32" s="429"/>
      <c r="AC32" s="429"/>
      <c r="AD32" s="430"/>
      <c r="AG32" s="87"/>
      <c r="AH32" s="87"/>
      <c r="AI32" s="87"/>
      <c r="AJ32" s="87"/>
      <c r="AK32" s="87"/>
      <c r="AL32" s="87"/>
      <c r="AM32" s="87"/>
      <c r="AN32" s="87"/>
      <c r="AO32" s="87"/>
    </row>
    <row r="33" spans="1:41" ht="27" customHeight="1" x14ac:dyDescent="0.3">
      <c r="A33" s="439"/>
      <c r="B33" s="429"/>
      <c r="C33" s="467"/>
      <c r="D33" s="306" t="s">
        <v>30</v>
      </c>
      <c r="E33" s="306" t="s">
        <v>31</v>
      </c>
      <c r="F33" s="306" t="s">
        <v>32</v>
      </c>
      <c r="G33" s="306" t="s">
        <v>33</v>
      </c>
      <c r="H33" s="306" t="s">
        <v>34</v>
      </c>
      <c r="I33" s="306" t="s">
        <v>35</v>
      </c>
      <c r="J33" s="306" t="s">
        <v>36</v>
      </c>
      <c r="K33" s="306" t="s">
        <v>37</v>
      </c>
      <c r="L33" s="306" t="s">
        <v>8</v>
      </c>
      <c r="M33" s="306" t="s">
        <v>38</v>
      </c>
      <c r="N33" s="306" t="s">
        <v>39</v>
      </c>
      <c r="O33" s="306" t="s">
        <v>40</v>
      </c>
      <c r="P33" s="306" t="s">
        <v>41</v>
      </c>
      <c r="Q33" s="429" t="s">
        <v>58</v>
      </c>
      <c r="R33" s="429"/>
      <c r="S33" s="429"/>
      <c r="T33" s="429" t="s">
        <v>59</v>
      </c>
      <c r="U33" s="429"/>
      <c r="V33" s="429"/>
      <c r="W33" s="431" t="s">
        <v>60</v>
      </c>
      <c r="X33" s="432"/>
      <c r="Y33" s="432"/>
      <c r="Z33" s="433"/>
      <c r="AA33" s="431" t="s">
        <v>61</v>
      </c>
      <c r="AB33" s="432"/>
      <c r="AC33" s="432"/>
      <c r="AD33" s="434"/>
      <c r="AG33" s="87"/>
      <c r="AH33" s="87"/>
      <c r="AI33" s="87"/>
      <c r="AJ33" s="87"/>
      <c r="AK33" s="87"/>
      <c r="AL33" s="87"/>
      <c r="AM33" s="87"/>
      <c r="AN33" s="87"/>
      <c r="AO33" s="87"/>
    </row>
    <row r="34" spans="1:41" ht="54.75" customHeight="1" x14ac:dyDescent="0.3">
      <c r="A34" s="414" t="s">
        <v>110</v>
      </c>
      <c r="B34" s="416">
        <v>0.2</v>
      </c>
      <c r="C34" s="312" t="s">
        <v>62</v>
      </c>
      <c r="D34" s="313">
        <f>D88</f>
        <v>0</v>
      </c>
      <c r="E34" s="313">
        <f t="shared" ref="E34:O34" si="0">E88</f>
        <v>0.10439999999999999</v>
      </c>
      <c r="F34" s="313">
        <f t="shared" si="0"/>
        <v>7.1999999999999981E-2</v>
      </c>
      <c r="G34" s="313">
        <f t="shared" si="0"/>
        <v>0.11249999999999999</v>
      </c>
      <c r="H34" s="313">
        <f t="shared" si="0"/>
        <v>9.2700000000000005E-2</v>
      </c>
      <c r="I34" s="313">
        <f t="shared" si="0"/>
        <v>9.1799999999999979E-2</v>
      </c>
      <c r="J34" s="313">
        <f t="shared" si="0"/>
        <v>8.7299999999999989E-2</v>
      </c>
      <c r="K34" s="313">
        <f t="shared" si="0"/>
        <v>7.8299999999999995E-2</v>
      </c>
      <c r="L34" s="313">
        <f t="shared" si="0"/>
        <v>7.3800000000000004E-2</v>
      </c>
      <c r="M34" s="313">
        <f t="shared" si="0"/>
        <v>9.1800000000000007E-2</v>
      </c>
      <c r="N34" s="313">
        <f t="shared" si="0"/>
        <v>6.5699999999999995E-2</v>
      </c>
      <c r="O34" s="313">
        <f t="shared" si="0"/>
        <v>2.9700000000000004E-2</v>
      </c>
      <c r="P34" s="313">
        <f>SUM(D34:O34)</f>
        <v>0.89999999999999991</v>
      </c>
      <c r="Q34" s="418" t="s">
        <v>578</v>
      </c>
      <c r="R34" s="419"/>
      <c r="S34" s="420"/>
      <c r="T34" s="419" t="s">
        <v>111</v>
      </c>
      <c r="U34" s="419"/>
      <c r="V34" s="420"/>
      <c r="W34" s="418" t="s">
        <v>112</v>
      </c>
      <c r="X34" s="419"/>
      <c r="Y34" s="419"/>
      <c r="Z34" s="420"/>
      <c r="AA34" s="418" t="s">
        <v>113</v>
      </c>
      <c r="AB34" s="419"/>
      <c r="AC34" s="419"/>
      <c r="AD34" s="424"/>
      <c r="AG34" s="87"/>
      <c r="AH34" s="87"/>
      <c r="AI34" s="87"/>
      <c r="AJ34" s="87"/>
      <c r="AK34" s="87"/>
      <c r="AL34" s="87"/>
      <c r="AM34" s="87"/>
      <c r="AN34" s="87"/>
      <c r="AO34" s="87"/>
    </row>
    <row r="35" spans="1:41" ht="409.35" customHeight="1" thickBot="1" x14ac:dyDescent="0.35">
      <c r="A35" s="415"/>
      <c r="B35" s="417"/>
      <c r="C35" s="334" t="s">
        <v>63</v>
      </c>
      <c r="D35" s="316">
        <f>D85</f>
        <v>0</v>
      </c>
      <c r="E35" s="316">
        <f>E85</f>
        <v>4.8599999999999997E-2</v>
      </c>
      <c r="F35" s="316">
        <f t="shared" ref="F35:O35" si="1">F85</f>
        <v>8.7299999999999975E-2</v>
      </c>
      <c r="G35" s="316">
        <f t="shared" si="1"/>
        <v>0.12149999999999998</v>
      </c>
      <c r="H35" s="316">
        <f t="shared" si="1"/>
        <v>0.12869999999999998</v>
      </c>
      <c r="I35" s="316">
        <f t="shared" si="1"/>
        <v>9.1799999999999979E-2</v>
      </c>
      <c r="J35" s="316">
        <f t="shared" si="1"/>
        <v>8.0099999999999991E-2</v>
      </c>
      <c r="K35" s="316">
        <f t="shared" si="1"/>
        <v>8.0999999999999989E-2</v>
      </c>
      <c r="L35" s="316">
        <f t="shared" si="1"/>
        <v>7.3800000000000004E-2</v>
      </c>
      <c r="M35" s="316">
        <f t="shared" si="1"/>
        <v>0</v>
      </c>
      <c r="N35" s="316">
        <f t="shared" si="1"/>
        <v>0</v>
      </c>
      <c r="O35" s="316">
        <f t="shared" si="1"/>
        <v>0</v>
      </c>
      <c r="P35" s="316">
        <f>SUM(D35:O35)</f>
        <v>0.71279999999999988</v>
      </c>
      <c r="Q35" s="421"/>
      <c r="R35" s="422"/>
      <c r="S35" s="423"/>
      <c r="T35" s="422"/>
      <c r="U35" s="422"/>
      <c r="V35" s="423"/>
      <c r="W35" s="421"/>
      <c r="X35" s="422"/>
      <c r="Y35" s="422"/>
      <c r="Z35" s="423"/>
      <c r="AA35" s="421"/>
      <c r="AB35" s="422"/>
      <c r="AC35" s="422"/>
      <c r="AD35" s="425"/>
      <c r="AE35" s="49"/>
      <c r="AG35" s="87"/>
      <c r="AH35" s="87"/>
      <c r="AI35" s="87"/>
      <c r="AJ35" s="87"/>
      <c r="AK35" s="87"/>
      <c r="AL35" s="87"/>
      <c r="AM35" s="87"/>
      <c r="AN35" s="87"/>
      <c r="AO35" s="87"/>
    </row>
    <row r="36" spans="1:41" ht="26.1" customHeight="1" x14ac:dyDescent="0.3">
      <c r="A36" s="780" t="s">
        <v>64</v>
      </c>
      <c r="B36" s="782" t="s">
        <v>65</v>
      </c>
      <c r="C36" s="397" t="s">
        <v>66</v>
      </c>
      <c r="D36" s="401"/>
      <c r="E36" s="401"/>
      <c r="F36" s="401"/>
      <c r="G36" s="401"/>
      <c r="H36" s="401"/>
      <c r="I36" s="401"/>
      <c r="J36" s="401"/>
      <c r="K36" s="401"/>
      <c r="L36" s="401"/>
      <c r="M36" s="401"/>
      <c r="N36" s="401"/>
      <c r="O36" s="401"/>
      <c r="P36" s="402"/>
      <c r="Q36" s="404" t="s">
        <v>67</v>
      </c>
      <c r="R36" s="404"/>
      <c r="S36" s="404"/>
      <c r="T36" s="404"/>
      <c r="U36" s="404"/>
      <c r="V36" s="404"/>
      <c r="W36" s="404"/>
      <c r="X36" s="404"/>
      <c r="Y36" s="404"/>
      <c r="Z36" s="404"/>
      <c r="AA36" s="404"/>
      <c r="AB36" s="404"/>
      <c r="AC36" s="404"/>
      <c r="AD36" s="405"/>
      <c r="AG36" s="87"/>
      <c r="AH36" s="87"/>
      <c r="AI36" s="87"/>
      <c r="AJ36" s="87"/>
      <c r="AK36" s="87"/>
      <c r="AL36" s="87"/>
      <c r="AM36" s="87"/>
      <c r="AN36" s="87"/>
      <c r="AO36" s="87"/>
    </row>
    <row r="37" spans="1:41" ht="63" customHeight="1" thickBot="1" x14ac:dyDescent="0.35">
      <c r="A37" s="781"/>
      <c r="B37" s="783"/>
      <c r="C37" s="295" t="s">
        <v>68</v>
      </c>
      <c r="D37" s="318" t="s">
        <v>69</v>
      </c>
      <c r="E37" s="318" t="s">
        <v>70</v>
      </c>
      <c r="F37" s="318" t="s">
        <v>71</v>
      </c>
      <c r="G37" s="318" t="s">
        <v>72</v>
      </c>
      <c r="H37" s="318" t="s">
        <v>73</v>
      </c>
      <c r="I37" s="318" t="s">
        <v>74</v>
      </c>
      <c r="J37" s="318" t="s">
        <v>75</v>
      </c>
      <c r="K37" s="318" t="s">
        <v>76</v>
      </c>
      <c r="L37" s="318" t="s">
        <v>77</v>
      </c>
      <c r="M37" s="318" t="s">
        <v>78</v>
      </c>
      <c r="N37" s="318" t="s">
        <v>79</v>
      </c>
      <c r="O37" s="318" t="s">
        <v>80</v>
      </c>
      <c r="P37" s="319" t="s">
        <v>81</v>
      </c>
      <c r="Q37" s="407" t="s">
        <v>82</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53.25" customHeight="1" x14ac:dyDescent="0.3">
      <c r="A38" s="409" t="s">
        <v>114</v>
      </c>
      <c r="B38" s="790">
        <v>0.02</v>
      </c>
      <c r="C38" s="335" t="s">
        <v>62</v>
      </c>
      <c r="D38" s="320">
        <v>0</v>
      </c>
      <c r="E38" s="320">
        <v>0.3</v>
      </c>
      <c r="F38" s="320">
        <v>0.3</v>
      </c>
      <c r="G38" s="320">
        <v>0.2</v>
      </c>
      <c r="H38" s="320">
        <v>0.06</v>
      </c>
      <c r="I38" s="320">
        <v>0.02</v>
      </c>
      <c r="J38" s="320">
        <v>0.02</v>
      </c>
      <c r="K38" s="320">
        <v>0.02</v>
      </c>
      <c r="L38" s="320">
        <v>0.02</v>
      </c>
      <c r="M38" s="320">
        <v>0.02</v>
      </c>
      <c r="N38" s="320">
        <v>0.02</v>
      </c>
      <c r="O38" s="320">
        <v>0.02</v>
      </c>
      <c r="P38" s="321">
        <f t="shared" ref="P38:P45" si="2">SUM(D38:O38)</f>
        <v>1.0000000000000002</v>
      </c>
      <c r="Q38" s="784" t="s">
        <v>115</v>
      </c>
      <c r="R38" s="785"/>
      <c r="S38" s="785"/>
      <c r="T38" s="785"/>
      <c r="U38" s="785"/>
      <c r="V38" s="785"/>
      <c r="W38" s="785"/>
      <c r="X38" s="785"/>
      <c r="Y38" s="785"/>
      <c r="Z38" s="785"/>
      <c r="AA38" s="785"/>
      <c r="AB38" s="785"/>
      <c r="AC38" s="785"/>
      <c r="AD38" s="786"/>
      <c r="AE38" s="97"/>
      <c r="AG38" s="98"/>
      <c r="AH38" s="98"/>
      <c r="AI38" s="98"/>
      <c r="AJ38" s="98"/>
      <c r="AK38" s="98"/>
      <c r="AL38" s="98"/>
      <c r="AM38" s="98"/>
      <c r="AN38" s="98"/>
      <c r="AO38" s="98"/>
    </row>
    <row r="39" spans="1:41" ht="77.25" customHeight="1" x14ac:dyDescent="0.3">
      <c r="A39" s="382"/>
      <c r="B39" s="761"/>
      <c r="C39" s="336" t="s">
        <v>63</v>
      </c>
      <c r="D39" s="323">
        <v>0</v>
      </c>
      <c r="E39" s="323">
        <v>0.3</v>
      </c>
      <c r="F39" s="323">
        <v>0.3</v>
      </c>
      <c r="G39" s="323">
        <v>0.2</v>
      </c>
      <c r="H39" s="323">
        <v>0.06</v>
      </c>
      <c r="I39" s="323">
        <v>0.02</v>
      </c>
      <c r="J39" s="323">
        <v>0.02</v>
      </c>
      <c r="K39" s="323">
        <v>0.02</v>
      </c>
      <c r="L39" s="323">
        <v>0.02</v>
      </c>
      <c r="M39" s="323"/>
      <c r="N39" s="323"/>
      <c r="O39" s="323"/>
      <c r="P39" s="337">
        <f t="shared" si="2"/>
        <v>0.94000000000000017</v>
      </c>
      <c r="Q39" s="787"/>
      <c r="R39" s="788"/>
      <c r="S39" s="788"/>
      <c r="T39" s="788"/>
      <c r="U39" s="788"/>
      <c r="V39" s="788"/>
      <c r="W39" s="788"/>
      <c r="X39" s="788"/>
      <c r="Y39" s="788"/>
      <c r="Z39" s="788"/>
      <c r="AA39" s="788"/>
      <c r="AB39" s="788"/>
      <c r="AC39" s="788"/>
      <c r="AD39" s="789"/>
      <c r="AE39" s="97"/>
    </row>
    <row r="40" spans="1:41" ht="60.6" customHeight="1" x14ac:dyDescent="0.3">
      <c r="A40" s="382" t="s">
        <v>116</v>
      </c>
      <c r="B40" s="761">
        <v>0.02</v>
      </c>
      <c r="C40" s="338" t="s">
        <v>62</v>
      </c>
      <c r="D40" s="326">
        <v>0</v>
      </c>
      <c r="E40" s="326">
        <v>0.02</v>
      </c>
      <c r="F40" s="326">
        <v>0.04</v>
      </c>
      <c r="G40" s="326">
        <v>0.1</v>
      </c>
      <c r="H40" s="326">
        <v>0.02</v>
      </c>
      <c r="I40" s="326">
        <v>0.1</v>
      </c>
      <c r="J40" s="326">
        <v>0.1</v>
      </c>
      <c r="K40" s="326">
        <v>0.1</v>
      </c>
      <c r="L40" s="326">
        <v>0.1</v>
      </c>
      <c r="M40" s="326">
        <v>0.2</v>
      </c>
      <c r="N40" s="326">
        <v>0.2</v>
      </c>
      <c r="O40" s="326">
        <v>0.02</v>
      </c>
      <c r="P40" s="324">
        <f t="shared" si="2"/>
        <v>1</v>
      </c>
      <c r="Q40" s="794" t="s">
        <v>117</v>
      </c>
      <c r="R40" s="795"/>
      <c r="S40" s="795"/>
      <c r="T40" s="795"/>
      <c r="U40" s="795"/>
      <c r="V40" s="795"/>
      <c r="W40" s="795"/>
      <c r="X40" s="795"/>
      <c r="Y40" s="795"/>
      <c r="Z40" s="795"/>
      <c r="AA40" s="795"/>
      <c r="AB40" s="795"/>
      <c r="AC40" s="795"/>
      <c r="AD40" s="796"/>
      <c r="AE40" s="97"/>
    </row>
    <row r="41" spans="1:41" ht="84.75" customHeight="1" x14ac:dyDescent="0.3">
      <c r="A41" s="382"/>
      <c r="B41" s="761"/>
      <c r="C41" s="336" t="s">
        <v>63</v>
      </c>
      <c r="D41" s="323">
        <v>0</v>
      </c>
      <c r="E41" s="323">
        <v>0</v>
      </c>
      <c r="F41" s="323">
        <v>0.06</v>
      </c>
      <c r="G41" s="323">
        <v>0.1</v>
      </c>
      <c r="H41" s="323">
        <v>0.02</v>
      </c>
      <c r="I41" s="323">
        <v>0.1</v>
      </c>
      <c r="J41" s="323">
        <v>0.1</v>
      </c>
      <c r="K41" s="323">
        <v>0.1</v>
      </c>
      <c r="L41" s="323">
        <v>0.1</v>
      </c>
      <c r="M41" s="323"/>
      <c r="N41" s="323"/>
      <c r="O41" s="323"/>
      <c r="P41" s="337">
        <f>SUM(D41:O41)</f>
        <v>0.57999999999999996</v>
      </c>
      <c r="Q41" s="794"/>
      <c r="R41" s="795"/>
      <c r="S41" s="795"/>
      <c r="T41" s="795"/>
      <c r="U41" s="795"/>
      <c r="V41" s="795"/>
      <c r="W41" s="795"/>
      <c r="X41" s="795"/>
      <c r="Y41" s="795"/>
      <c r="Z41" s="795"/>
      <c r="AA41" s="795"/>
      <c r="AB41" s="795"/>
      <c r="AC41" s="795"/>
      <c r="AD41" s="796"/>
      <c r="AE41" s="97"/>
    </row>
    <row r="42" spans="1:41" ht="36" customHeight="1" x14ac:dyDescent="0.3">
      <c r="A42" s="382" t="s">
        <v>118</v>
      </c>
      <c r="B42" s="761">
        <v>0.02</v>
      </c>
      <c r="C42" s="338" t="s">
        <v>62</v>
      </c>
      <c r="D42" s="326">
        <v>0</v>
      </c>
      <c r="E42" s="326">
        <v>0.04</v>
      </c>
      <c r="F42" s="326">
        <v>0.06</v>
      </c>
      <c r="G42" s="326">
        <v>0.1</v>
      </c>
      <c r="H42" s="326">
        <v>0.1</v>
      </c>
      <c r="I42" s="326">
        <v>0.1</v>
      </c>
      <c r="J42" s="326">
        <v>0.1</v>
      </c>
      <c r="K42" s="326">
        <v>0.1</v>
      </c>
      <c r="L42" s="326">
        <v>0.1</v>
      </c>
      <c r="M42" s="326">
        <v>0.1</v>
      </c>
      <c r="N42" s="326">
        <v>0.1</v>
      </c>
      <c r="O42" s="326">
        <v>0.1</v>
      </c>
      <c r="P42" s="324">
        <f t="shared" si="2"/>
        <v>0.99999999999999989</v>
      </c>
      <c r="Q42" s="787" t="s">
        <v>119</v>
      </c>
      <c r="R42" s="788"/>
      <c r="S42" s="788"/>
      <c r="T42" s="788"/>
      <c r="U42" s="788"/>
      <c r="V42" s="788"/>
      <c r="W42" s="788"/>
      <c r="X42" s="788"/>
      <c r="Y42" s="788"/>
      <c r="Z42" s="788"/>
      <c r="AA42" s="788"/>
      <c r="AB42" s="788"/>
      <c r="AC42" s="788"/>
      <c r="AD42" s="789"/>
      <c r="AE42" s="97"/>
    </row>
    <row r="43" spans="1:41" ht="69.75" customHeight="1" x14ac:dyDescent="0.3">
      <c r="A43" s="382"/>
      <c r="B43" s="761"/>
      <c r="C43" s="336" t="s">
        <v>63</v>
      </c>
      <c r="D43" s="323">
        <v>0</v>
      </c>
      <c r="E43" s="323">
        <v>0.04</v>
      </c>
      <c r="F43" s="323">
        <v>0.06</v>
      </c>
      <c r="G43" s="323">
        <v>0.1</v>
      </c>
      <c r="H43" s="323">
        <v>0.1</v>
      </c>
      <c r="I43" s="323">
        <v>0.1</v>
      </c>
      <c r="J43" s="323">
        <v>0.1</v>
      </c>
      <c r="K43" s="323">
        <v>0.1</v>
      </c>
      <c r="L43" s="323">
        <v>0.1</v>
      </c>
      <c r="M43" s="323"/>
      <c r="N43" s="323"/>
      <c r="O43" s="323"/>
      <c r="P43" s="337">
        <f t="shared" si="2"/>
        <v>0.7</v>
      </c>
      <c r="Q43" s="787"/>
      <c r="R43" s="788"/>
      <c r="S43" s="788"/>
      <c r="T43" s="788"/>
      <c r="U43" s="788"/>
      <c r="V43" s="788"/>
      <c r="W43" s="788"/>
      <c r="X43" s="788"/>
      <c r="Y43" s="788"/>
      <c r="Z43" s="788"/>
      <c r="AA43" s="788"/>
      <c r="AB43" s="788"/>
      <c r="AC43" s="788"/>
      <c r="AD43" s="789"/>
      <c r="AE43" s="97"/>
    </row>
    <row r="44" spans="1:41" ht="195.9" customHeight="1" x14ac:dyDescent="0.3">
      <c r="A44" s="792" t="s">
        <v>120</v>
      </c>
      <c r="B44" s="791">
        <v>0.02</v>
      </c>
      <c r="C44" s="339" t="s">
        <v>62</v>
      </c>
      <c r="D44" s="340">
        <v>0</v>
      </c>
      <c r="E44" s="340">
        <v>0.05</v>
      </c>
      <c r="F44" s="326">
        <v>0.05</v>
      </c>
      <c r="G44" s="326">
        <v>0.1</v>
      </c>
      <c r="H44" s="326">
        <v>0.1</v>
      </c>
      <c r="I44" s="326">
        <v>0.1</v>
      </c>
      <c r="J44" s="326">
        <v>0.1</v>
      </c>
      <c r="K44" s="326">
        <v>0.15</v>
      </c>
      <c r="L44" s="326">
        <v>0.1</v>
      </c>
      <c r="M44" s="326">
        <v>0.1</v>
      </c>
      <c r="N44" s="326">
        <v>0.1</v>
      </c>
      <c r="O44" s="326">
        <v>0.05</v>
      </c>
      <c r="P44" s="324">
        <f t="shared" si="2"/>
        <v>1</v>
      </c>
      <c r="Q44" s="794" t="s">
        <v>121</v>
      </c>
      <c r="R44" s="795"/>
      <c r="S44" s="795"/>
      <c r="T44" s="795"/>
      <c r="U44" s="795"/>
      <c r="V44" s="795"/>
      <c r="W44" s="795"/>
      <c r="X44" s="795"/>
      <c r="Y44" s="795"/>
      <c r="Z44" s="795"/>
      <c r="AA44" s="795"/>
      <c r="AB44" s="795"/>
      <c r="AC44" s="795"/>
      <c r="AD44" s="796"/>
      <c r="AE44" s="97"/>
    </row>
    <row r="45" spans="1:41" ht="195.9" customHeight="1" x14ac:dyDescent="0.3">
      <c r="A45" s="793"/>
      <c r="B45" s="791"/>
      <c r="C45" s="336" t="s">
        <v>63</v>
      </c>
      <c r="D45" s="323">
        <v>0</v>
      </c>
      <c r="E45" s="323">
        <v>0.05</v>
      </c>
      <c r="F45" s="323">
        <v>0.05</v>
      </c>
      <c r="G45" s="323">
        <v>0.15</v>
      </c>
      <c r="H45" s="323">
        <v>0.1</v>
      </c>
      <c r="I45" s="323">
        <v>0.1</v>
      </c>
      <c r="J45" s="323">
        <v>0.05</v>
      </c>
      <c r="K45" s="323">
        <v>0.15</v>
      </c>
      <c r="L45" s="323">
        <v>0.1</v>
      </c>
      <c r="M45" s="323"/>
      <c r="N45" s="323"/>
      <c r="O45" s="323"/>
      <c r="P45" s="337">
        <f t="shared" si="2"/>
        <v>0.74999999999999989</v>
      </c>
      <c r="Q45" s="794"/>
      <c r="R45" s="795"/>
      <c r="S45" s="795"/>
      <c r="T45" s="795"/>
      <c r="U45" s="795"/>
      <c r="V45" s="795"/>
      <c r="W45" s="795"/>
      <c r="X45" s="795"/>
      <c r="Y45" s="795"/>
      <c r="Z45" s="795"/>
      <c r="AA45" s="795"/>
      <c r="AB45" s="795"/>
      <c r="AC45" s="795"/>
      <c r="AD45" s="796"/>
      <c r="AE45" s="97"/>
    </row>
    <row r="46" spans="1:41" ht="384" customHeight="1" x14ac:dyDescent="0.3">
      <c r="A46" s="792" t="s">
        <v>122</v>
      </c>
      <c r="B46" s="791">
        <v>0.02</v>
      </c>
      <c r="C46" s="339" t="s">
        <v>62</v>
      </c>
      <c r="D46" s="340">
        <v>0</v>
      </c>
      <c r="E46" s="340">
        <v>0.05</v>
      </c>
      <c r="F46" s="326">
        <v>0.1</v>
      </c>
      <c r="G46" s="326">
        <v>0.1</v>
      </c>
      <c r="H46" s="326">
        <v>0.1</v>
      </c>
      <c r="I46" s="326">
        <v>0.1</v>
      </c>
      <c r="J46" s="326">
        <v>0.1</v>
      </c>
      <c r="K46" s="326">
        <v>0.1</v>
      </c>
      <c r="L46" s="326">
        <v>0.1</v>
      </c>
      <c r="M46" s="326">
        <v>0.1</v>
      </c>
      <c r="N46" s="326">
        <v>0.1</v>
      </c>
      <c r="O46" s="326">
        <v>0.05</v>
      </c>
      <c r="P46" s="324">
        <f t="shared" ref="P46:P57" si="3">SUM(D46:O46)</f>
        <v>0.99999999999999989</v>
      </c>
      <c r="Q46" s="787" t="s">
        <v>123</v>
      </c>
      <c r="R46" s="788"/>
      <c r="S46" s="788"/>
      <c r="T46" s="788"/>
      <c r="U46" s="788"/>
      <c r="V46" s="788"/>
      <c r="W46" s="788"/>
      <c r="X46" s="788"/>
      <c r="Y46" s="788"/>
      <c r="Z46" s="788"/>
      <c r="AA46" s="788"/>
      <c r="AB46" s="788"/>
      <c r="AC46" s="788"/>
      <c r="AD46" s="789"/>
      <c r="AE46" s="97"/>
    </row>
    <row r="47" spans="1:41" ht="384" customHeight="1" x14ac:dyDescent="0.3">
      <c r="A47" s="792"/>
      <c r="B47" s="791"/>
      <c r="C47" s="336" t="s">
        <v>63</v>
      </c>
      <c r="D47" s="323">
        <v>0</v>
      </c>
      <c r="E47" s="323">
        <v>0.05</v>
      </c>
      <c r="F47" s="323">
        <v>0.1</v>
      </c>
      <c r="G47" s="323">
        <v>0.1</v>
      </c>
      <c r="H47" s="323">
        <v>0.15</v>
      </c>
      <c r="I47" s="323">
        <v>0.1</v>
      </c>
      <c r="J47" s="323">
        <v>0.05</v>
      </c>
      <c r="K47" s="323">
        <v>0.1</v>
      </c>
      <c r="L47" s="323">
        <v>0.1</v>
      </c>
      <c r="M47" s="323"/>
      <c r="N47" s="323"/>
      <c r="O47" s="323"/>
      <c r="P47" s="337">
        <f t="shared" si="3"/>
        <v>0.75</v>
      </c>
      <c r="Q47" s="787"/>
      <c r="R47" s="788"/>
      <c r="S47" s="788"/>
      <c r="T47" s="788"/>
      <c r="U47" s="788"/>
      <c r="V47" s="788"/>
      <c r="W47" s="788"/>
      <c r="X47" s="788"/>
      <c r="Y47" s="788"/>
      <c r="Z47" s="788"/>
      <c r="AA47" s="788"/>
      <c r="AB47" s="788"/>
      <c r="AC47" s="788"/>
      <c r="AD47" s="789"/>
      <c r="AE47" s="97"/>
    </row>
    <row r="48" spans="1:41" ht="158.1" customHeight="1" x14ac:dyDescent="0.3">
      <c r="A48" s="792" t="s">
        <v>124</v>
      </c>
      <c r="B48" s="791">
        <v>0.02</v>
      </c>
      <c r="C48" s="339" t="s">
        <v>62</v>
      </c>
      <c r="D48" s="340">
        <v>0</v>
      </c>
      <c r="E48" s="340">
        <v>0.3</v>
      </c>
      <c r="F48" s="326">
        <v>0.05</v>
      </c>
      <c r="G48" s="326">
        <v>0.15</v>
      </c>
      <c r="H48" s="326">
        <v>0.15</v>
      </c>
      <c r="I48" s="326">
        <v>0.1</v>
      </c>
      <c r="J48" s="326">
        <v>0.05</v>
      </c>
      <c r="K48" s="326">
        <v>0.05</v>
      </c>
      <c r="L48" s="326">
        <v>0.05</v>
      </c>
      <c r="M48" s="326">
        <v>0.05</v>
      </c>
      <c r="N48" s="326">
        <v>0.03</v>
      </c>
      <c r="O48" s="326">
        <v>0.02</v>
      </c>
      <c r="P48" s="324">
        <f t="shared" si="3"/>
        <v>1.0000000000000002</v>
      </c>
      <c r="Q48" s="797" t="s">
        <v>125</v>
      </c>
      <c r="R48" s="798"/>
      <c r="S48" s="798"/>
      <c r="T48" s="798"/>
      <c r="U48" s="798"/>
      <c r="V48" s="798"/>
      <c r="W48" s="798"/>
      <c r="X48" s="798"/>
      <c r="Y48" s="798"/>
      <c r="Z48" s="798"/>
      <c r="AA48" s="798"/>
      <c r="AB48" s="798"/>
      <c r="AC48" s="798"/>
      <c r="AD48" s="799"/>
      <c r="AE48" s="97"/>
    </row>
    <row r="49" spans="1:31" ht="125.4" customHeight="1" x14ac:dyDescent="0.3">
      <c r="A49" s="792"/>
      <c r="B49" s="791"/>
      <c r="C49" s="336" t="s">
        <v>63</v>
      </c>
      <c r="D49" s="323">
        <v>0</v>
      </c>
      <c r="E49" s="323">
        <v>0.1</v>
      </c>
      <c r="F49" s="323">
        <v>0.2</v>
      </c>
      <c r="G49" s="323">
        <v>0.2</v>
      </c>
      <c r="H49" s="323">
        <v>0.15</v>
      </c>
      <c r="I49" s="323">
        <v>0.05</v>
      </c>
      <c r="J49" s="323">
        <v>0.1</v>
      </c>
      <c r="K49" s="323">
        <v>0.05</v>
      </c>
      <c r="L49" s="323">
        <v>0.05</v>
      </c>
      <c r="M49" s="323"/>
      <c r="N49" s="323"/>
      <c r="O49" s="323"/>
      <c r="P49" s="337">
        <f t="shared" si="3"/>
        <v>0.90000000000000013</v>
      </c>
      <c r="Q49" s="797"/>
      <c r="R49" s="798"/>
      <c r="S49" s="798"/>
      <c r="T49" s="798"/>
      <c r="U49" s="798"/>
      <c r="V49" s="798"/>
      <c r="W49" s="798"/>
      <c r="X49" s="798"/>
      <c r="Y49" s="798"/>
      <c r="Z49" s="798"/>
      <c r="AA49" s="798"/>
      <c r="AB49" s="798"/>
      <c r="AC49" s="798"/>
      <c r="AD49" s="799"/>
      <c r="AE49" s="97"/>
    </row>
    <row r="50" spans="1:31" ht="63.9" customHeight="1" x14ac:dyDescent="0.3">
      <c r="A50" s="382" t="s">
        <v>126</v>
      </c>
      <c r="B50" s="761">
        <v>0.02</v>
      </c>
      <c r="C50" s="338" t="s">
        <v>62</v>
      </c>
      <c r="D50" s="326">
        <v>0</v>
      </c>
      <c r="E50" s="326">
        <v>0.05</v>
      </c>
      <c r="F50" s="326">
        <v>0.05</v>
      </c>
      <c r="G50" s="326">
        <v>0.15</v>
      </c>
      <c r="H50" s="326">
        <v>0.15</v>
      </c>
      <c r="I50" s="326">
        <v>0.1</v>
      </c>
      <c r="J50" s="326">
        <v>0.15</v>
      </c>
      <c r="K50" s="326">
        <v>0.1</v>
      </c>
      <c r="L50" s="326">
        <v>0.1</v>
      </c>
      <c r="M50" s="326">
        <v>0.1</v>
      </c>
      <c r="N50" s="326">
        <v>0.05</v>
      </c>
      <c r="O50" s="326">
        <v>0</v>
      </c>
      <c r="P50" s="324">
        <f t="shared" si="3"/>
        <v>1</v>
      </c>
      <c r="Q50" s="763" t="s">
        <v>127</v>
      </c>
      <c r="R50" s="764"/>
      <c r="S50" s="764"/>
      <c r="T50" s="764"/>
      <c r="U50" s="764"/>
      <c r="V50" s="764"/>
      <c r="W50" s="764"/>
      <c r="X50" s="764"/>
      <c r="Y50" s="764"/>
      <c r="Z50" s="764"/>
      <c r="AA50" s="764"/>
      <c r="AB50" s="764"/>
      <c r="AC50" s="764"/>
      <c r="AD50" s="765"/>
      <c r="AE50" s="97"/>
    </row>
    <row r="51" spans="1:31" ht="63.9" customHeight="1" x14ac:dyDescent="0.3">
      <c r="A51" s="382"/>
      <c r="B51" s="761"/>
      <c r="C51" s="336" t="s">
        <v>63</v>
      </c>
      <c r="D51" s="323">
        <v>0</v>
      </c>
      <c r="E51" s="323">
        <v>0</v>
      </c>
      <c r="F51" s="323">
        <v>0.05</v>
      </c>
      <c r="G51" s="323">
        <v>0.2</v>
      </c>
      <c r="H51" s="323">
        <v>0.15</v>
      </c>
      <c r="I51" s="323">
        <v>0.1</v>
      </c>
      <c r="J51" s="323">
        <v>0.15</v>
      </c>
      <c r="K51" s="323">
        <v>0.1</v>
      </c>
      <c r="L51" s="323">
        <v>0.1</v>
      </c>
      <c r="M51" s="323"/>
      <c r="N51" s="323"/>
      <c r="O51" s="323"/>
      <c r="P51" s="337">
        <f t="shared" si="3"/>
        <v>0.85</v>
      </c>
      <c r="Q51" s="766"/>
      <c r="R51" s="767"/>
      <c r="S51" s="767"/>
      <c r="T51" s="767"/>
      <c r="U51" s="767"/>
      <c r="V51" s="767"/>
      <c r="W51" s="767"/>
      <c r="X51" s="767"/>
      <c r="Y51" s="767"/>
      <c r="Z51" s="767"/>
      <c r="AA51" s="767"/>
      <c r="AB51" s="767"/>
      <c r="AC51" s="767"/>
      <c r="AD51" s="768"/>
      <c r="AE51" s="97"/>
    </row>
    <row r="52" spans="1:31" ht="66.599999999999994" customHeight="1" x14ac:dyDescent="0.3">
      <c r="A52" s="382" t="s">
        <v>128</v>
      </c>
      <c r="B52" s="761">
        <v>0.02</v>
      </c>
      <c r="C52" s="338" t="s">
        <v>62</v>
      </c>
      <c r="D52" s="326">
        <v>0</v>
      </c>
      <c r="E52" s="326">
        <v>0.05</v>
      </c>
      <c r="F52" s="326">
        <v>0.1</v>
      </c>
      <c r="G52" s="326">
        <v>0.1</v>
      </c>
      <c r="H52" s="326">
        <v>0.1</v>
      </c>
      <c r="I52" s="326">
        <v>0.1</v>
      </c>
      <c r="J52" s="326">
        <v>0.1</v>
      </c>
      <c r="K52" s="326">
        <v>0.1</v>
      </c>
      <c r="L52" s="326">
        <v>0.1</v>
      </c>
      <c r="M52" s="326">
        <v>0.1</v>
      </c>
      <c r="N52" s="326">
        <v>0.1</v>
      </c>
      <c r="O52" s="326">
        <v>0.05</v>
      </c>
      <c r="P52" s="324">
        <f t="shared" si="3"/>
        <v>0.99999999999999989</v>
      </c>
      <c r="Q52" s="763" t="s">
        <v>129</v>
      </c>
      <c r="R52" s="764"/>
      <c r="S52" s="764"/>
      <c r="T52" s="764"/>
      <c r="U52" s="764"/>
      <c r="V52" s="764"/>
      <c r="W52" s="764"/>
      <c r="X52" s="764"/>
      <c r="Y52" s="764"/>
      <c r="Z52" s="764"/>
      <c r="AA52" s="764"/>
      <c r="AB52" s="764"/>
      <c r="AC52" s="764"/>
      <c r="AD52" s="765"/>
      <c r="AE52" s="97"/>
    </row>
    <row r="53" spans="1:31" ht="66.599999999999994" customHeight="1" x14ac:dyDescent="0.3">
      <c r="A53" s="382"/>
      <c r="B53" s="761"/>
      <c r="C53" s="336" t="s">
        <v>63</v>
      </c>
      <c r="D53" s="323">
        <v>0</v>
      </c>
      <c r="E53" s="323">
        <v>0</v>
      </c>
      <c r="F53" s="323">
        <v>0.15</v>
      </c>
      <c r="G53" s="323">
        <v>0.1</v>
      </c>
      <c r="H53" s="323">
        <v>0.15</v>
      </c>
      <c r="I53" s="323">
        <v>0.1</v>
      </c>
      <c r="J53" s="323">
        <v>0.05</v>
      </c>
      <c r="K53" s="323">
        <v>0.1</v>
      </c>
      <c r="L53" s="323">
        <v>0.1</v>
      </c>
      <c r="M53" s="323"/>
      <c r="N53" s="323"/>
      <c r="O53" s="323"/>
      <c r="P53" s="337">
        <f t="shared" si="3"/>
        <v>0.75</v>
      </c>
      <c r="Q53" s="766"/>
      <c r="R53" s="767"/>
      <c r="S53" s="767"/>
      <c r="T53" s="767"/>
      <c r="U53" s="767"/>
      <c r="V53" s="767"/>
      <c r="W53" s="767"/>
      <c r="X53" s="767"/>
      <c r="Y53" s="767"/>
      <c r="Z53" s="767"/>
      <c r="AA53" s="767"/>
      <c r="AB53" s="767"/>
      <c r="AC53" s="767"/>
      <c r="AD53" s="768"/>
      <c r="AE53" s="97"/>
    </row>
    <row r="54" spans="1:31" ht="62.4" customHeight="1" x14ac:dyDescent="0.3">
      <c r="A54" s="382" t="s">
        <v>130</v>
      </c>
      <c r="B54" s="761">
        <v>0.02</v>
      </c>
      <c r="C54" s="338" t="s">
        <v>62</v>
      </c>
      <c r="D54" s="326">
        <v>0</v>
      </c>
      <c r="E54" s="326">
        <v>0</v>
      </c>
      <c r="F54" s="326">
        <v>0</v>
      </c>
      <c r="G54" s="326">
        <v>0.1</v>
      </c>
      <c r="H54" s="326">
        <v>0.1</v>
      </c>
      <c r="I54" s="326">
        <v>0.2</v>
      </c>
      <c r="J54" s="326">
        <v>0.2</v>
      </c>
      <c r="K54" s="326">
        <v>0.1</v>
      </c>
      <c r="L54" s="326">
        <v>0.1</v>
      </c>
      <c r="M54" s="326">
        <v>0.2</v>
      </c>
      <c r="N54" s="326">
        <v>0</v>
      </c>
      <c r="O54" s="326">
        <v>0</v>
      </c>
      <c r="P54" s="324">
        <f t="shared" si="3"/>
        <v>1</v>
      </c>
      <c r="Q54" s="763" t="s">
        <v>131</v>
      </c>
      <c r="R54" s="764"/>
      <c r="S54" s="764"/>
      <c r="T54" s="764"/>
      <c r="U54" s="764"/>
      <c r="V54" s="764"/>
      <c r="W54" s="764"/>
      <c r="X54" s="764"/>
      <c r="Y54" s="764"/>
      <c r="Z54" s="764"/>
      <c r="AA54" s="764"/>
      <c r="AB54" s="764"/>
      <c r="AC54" s="764"/>
      <c r="AD54" s="765"/>
      <c r="AE54" s="97"/>
    </row>
    <row r="55" spans="1:31" ht="62.4" customHeight="1" x14ac:dyDescent="0.3">
      <c r="A55" s="382"/>
      <c r="B55" s="761"/>
      <c r="C55" s="336" t="s">
        <v>63</v>
      </c>
      <c r="D55" s="323">
        <v>0</v>
      </c>
      <c r="E55" s="323">
        <v>0</v>
      </c>
      <c r="F55" s="323">
        <v>0</v>
      </c>
      <c r="G55" s="323">
        <v>0.05</v>
      </c>
      <c r="H55" s="323">
        <v>0.15</v>
      </c>
      <c r="I55" s="323">
        <v>0.2</v>
      </c>
      <c r="J55" s="323">
        <v>0.2</v>
      </c>
      <c r="K55" s="323">
        <v>0.1</v>
      </c>
      <c r="L55" s="323">
        <v>0.1</v>
      </c>
      <c r="M55" s="323"/>
      <c r="N55" s="323"/>
      <c r="O55" s="323"/>
      <c r="P55" s="337">
        <f t="shared" si="3"/>
        <v>0.8</v>
      </c>
      <c r="Q55" s="766"/>
      <c r="R55" s="767"/>
      <c r="S55" s="767"/>
      <c r="T55" s="767"/>
      <c r="U55" s="767"/>
      <c r="V55" s="767"/>
      <c r="W55" s="767"/>
      <c r="X55" s="767"/>
      <c r="Y55" s="767"/>
      <c r="Z55" s="767"/>
      <c r="AA55" s="767"/>
      <c r="AB55" s="767"/>
      <c r="AC55" s="767"/>
      <c r="AD55" s="768"/>
      <c r="AE55" s="97"/>
    </row>
    <row r="56" spans="1:31" ht="71.400000000000006" customHeight="1" x14ac:dyDescent="0.3">
      <c r="A56" s="382" t="s">
        <v>132</v>
      </c>
      <c r="B56" s="761">
        <v>0.02</v>
      </c>
      <c r="C56" s="338" t="s">
        <v>62</v>
      </c>
      <c r="D56" s="326">
        <v>0</v>
      </c>
      <c r="E56" s="326">
        <v>0.3</v>
      </c>
      <c r="F56" s="326">
        <v>0.05</v>
      </c>
      <c r="G56" s="326">
        <v>0.15</v>
      </c>
      <c r="H56" s="326">
        <v>0.15</v>
      </c>
      <c r="I56" s="326">
        <v>0.1</v>
      </c>
      <c r="J56" s="326">
        <v>0.05</v>
      </c>
      <c r="K56" s="326">
        <v>0.05</v>
      </c>
      <c r="L56" s="326">
        <v>0.05</v>
      </c>
      <c r="M56" s="326">
        <v>0.05</v>
      </c>
      <c r="N56" s="326">
        <v>0.03</v>
      </c>
      <c r="O56" s="326">
        <v>0.02</v>
      </c>
      <c r="P56" s="324">
        <f t="shared" si="3"/>
        <v>1.0000000000000002</v>
      </c>
      <c r="Q56" s="755" t="s">
        <v>133</v>
      </c>
      <c r="R56" s="756"/>
      <c r="S56" s="756"/>
      <c r="T56" s="756"/>
      <c r="U56" s="756"/>
      <c r="V56" s="756"/>
      <c r="W56" s="756"/>
      <c r="X56" s="756"/>
      <c r="Y56" s="756"/>
      <c r="Z56" s="756"/>
      <c r="AA56" s="756"/>
      <c r="AB56" s="756"/>
      <c r="AC56" s="756"/>
      <c r="AD56" s="757"/>
      <c r="AE56" s="97"/>
    </row>
    <row r="57" spans="1:31" ht="71.400000000000006" customHeight="1" thickBot="1" x14ac:dyDescent="0.35">
      <c r="A57" s="754"/>
      <c r="B57" s="762"/>
      <c r="C57" s="341" t="s">
        <v>63</v>
      </c>
      <c r="D57" s="328">
        <v>0</v>
      </c>
      <c r="E57" s="328">
        <v>0</v>
      </c>
      <c r="F57" s="328">
        <v>0</v>
      </c>
      <c r="G57" s="328">
        <v>0.15</v>
      </c>
      <c r="H57" s="328">
        <v>0.4</v>
      </c>
      <c r="I57" s="328">
        <v>0.15</v>
      </c>
      <c r="J57" s="328">
        <v>7.0000000000000007E-2</v>
      </c>
      <c r="K57" s="328">
        <v>0.08</v>
      </c>
      <c r="L57" s="328">
        <v>0.05</v>
      </c>
      <c r="M57" s="328"/>
      <c r="N57" s="328"/>
      <c r="O57" s="328"/>
      <c r="P57" s="342">
        <f t="shared" si="3"/>
        <v>0.9</v>
      </c>
      <c r="Q57" s="758"/>
      <c r="R57" s="759"/>
      <c r="S57" s="759"/>
      <c r="T57" s="759"/>
      <c r="U57" s="759"/>
      <c r="V57" s="759"/>
      <c r="W57" s="759"/>
      <c r="X57" s="759"/>
      <c r="Y57" s="759"/>
      <c r="Z57" s="759"/>
      <c r="AA57" s="759"/>
      <c r="AB57" s="759"/>
      <c r="AC57" s="759"/>
      <c r="AD57" s="760"/>
      <c r="AE57" s="97"/>
    </row>
    <row r="58" spans="1:31" x14ac:dyDescent="0.3">
      <c r="A58" s="194"/>
      <c r="Q58" s="223"/>
      <c r="R58" s="223"/>
      <c r="S58" s="223"/>
      <c r="T58" s="223"/>
      <c r="U58" s="223"/>
      <c r="V58" s="223"/>
      <c r="W58" s="223"/>
      <c r="X58" s="223"/>
      <c r="Y58" s="223"/>
      <c r="Z58" s="223"/>
      <c r="AA58" s="223"/>
      <c r="AB58" s="223"/>
      <c r="AC58" s="223"/>
      <c r="AD58" s="223"/>
    </row>
    <row r="59" spans="1:31" x14ac:dyDescent="0.3">
      <c r="A59" s="194"/>
      <c r="Q59" s="194"/>
      <c r="R59" s="194"/>
      <c r="S59" s="194"/>
      <c r="T59" s="194"/>
      <c r="U59" s="194"/>
      <c r="V59" s="194"/>
      <c r="W59" s="194"/>
      <c r="X59" s="194"/>
      <c r="Y59" s="194"/>
      <c r="Z59" s="194"/>
      <c r="AA59" s="194"/>
      <c r="AB59" s="194"/>
      <c r="AC59" s="194"/>
      <c r="AD59" s="194"/>
    </row>
    <row r="60" spans="1:31" x14ac:dyDescent="0.3">
      <c r="A60" s="194"/>
      <c r="Q60" s="194"/>
      <c r="R60" s="194"/>
      <c r="S60" s="194"/>
      <c r="T60" s="194"/>
      <c r="U60" s="194"/>
      <c r="V60" s="194"/>
      <c r="W60" s="194"/>
      <c r="X60" s="194"/>
      <c r="Y60" s="194"/>
      <c r="Z60" s="194"/>
      <c r="AA60" s="194"/>
      <c r="AB60" s="194"/>
      <c r="AC60" s="194"/>
      <c r="AD60" s="194"/>
    </row>
    <row r="61" spans="1:31" x14ac:dyDescent="0.3">
      <c r="A61" s="194"/>
      <c r="Q61" s="194"/>
      <c r="R61" s="194"/>
      <c r="S61" s="194"/>
      <c r="T61" s="194"/>
      <c r="U61" s="194"/>
      <c r="V61" s="194"/>
      <c r="W61" s="194"/>
      <c r="X61" s="194"/>
      <c r="Y61" s="194"/>
      <c r="Z61" s="194"/>
      <c r="AA61" s="194"/>
      <c r="AB61" s="194"/>
      <c r="AC61" s="194"/>
      <c r="AD61" s="194"/>
    </row>
    <row r="62" spans="1:31" hidden="1" x14ac:dyDescent="0.3">
      <c r="A62" s="563" t="s">
        <v>90</v>
      </c>
      <c r="B62" s="565" t="s">
        <v>65</v>
      </c>
      <c r="C62" s="567" t="s">
        <v>66</v>
      </c>
      <c r="D62" s="802"/>
      <c r="E62" s="802"/>
      <c r="F62" s="802"/>
      <c r="G62" s="802"/>
      <c r="H62" s="802"/>
      <c r="I62" s="802"/>
      <c r="J62" s="802"/>
      <c r="K62" s="802"/>
      <c r="L62" s="802"/>
      <c r="M62" s="802"/>
      <c r="N62" s="802"/>
      <c r="O62" s="802"/>
      <c r="P62" s="803"/>
      <c r="Q62" s="195"/>
      <c r="R62" s="195"/>
      <c r="S62" s="194"/>
      <c r="T62" s="194"/>
      <c r="U62" s="194"/>
      <c r="V62" s="194"/>
      <c r="W62" s="194"/>
      <c r="X62" s="194"/>
      <c r="Y62" s="194"/>
      <c r="Z62" s="194"/>
      <c r="AA62" s="194"/>
      <c r="AB62" s="194"/>
      <c r="AC62" s="194"/>
      <c r="AD62" s="194"/>
    </row>
    <row r="63" spans="1:31" hidden="1" x14ac:dyDescent="0.3">
      <c r="A63" s="800"/>
      <c r="B63" s="801"/>
      <c r="C63" s="177" t="s">
        <v>68</v>
      </c>
      <c r="D63" s="177" t="s">
        <v>69</v>
      </c>
      <c r="E63" s="177" t="s">
        <v>70</v>
      </c>
      <c r="F63" s="177" t="s">
        <v>71</v>
      </c>
      <c r="G63" s="177" t="s">
        <v>72</v>
      </c>
      <c r="H63" s="177" t="s">
        <v>73</v>
      </c>
      <c r="I63" s="177" t="s">
        <v>74</v>
      </c>
      <c r="J63" s="177" t="s">
        <v>75</v>
      </c>
      <c r="K63" s="177" t="s">
        <v>76</v>
      </c>
      <c r="L63" s="177" t="s">
        <v>77</v>
      </c>
      <c r="M63" s="177" t="s">
        <v>78</v>
      </c>
      <c r="N63" s="177" t="s">
        <v>79</v>
      </c>
      <c r="O63" s="177" t="s">
        <v>80</v>
      </c>
      <c r="P63" s="177" t="s">
        <v>81</v>
      </c>
      <c r="Q63" s="195"/>
      <c r="R63" s="195"/>
      <c r="S63" s="194"/>
      <c r="T63" s="194"/>
      <c r="U63" s="194"/>
      <c r="V63" s="194"/>
      <c r="W63" s="194"/>
      <c r="X63" s="194"/>
      <c r="Y63" s="194"/>
      <c r="Z63" s="194"/>
      <c r="AA63" s="194"/>
      <c r="AB63" s="194"/>
      <c r="AC63" s="194"/>
      <c r="AD63" s="194"/>
    </row>
    <row r="64" spans="1:31" hidden="1" x14ac:dyDescent="0.3">
      <c r="A64" s="551" t="str">
        <f>A38</f>
        <v xml:space="preserve">7. Realizar ajustes a las metodologías de semilleros y jornadas significativas de acuerdo con las necesidades de cada grupo poblacional teniendo en cuenta sus diferencias y diversidad </v>
      </c>
      <c r="B64" s="570">
        <f>B38</f>
        <v>0.02</v>
      </c>
      <c r="C64" s="176" t="s">
        <v>62</v>
      </c>
      <c r="D64" s="175">
        <f>D38*$B$38/$P$38</f>
        <v>0</v>
      </c>
      <c r="E64" s="175">
        <f t="shared" ref="E64:O65" si="4">E38*$B$38/$P$38</f>
        <v>5.9999999999999984E-3</v>
      </c>
      <c r="F64" s="175">
        <f t="shared" si="4"/>
        <v>5.9999999999999984E-3</v>
      </c>
      <c r="G64" s="175">
        <f t="shared" si="4"/>
        <v>3.9999999999999992E-3</v>
      </c>
      <c r="H64" s="175">
        <f t="shared" si="4"/>
        <v>1.1999999999999997E-3</v>
      </c>
      <c r="I64" s="175">
        <f t="shared" si="4"/>
        <v>3.9999999999999991E-4</v>
      </c>
      <c r="J64" s="175">
        <f t="shared" si="4"/>
        <v>3.9999999999999991E-4</v>
      </c>
      <c r="K64" s="175">
        <f t="shared" si="4"/>
        <v>3.9999999999999991E-4</v>
      </c>
      <c r="L64" s="175">
        <f t="shared" si="4"/>
        <v>3.9999999999999991E-4</v>
      </c>
      <c r="M64" s="175">
        <f t="shared" si="4"/>
        <v>3.9999999999999991E-4</v>
      </c>
      <c r="N64" s="175">
        <f t="shared" si="4"/>
        <v>3.9999999999999991E-4</v>
      </c>
      <c r="O64" s="175">
        <f t="shared" si="4"/>
        <v>3.9999999999999991E-4</v>
      </c>
      <c r="P64" s="174">
        <f t="shared" ref="P64:P83" si="5">SUM(D64:O64)</f>
        <v>2.0000000000000004E-2</v>
      </c>
      <c r="Q64" s="197">
        <v>0.05</v>
      </c>
      <c r="R64" s="198">
        <f t="shared" ref="R64:R84" si="6">+P64-Q64</f>
        <v>-0.03</v>
      </c>
      <c r="S64" s="194"/>
      <c r="T64" s="194"/>
      <c r="U64" s="194"/>
      <c r="V64" s="194"/>
      <c r="W64" s="194"/>
      <c r="X64" s="194"/>
      <c r="Y64" s="194"/>
      <c r="Z64" s="194"/>
      <c r="AA64" s="194"/>
      <c r="AB64" s="194"/>
      <c r="AC64" s="194"/>
      <c r="AD64" s="194"/>
    </row>
    <row r="65" spans="1:30" hidden="1" x14ac:dyDescent="0.3">
      <c r="A65" s="552"/>
      <c r="B65" s="571"/>
      <c r="C65" s="173" t="s">
        <v>63</v>
      </c>
      <c r="D65" s="172">
        <f>D39*$B$38/$P$38</f>
        <v>0</v>
      </c>
      <c r="E65" s="172">
        <f t="shared" si="4"/>
        <v>5.9999999999999984E-3</v>
      </c>
      <c r="F65" s="172">
        <f t="shared" si="4"/>
        <v>5.9999999999999984E-3</v>
      </c>
      <c r="G65" s="172">
        <f t="shared" si="4"/>
        <v>3.9999999999999992E-3</v>
      </c>
      <c r="H65" s="172">
        <f t="shared" si="4"/>
        <v>1.1999999999999997E-3</v>
      </c>
      <c r="I65" s="172">
        <f t="shared" si="4"/>
        <v>3.9999999999999991E-4</v>
      </c>
      <c r="J65" s="172">
        <f t="shared" si="4"/>
        <v>3.9999999999999991E-4</v>
      </c>
      <c r="K65" s="172">
        <f t="shared" si="4"/>
        <v>3.9999999999999991E-4</v>
      </c>
      <c r="L65" s="172">
        <f t="shared" si="4"/>
        <v>3.9999999999999991E-4</v>
      </c>
      <c r="M65" s="172">
        <f t="shared" si="4"/>
        <v>0</v>
      </c>
      <c r="N65" s="172">
        <f t="shared" si="4"/>
        <v>0</v>
      </c>
      <c r="O65" s="172">
        <f t="shared" si="4"/>
        <v>0</v>
      </c>
      <c r="P65" s="171">
        <f t="shared" si="5"/>
        <v>1.8800000000000001E-2</v>
      </c>
      <c r="Q65" s="199">
        <f>+P65</f>
        <v>1.8800000000000001E-2</v>
      </c>
      <c r="R65" s="198">
        <f t="shared" si="6"/>
        <v>0</v>
      </c>
      <c r="S65" s="194"/>
      <c r="T65" s="194"/>
      <c r="U65" s="194"/>
      <c r="V65" s="194"/>
      <c r="W65" s="194"/>
      <c r="X65" s="194"/>
      <c r="Y65" s="194"/>
      <c r="Z65" s="194"/>
      <c r="AA65" s="194"/>
      <c r="AB65" s="194"/>
      <c r="AC65" s="194"/>
      <c r="AD65" s="194"/>
    </row>
    <row r="66" spans="1:30" hidden="1" x14ac:dyDescent="0.3">
      <c r="A66" s="551" t="str">
        <f>A40</f>
        <v>8. Realizar semilleros y jornadas significativas  que brinden herramientas para el  empoderamiento. Dirigidos a niñas, adolescentes y mujeres jóvenes en sus diferencias y diversidad</v>
      </c>
      <c r="B66" s="570">
        <f>B40</f>
        <v>0.02</v>
      </c>
      <c r="C66" s="176" t="s">
        <v>62</v>
      </c>
      <c r="D66" s="175">
        <f>D40*$B$40/$P$40</f>
        <v>0</v>
      </c>
      <c r="E66" s="175">
        <f t="shared" ref="E66:O67" si="7">E40*$B$40/$P$40</f>
        <v>4.0000000000000002E-4</v>
      </c>
      <c r="F66" s="175">
        <f t="shared" si="7"/>
        <v>8.0000000000000004E-4</v>
      </c>
      <c r="G66" s="175">
        <f t="shared" si="7"/>
        <v>2E-3</v>
      </c>
      <c r="H66" s="175">
        <f t="shared" si="7"/>
        <v>4.0000000000000002E-4</v>
      </c>
      <c r="I66" s="175">
        <f t="shared" si="7"/>
        <v>2E-3</v>
      </c>
      <c r="J66" s="175">
        <f t="shared" si="7"/>
        <v>2E-3</v>
      </c>
      <c r="K66" s="175">
        <f t="shared" si="7"/>
        <v>2E-3</v>
      </c>
      <c r="L66" s="175">
        <f t="shared" si="7"/>
        <v>2E-3</v>
      </c>
      <c r="M66" s="175">
        <f t="shared" si="7"/>
        <v>4.0000000000000001E-3</v>
      </c>
      <c r="N66" s="175">
        <f t="shared" si="7"/>
        <v>4.0000000000000001E-3</v>
      </c>
      <c r="O66" s="175">
        <f t="shared" si="7"/>
        <v>4.0000000000000002E-4</v>
      </c>
      <c r="P66" s="174">
        <f t="shared" si="5"/>
        <v>0.02</v>
      </c>
      <c r="Q66" s="197">
        <v>2.5000000000000001E-2</v>
      </c>
      <c r="R66" s="198">
        <f t="shared" si="6"/>
        <v>-5.000000000000001E-3</v>
      </c>
      <c r="S66" s="194"/>
      <c r="T66" s="194"/>
      <c r="U66" s="194"/>
      <c r="V66" s="194"/>
      <c r="W66" s="194"/>
      <c r="X66" s="194"/>
      <c r="Y66" s="194"/>
      <c r="Z66" s="194"/>
      <c r="AA66" s="194"/>
      <c r="AB66" s="194"/>
      <c r="AC66" s="194"/>
      <c r="AD66" s="194"/>
    </row>
    <row r="67" spans="1:30" hidden="1" x14ac:dyDescent="0.3">
      <c r="A67" s="552"/>
      <c r="B67" s="571"/>
      <c r="C67" s="173" t="s">
        <v>63</v>
      </c>
      <c r="D67" s="172">
        <f>D41*$B$40/$P$40</f>
        <v>0</v>
      </c>
      <c r="E67" s="172">
        <f t="shared" si="7"/>
        <v>0</v>
      </c>
      <c r="F67" s="172">
        <f t="shared" si="7"/>
        <v>1.1999999999999999E-3</v>
      </c>
      <c r="G67" s="172">
        <f t="shared" si="7"/>
        <v>2E-3</v>
      </c>
      <c r="H67" s="172">
        <f t="shared" si="7"/>
        <v>4.0000000000000002E-4</v>
      </c>
      <c r="I67" s="172">
        <f t="shared" si="7"/>
        <v>2E-3</v>
      </c>
      <c r="J67" s="172">
        <f t="shared" si="7"/>
        <v>2E-3</v>
      </c>
      <c r="K67" s="172">
        <f t="shared" si="7"/>
        <v>2E-3</v>
      </c>
      <c r="L67" s="172">
        <f t="shared" si="7"/>
        <v>2E-3</v>
      </c>
      <c r="M67" s="172">
        <f t="shared" si="7"/>
        <v>0</v>
      </c>
      <c r="N67" s="172">
        <f t="shared" si="7"/>
        <v>0</v>
      </c>
      <c r="O67" s="172">
        <f t="shared" si="7"/>
        <v>0</v>
      </c>
      <c r="P67" s="171">
        <f t="shared" si="5"/>
        <v>1.1600000000000001E-2</v>
      </c>
      <c r="Q67" s="199">
        <f>+P67</f>
        <v>1.1600000000000001E-2</v>
      </c>
      <c r="R67" s="198">
        <f t="shared" si="6"/>
        <v>0</v>
      </c>
      <c r="S67" s="194"/>
      <c r="T67" s="194"/>
      <c r="U67" s="194"/>
      <c r="V67" s="194"/>
      <c r="W67" s="194"/>
      <c r="X67" s="194"/>
      <c r="Y67" s="194"/>
      <c r="Z67" s="194"/>
      <c r="AA67" s="194"/>
      <c r="AB67" s="194"/>
      <c r="AC67" s="194"/>
      <c r="AD67" s="194"/>
    </row>
    <row r="68" spans="1:30" hidden="1" x14ac:dyDescent="0.3">
      <c r="A68" s="551" t="str">
        <f>A42</f>
        <v>9. Desarrollar acciones de difusión, visibilización divulgación de la estrategia de empoderamiento.</v>
      </c>
      <c r="B68" s="570">
        <f>B42</f>
        <v>0.02</v>
      </c>
      <c r="C68" s="176" t="s">
        <v>62</v>
      </c>
      <c r="D68" s="175">
        <f>D42*$B$42/$P$42</f>
        <v>0</v>
      </c>
      <c r="E68" s="175">
        <f t="shared" ref="E68:O69" si="8">E42*$B$42/$P$42</f>
        <v>8.0000000000000015E-4</v>
      </c>
      <c r="F68" s="175">
        <f t="shared" si="8"/>
        <v>1.2000000000000001E-3</v>
      </c>
      <c r="G68" s="175">
        <f t="shared" si="8"/>
        <v>2.0000000000000005E-3</v>
      </c>
      <c r="H68" s="175">
        <f t="shared" si="8"/>
        <v>2.0000000000000005E-3</v>
      </c>
      <c r="I68" s="175">
        <f t="shared" si="8"/>
        <v>2.0000000000000005E-3</v>
      </c>
      <c r="J68" s="175">
        <f t="shared" si="8"/>
        <v>2.0000000000000005E-3</v>
      </c>
      <c r="K68" s="175">
        <f t="shared" si="8"/>
        <v>2.0000000000000005E-3</v>
      </c>
      <c r="L68" s="175">
        <f t="shared" si="8"/>
        <v>2.0000000000000005E-3</v>
      </c>
      <c r="M68" s="175">
        <f t="shared" si="8"/>
        <v>2.0000000000000005E-3</v>
      </c>
      <c r="N68" s="175">
        <f t="shared" si="8"/>
        <v>2.0000000000000005E-3</v>
      </c>
      <c r="O68" s="175">
        <f t="shared" si="8"/>
        <v>2.0000000000000005E-3</v>
      </c>
      <c r="P68" s="174">
        <f t="shared" si="5"/>
        <v>2.0000000000000004E-2</v>
      </c>
      <c r="Q68" s="197">
        <v>2.5000000000000001E-2</v>
      </c>
      <c r="R68" s="198">
        <f t="shared" si="6"/>
        <v>-4.9999999999999975E-3</v>
      </c>
      <c r="S68" s="194"/>
      <c r="T68" s="194"/>
      <c r="U68" s="194"/>
      <c r="V68" s="194"/>
      <c r="W68" s="194"/>
      <c r="X68" s="194"/>
      <c r="Y68" s="194"/>
      <c r="Z68" s="194"/>
      <c r="AA68" s="194"/>
      <c r="AB68" s="194"/>
      <c r="AC68" s="194"/>
      <c r="AD68" s="194"/>
    </row>
    <row r="69" spans="1:30" hidden="1" x14ac:dyDescent="0.3">
      <c r="A69" s="552"/>
      <c r="B69" s="571"/>
      <c r="C69" s="173" t="s">
        <v>63</v>
      </c>
      <c r="D69" s="172">
        <f>D43*$B$42/$P$42</f>
        <v>0</v>
      </c>
      <c r="E69" s="172">
        <f t="shared" si="8"/>
        <v>8.0000000000000015E-4</v>
      </c>
      <c r="F69" s="172">
        <f t="shared" si="8"/>
        <v>1.2000000000000001E-3</v>
      </c>
      <c r="G69" s="172">
        <f t="shared" si="8"/>
        <v>2.0000000000000005E-3</v>
      </c>
      <c r="H69" s="172">
        <f t="shared" si="8"/>
        <v>2.0000000000000005E-3</v>
      </c>
      <c r="I69" s="172">
        <f t="shared" si="8"/>
        <v>2.0000000000000005E-3</v>
      </c>
      <c r="J69" s="172">
        <f t="shared" si="8"/>
        <v>2.0000000000000005E-3</v>
      </c>
      <c r="K69" s="172">
        <f t="shared" si="8"/>
        <v>2.0000000000000005E-3</v>
      </c>
      <c r="L69" s="172">
        <f t="shared" si="8"/>
        <v>2.0000000000000005E-3</v>
      </c>
      <c r="M69" s="172">
        <f t="shared" si="8"/>
        <v>0</v>
      </c>
      <c r="N69" s="172">
        <f t="shared" si="8"/>
        <v>0</v>
      </c>
      <c r="O69" s="172">
        <f t="shared" si="8"/>
        <v>0</v>
      </c>
      <c r="P69" s="171">
        <f t="shared" si="5"/>
        <v>1.4E-2</v>
      </c>
      <c r="Q69" s="199">
        <f>+P69</f>
        <v>1.4E-2</v>
      </c>
      <c r="R69" s="198">
        <f t="shared" si="6"/>
        <v>0</v>
      </c>
      <c r="S69" s="194"/>
      <c r="T69" s="194"/>
      <c r="U69" s="194"/>
      <c r="V69" s="194"/>
      <c r="W69" s="194"/>
      <c r="X69" s="194"/>
      <c r="Y69" s="194"/>
      <c r="Z69" s="194"/>
      <c r="AA69" s="194"/>
      <c r="AB69" s="194"/>
      <c r="AC69" s="194"/>
      <c r="AD69" s="194"/>
    </row>
    <row r="70" spans="1:30" hidden="1" x14ac:dyDescent="0.3">
      <c r="A70" s="551" t="str">
        <f>A44</f>
        <v>10. Desarrollar escuelas de educación emocional enfocadas en fortalecer capacidades y herramientas para gestionar la salud mental de las mujeres en su diversidad en la ciudad de Bogotá.</v>
      </c>
      <c r="B70" s="570">
        <f>B44</f>
        <v>0.02</v>
      </c>
      <c r="C70" s="176" t="s">
        <v>62</v>
      </c>
      <c r="D70" s="175">
        <f>D44*$B$40/$P$44</f>
        <v>0</v>
      </c>
      <c r="E70" s="175">
        <f t="shared" ref="E70:O71" si="9">E44*$B$40/$P$44</f>
        <v>1E-3</v>
      </c>
      <c r="F70" s="175">
        <f t="shared" si="9"/>
        <v>1E-3</v>
      </c>
      <c r="G70" s="175">
        <f t="shared" si="9"/>
        <v>2E-3</v>
      </c>
      <c r="H70" s="175">
        <f t="shared" si="9"/>
        <v>2E-3</v>
      </c>
      <c r="I70" s="175">
        <f t="shared" si="9"/>
        <v>2E-3</v>
      </c>
      <c r="J70" s="175">
        <f t="shared" si="9"/>
        <v>2E-3</v>
      </c>
      <c r="K70" s="175">
        <f t="shared" si="9"/>
        <v>3.0000000000000001E-3</v>
      </c>
      <c r="L70" s="175">
        <f t="shared" si="9"/>
        <v>2E-3</v>
      </c>
      <c r="M70" s="175">
        <f t="shared" si="9"/>
        <v>2E-3</v>
      </c>
      <c r="N70" s="175">
        <f t="shared" si="9"/>
        <v>2E-3</v>
      </c>
      <c r="O70" s="175">
        <f t="shared" si="9"/>
        <v>1E-3</v>
      </c>
      <c r="P70" s="174">
        <f t="shared" si="5"/>
        <v>2.0000000000000004E-2</v>
      </c>
      <c r="Q70" s="197">
        <v>0.02</v>
      </c>
      <c r="R70" s="198">
        <f t="shared" si="6"/>
        <v>0</v>
      </c>
      <c r="S70" s="194"/>
      <c r="T70" s="194"/>
      <c r="U70" s="194"/>
      <c r="V70" s="194"/>
      <c r="W70" s="194"/>
      <c r="X70" s="194"/>
      <c r="Y70" s="194"/>
      <c r="Z70" s="194"/>
      <c r="AA70" s="194"/>
      <c r="AB70" s="194"/>
      <c r="AC70" s="194"/>
      <c r="AD70" s="194"/>
    </row>
    <row r="71" spans="1:30" hidden="1" x14ac:dyDescent="0.3">
      <c r="A71" s="552"/>
      <c r="B71" s="571"/>
      <c r="C71" s="173" t="s">
        <v>63</v>
      </c>
      <c r="D71" s="172">
        <f>D45*$B$40/$P$44</f>
        <v>0</v>
      </c>
      <c r="E71" s="172">
        <f t="shared" si="9"/>
        <v>1E-3</v>
      </c>
      <c r="F71" s="172">
        <f t="shared" si="9"/>
        <v>1E-3</v>
      </c>
      <c r="G71" s="172">
        <f t="shared" si="9"/>
        <v>3.0000000000000001E-3</v>
      </c>
      <c r="H71" s="172">
        <f t="shared" si="9"/>
        <v>2E-3</v>
      </c>
      <c r="I71" s="172">
        <f t="shared" si="9"/>
        <v>2E-3</v>
      </c>
      <c r="J71" s="172">
        <f t="shared" si="9"/>
        <v>1E-3</v>
      </c>
      <c r="K71" s="172">
        <f t="shared" si="9"/>
        <v>3.0000000000000001E-3</v>
      </c>
      <c r="L71" s="172">
        <f t="shared" si="9"/>
        <v>2E-3</v>
      </c>
      <c r="M71" s="172">
        <f t="shared" si="9"/>
        <v>0</v>
      </c>
      <c r="N71" s="172">
        <f t="shared" si="9"/>
        <v>0</v>
      </c>
      <c r="O71" s="172">
        <f t="shared" si="9"/>
        <v>0</v>
      </c>
      <c r="P71" s="171">
        <f t="shared" si="5"/>
        <v>1.5000000000000001E-2</v>
      </c>
      <c r="Q71" s="199">
        <f>+P71</f>
        <v>1.5000000000000001E-2</v>
      </c>
      <c r="R71" s="198">
        <f t="shared" si="6"/>
        <v>0</v>
      </c>
      <c r="S71" s="194"/>
      <c r="T71" s="194"/>
      <c r="U71" s="194"/>
      <c r="V71" s="194"/>
      <c r="W71" s="194"/>
      <c r="X71" s="194"/>
      <c r="Y71" s="194"/>
      <c r="Z71" s="194"/>
      <c r="AA71" s="194"/>
      <c r="AB71" s="194"/>
      <c r="AC71" s="194"/>
      <c r="AD71" s="194"/>
    </row>
    <row r="72" spans="1:30" hidden="1" x14ac:dyDescent="0.3">
      <c r="A72" s="551" t="str">
        <f>A46</f>
        <v>11. Desarrollar espacios de encuentro de mujeres para el cuidado emocional denominados Espacios Respiro.</v>
      </c>
      <c r="B72" s="570">
        <f>B46</f>
        <v>0.02</v>
      </c>
      <c r="C72" s="176" t="s">
        <v>62</v>
      </c>
      <c r="D72" s="175">
        <f>D46*$B$46/$P$46</f>
        <v>0</v>
      </c>
      <c r="E72" s="175">
        <f t="shared" ref="E72:O73" si="10">E46*$B$46/$P$46</f>
        <v>1.0000000000000002E-3</v>
      </c>
      <c r="F72" s="175">
        <f t="shared" si="10"/>
        <v>2.0000000000000005E-3</v>
      </c>
      <c r="G72" s="175">
        <f t="shared" si="10"/>
        <v>2.0000000000000005E-3</v>
      </c>
      <c r="H72" s="175">
        <f t="shared" si="10"/>
        <v>2.0000000000000005E-3</v>
      </c>
      <c r="I72" s="175">
        <f t="shared" si="10"/>
        <v>2.0000000000000005E-3</v>
      </c>
      <c r="J72" s="175">
        <f t="shared" si="10"/>
        <v>2.0000000000000005E-3</v>
      </c>
      <c r="K72" s="175">
        <f t="shared" si="10"/>
        <v>2.0000000000000005E-3</v>
      </c>
      <c r="L72" s="175">
        <f t="shared" si="10"/>
        <v>2.0000000000000005E-3</v>
      </c>
      <c r="M72" s="175">
        <f t="shared" si="10"/>
        <v>2.0000000000000005E-3</v>
      </c>
      <c r="N72" s="175">
        <f t="shared" si="10"/>
        <v>2.0000000000000005E-3</v>
      </c>
      <c r="O72" s="175">
        <f t="shared" si="10"/>
        <v>1.0000000000000002E-3</v>
      </c>
      <c r="P72" s="174">
        <f t="shared" si="5"/>
        <v>2.0000000000000004E-2</v>
      </c>
      <c r="Q72" s="197">
        <v>0.02</v>
      </c>
      <c r="R72" s="198">
        <f t="shared" si="6"/>
        <v>0</v>
      </c>
      <c r="S72" s="194"/>
      <c r="T72" s="194"/>
      <c r="U72" s="194"/>
      <c r="V72" s="194"/>
      <c r="W72" s="194"/>
      <c r="X72" s="194"/>
      <c r="Y72" s="194"/>
      <c r="Z72" s="194"/>
      <c r="AA72" s="194"/>
      <c r="AB72" s="194"/>
      <c r="AC72" s="194"/>
      <c r="AD72" s="194"/>
    </row>
    <row r="73" spans="1:30" hidden="1" x14ac:dyDescent="0.3">
      <c r="A73" s="552"/>
      <c r="B73" s="571"/>
      <c r="C73" s="173" t="s">
        <v>63</v>
      </c>
      <c r="D73" s="172">
        <f>D47*$B$46/$P$46</f>
        <v>0</v>
      </c>
      <c r="E73" s="172">
        <f t="shared" si="10"/>
        <v>1.0000000000000002E-3</v>
      </c>
      <c r="F73" s="172">
        <f t="shared" si="10"/>
        <v>2.0000000000000005E-3</v>
      </c>
      <c r="G73" s="172">
        <f t="shared" si="10"/>
        <v>2.0000000000000005E-3</v>
      </c>
      <c r="H73" s="172">
        <f t="shared" si="10"/>
        <v>3.0000000000000005E-3</v>
      </c>
      <c r="I73" s="172">
        <f t="shared" si="10"/>
        <v>2.0000000000000005E-3</v>
      </c>
      <c r="J73" s="172">
        <f t="shared" si="10"/>
        <v>1.0000000000000002E-3</v>
      </c>
      <c r="K73" s="172">
        <f t="shared" si="10"/>
        <v>2.0000000000000005E-3</v>
      </c>
      <c r="L73" s="172">
        <f t="shared" si="10"/>
        <v>2.0000000000000005E-3</v>
      </c>
      <c r="M73" s="172">
        <f t="shared" si="10"/>
        <v>0</v>
      </c>
      <c r="N73" s="172">
        <f t="shared" si="10"/>
        <v>0</v>
      </c>
      <c r="O73" s="172">
        <f t="shared" si="10"/>
        <v>0</v>
      </c>
      <c r="P73" s="171">
        <f t="shared" si="5"/>
        <v>1.5000000000000003E-2</v>
      </c>
      <c r="Q73" s="199">
        <f>+P73</f>
        <v>1.5000000000000003E-2</v>
      </c>
      <c r="R73" s="198">
        <f t="shared" si="6"/>
        <v>0</v>
      </c>
      <c r="S73" s="194"/>
      <c r="T73" s="194"/>
      <c r="U73" s="194"/>
      <c r="V73" s="194"/>
      <c r="W73" s="194"/>
      <c r="X73" s="194"/>
      <c r="Y73" s="194"/>
      <c r="Z73" s="194"/>
      <c r="AA73" s="194"/>
      <c r="AB73" s="194"/>
      <c r="AC73" s="194"/>
      <c r="AD73" s="194"/>
    </row>
    <row r="74" spans="1:30" hidden="1" x14ac:dyDescent="0.3">
      <c r="A74" s="551" t="str">
        <f>A48</f>
        <v xml:space="preserve">12.Diseñar e implementar una estrategia de difusión y socialización de la caja de herramientas construida en el marco de la estrategia de capacidades psicoemocionales  </v>
      </c>
      <c r="B74" s="570">
        <f>B48</f>
        <v>0.02</v>
      </c>
      <c r="C74" s="176" t="s">
        <v>62</v>
      </c>
      <c r="D74" s="175">
        <f>D48*$B$48/$P$48</f>
        <v>0</v>
      </c>
      <c r="E74" s="175">
        <f t="shared" ref="E74:O75" si="11">E48*$B$48/$P$48</f>
        <v>5.9999999999999984E-3</v>
      </c>
      <c r="F74" s="175">
        <f t="shared" si="11"/>
        <v>9.999999999999998E-4</v>
      </c>
      <c r="G74" s="175">
        <f t="shared" si="11"/>
        <v>2.9999999999999992E-3</v>
      </c>
      <c r="H74" s="175">
        <f t="shared" si="11"/>
        <v>2.9999999999999992E-3</v>
      </c>
      <c r="I74" s="175">
        <f t="shared" si="11"/>
        <v>1.9999999999999996E-3</v>
      </c>
      <c r="J74" s="175">
        <f t="shared" si="11"/>
        <v>9.999999999999998E-4</v>
      </c>
      <c r="K74" s="175">
        <f t="shared" si="11"/>
        <v>9.999999999999998E-4</v>
      </c>
      <c r="L74" s="175">
        <f t="shared" si="11"/>
        <v>9.999999999999998E-4</v>
      </c>
      <c r="M74" s="175">
        <f t="shared" si="11"/>
        <v>9.999999999999998E-4</v>
      </c>
      <c r="N74" s="175">
        <f t="shared" si="11"/>
        <v>5.9999999999999984E-4</v>
      </c>
      <c r="O74" s="175">
        <f t="shared" si="11"/>
        <v>3.9999999999999991E-4</v>
      </c>
      <c r="P74" s="174">
        <f t="shared" si="5"/>
        <v>0.02</v>
      </c>
      <c r="Q74" s="197">
        <v>0.02</v>
      </c>
      <c r="R74" s="198">
        <f t="shared" si="6"/>
        <v>0</v>
      </c>
      <c r="S74" s="194"/>
      <c r="T74" s="194"/>
      <c r="U74" s="194"/>
      <c r="V74" s="194"/>
      <c r="W74" s="194"/>
      <c r="X74" s="194"/>
      <c r="Y74" s="194"/>
      <c r="Z74" s="194"/>
      <c r="AA74" s="194"/>
      <c r="AB74" s="194"/>
      <c r="AC74" s="194"/>
      <c r="AD74" s="194"/>
    </row>
    <row r="75" spans="1:30" hidden="1" x14ac:dyDescent="0.3">
      <c r="A75" s="552"/>
      <c r="B75" s="571"/>
      <c r="C75" s="173" t="s">
        <v>63</v>
      </c>
      <c r="D75" s="172">
        <f>D49*$B$48/$P$48</f>
        <v>0</v>
      </c>
      <c r="E75" s="172">
        <f t="shared" si="11"/>
        <v>1.9999999999999996E-3</v>
      </c>
      <c r="F75" s="172">
        <f t="shared" si="11"/>
        <v>3.9999999999999992E-3</v>
      </c>
      <c r="G75" s="172">
        <f t="shared" si="11"/>
        <v>3.9999999999999992E-3</v>
      </c>
      <c r="H75" s="172">
        <f t="shared" si="11"/>
        <v>2.9999999999999992E-3</v>
      </c>
      <c r="I75" s="172">
        <f t="shared" si="11"/>
        <v>9.999999999999998E-4</v>
      </c>
      <c r="J75" s="172">
        <f t="shared" si="11"/>
        <v>1.9999999999999996E-3</v>
      </c>
      <c r="K75" s="172">
        <f t="shared" si="11"/>
        <v>9.999999999999998E-4</v>
      </c>
      <c r="L75" s="172">
        <f t="shared" si="11"/>
        <v>9.999999999999998E-4</v>
      </c>
      <c r="M75" s="172">
        <f t="shared" si="11"/>
        <v>0</v>
      </c>
      <c r="N75" s="172">
        <f t="shared" si="11"/>
        <v>0</v>
      </c>
      <c r="O75" s="172">
        <f t="shared" si="11"/>
        <v>0</v>
      </c>
      <c r="P75" s="171">
        <f t="shared" si="5"/>
        <v>1.7999999999999999E-2</v>
      </c>
      <c r="Q75" s="199">
        <f>+P75</f>
        <v>1.7999999999999999E-2</v>
      </c>
      <c r="R75" s="198">
        <f t="shared" si="6"/>
        <v>0</v>
      </c>
      <c r="S75" s="194"/>
      <c r="T75" s="194"/>
      <c r="U75" s="194"/>
      <c r="V75" s="194"/>
      <c r="W75" s="194"/>
      <c r="X75" s="194"/>
      <c r="Y75" s="194"/>
      <c r="Z75" s="194"/>
      <c r="AA75" s="194"/>
      <c r="AB75" s="194"/>
      <c r="AC75" s="194"/>
      <c r="AD75" s="194"/>
    </row>
    <row r="76" spans="1:30" hidden="1" x14ac:dyDescent="0.3">
      <c r="A76" s="551" t="str">
        <f>A50</f>
        <v xml:space="preserve">13.   Implementar la Fase I y II de la EDCM . Espacios EMAA mujeres en sus diferencias y diversidad; hombres trans y personas no binarias. Jornadas de Dignidad Menstrual. </v>
      </c>
      <c r="B76" s="570">
        <f>B50</f>
        <v>0.02</v>
      </c>
      <c r="C76" s="176" t="s">
        <v>62</v>
      </c>
      <c r="D76" s="175">
        <f>D50*$B$50/$P$50</f>
        <v>0</v>
      </c>
      <c r="E76" s="175">
        <f t="shared" ref="E76:O77" si="12">E50*$B$50/$P$50</f>
        <v>1E-3</v>
      </c>
      <c r="F76" s="175">
        <f t="shared" si="12"/>
        <v>1E-3</v>
      </c>
      <c r="G76" s="175">
        <f t="shared" si="12"/>
        <v>3.0000000000000001E-3</v>
      </c>
      <c r="H76" s="175">
        <f t="shared" si="12"/>
        <v>3.0000000000000001E-3</v>
      </c>
      <c r="I76" s="175">
        <f t="shared" si="12"/>
        <v>2E-3</v>
      </c>
      <c r="J76" s="175">
        <f t="shared" si="12"/>
        <v>3.0000000000000001E-3</v>
      </c>
      <c r="K76" s="175">
        <f t="shared" si="12"/>
        <v>2E-3</v>
      </c>
      <c r="L76" s="175">
        <f t="shared" si="12"/>
        <v>2E-3</v>
      </c>
      <c r="M76" s="175">
        <f t="shared" si="12"/>
        <v>2E-3</v>
      </c>
      <c r="N76" s="175">
        <f t="shared" si="12"/>
        <v>1E-3</v>
      </c>
      <c r="O76" s="175">
        <f t="shared" si="12"/>
        <v>0</v>
      </c>
      <c r="P76" s="174">
        <f t="shared" si="5"/>
        <v>2.0000000000000004E-2</v>
      </c>
      <c r="Q76" s="197"/>
      <c r="R76" s="198"/>
      <c r="S76" s="194"/>
      <c r="T76" s="194"/>
      <c r="U76" s="194"/>
      <c r="V76" s="194"/>
      <c r="W76" s="194"/>
      <c r="X76" s="194"/>
      <c r="Y76" s="194"/>
      <c r="Z76" s="194"/>
      <c r="AA76" s="194"/>
      <c r="AB76" s="194"/>
      <c r="AC76" s="194"/>
      <c r="AD76" s="194"/>
    </row>
    <row r="77" spans="1:30" hidden="1" x14ac:dyDescent="0.3">
      <c r="A77" s="552"/>
      <c r="B77" s="571"/>
      <c r="C77" s="173" t="s">
        <v>63</v>
      </c>
      <c r="D77" s="172">
        <f>D51*$B$50/$P$50</f>
        <v>0</v>
      </c>
      <c r="E77" s="172">
        <f t="shared" si="12"/>
        <v>0</v>
      </c>
      <c r="F77" s="172">
        <f t="shared" si="12"/>
        <v>1E-3</v>
      </c>
      <c r="G77" s="172">
        <f t="shared" si="12"/>
        <v>4.0000000000000001E-3</v>
      </c>
      <c r="H77" s="172">
        <f t="shared" si="12"/>
        <v>3.0000000000000001E-3</v>
      </c>
      <c r="I77" s="172">
        <f t="shared" si="12"/>
        <v>2E-3</v>
      </c>
      <c r="J77" s="172">
        <f t="shared" si="12"/>
        <v>3.0000000000000001E-3</v>
      </c>
      <c r="K77" s="172">
        <f t="shared" si="12"/>
        <v>2E-3</v>
      </c>
      <c r="L77" s="172">
        <f t="shared" si="12"/>
        <v>2E-3</v>
      </c>
      <c r="M77" s="172">
        <f t="shared" si="12"/>
        <v>0</v>
      </c>
      <c r="N77" s="172">
        <f t="shared" si="12"/>
        <v>0</v>
      </c>
      <c r="O77" s="172">
        <f t="shared" si="12"/>
        <v>0</v>
      </c>
      <c r="P77" s="171">
        <f t="shared" si="5"/>
        <v>1.7000000000000001E-2</v>
      </c>
      <c r="Q77" s="199"/>
      <c r="R77" s="198"/>
      <c r="S77" s="194"/>
      <c r="T77" s="194"/>
      <c r="U77" s="194"/>
      <c r="V77" s="194"/>
      <c r="W77" s="194"/>
      <c r="X77" s="194"/>
      <c r="Y77" s="194"/>
      <c r="Z77" s="194"/>
      <c r="AA77" s="194"/>
      <c r="AB77" s="194"/>
      <c r="AC77" s="194"/>
      <c r="AD77" s="194"/>
    </row>
    <row r="78" spans="1:30" hidden="1" x14ac:dyDescent="0.3">
      <c r="A78" s="551" t="str">
        <f>A52</f>
        <v xml:space="preserve">14. Realizar la Mesa Interinstitucional activa, implementando Plan de Trabajo  </v>
      </c>
      <c r="B78" s="570">
        <f>B52</f>
        <v>0.02</v>
      </c>
      <c r="C78" s="176" t="s">
        <v>62</v>
      </c>
      <c r="D78" s="175">
        <f>D52*$B$52/$P$52</f>
        <v>0</v>
      </c>
      <c r="E78" s="175">
        <f t="shared" ref="E78:O79" si="13">E52*$B$52/$P$52</f>
        <v>1.0000000000000002E-3</v>
      </c>
      <c r="F78" s="175">
        <f t="shared" si="13"/>
        <v>2.0000000000000005E-3</v>
      </c>
      <c r="G78" s="175">
        <f t="shared" si="13"/>
        <v>2.0000000000000005E-3</v>
      </c>
      <c r="H78" s="175">
        <f t="shared" si="13"/>
        <v>2.0000000000000005E-3</v>
      </c>
      <c r="I78" s="175">
        <f t="shared" si="13"/>
        <v>2.0000000000000005E-3</v>
      </c>
      <c r="J78" s="175">
        <f t="shared" si="13"/>
        <v>2.0000000000000005E-3</v>
      </c>
      <c r="K78" s="175">
        <f t="shared" si="13"/>
        <v>2.0000000000000005E-3</v>
      </c>
      <c r="L78" s="175">
        <f t="shared" si="13"/>
        <v>2.0000000000000005E-3</v>
      </c>
      <c r="M78" s="175">
        <f t="shared" si="13"/>
        <v>2.0000000000000005E-3</v>
      </c>
      <c r="N78" s="175">
        <f t="shared" si="13"/>
        <v>2.0000000000000005E-3</v>
      </c>
      <c r="O78" s="175">
        <f t="shared" si="13"/>
        <v>1.0000000000000002E-3</v>
      </c>
      <c r="P78" s="174">
        <f t="shared" si="5"/>
        <v>2.0000000000000004E-2</v>
      </c>
      <c r="Q78" s="197">
        <v>0.02</v>
      </c>
      <c r="R78" s="198">
        <f>+P78-Q78</f>
        <v>0</v>
      </c>
      <c r="S78" s="194"/>
      <c r="T78" s="194"/>
      <c r="U78" s="194"/>
      <c r="V78" s="194"/>
      <c r="W78" s="194"/>
      <c r="X78" s="194"/>
      <c r="Y78" s="194"/>
      <c r="Z78" s="194"/>
      <c r="AA78" s="194"/>
      <c r="AB78" s="194"/>
      <c r="AC78" s="194"/>
      <c r="AD78" s="194"/>
    </row>
    <row r="79" spans="1:30" hidden="1" x14ac:dyDescent="0.3">
      <c r="A79" s="552"/>
      <c r="B79" s="571"/>
      <c r="C79" s="173" t="s">
        <v>63</v>
      </c>
      <c r="D79" s="172">
        <f>D53*$B$52/$P$52</f>
        <v>0</v>
      </c>
      <c r="E79" s="172">
        <f t="shared" si="13"/>
        <v>0</v>
      </c>
      <c r="F79" s="172">
        <f t="shared" si="13"/>
        <v>3.0000000000000005E-3</v>
      </c>
      <c r="G79" s="172">
        <f t="shared" si="13"/>
        <v>2.0000000000000005E-3</v>
      </c>
      <c r="H79" s="172">
        <f t="shared" si="13"/>
        <v>3.0000000000000005E-3</v>
      </c>
      <c r="I79" s="172">
        <f t="shared" si="13"/>
        <v>2.0000000000000005E-3</v>
      </c>
      <c r="J79" s="172">
        <f t="shared" si="13"/>
        <v>1.0000000000000002E-3</v>
      </c>
      <c r="K79" s="172">
        <f t="shared" si="13"/>
        <v>2.0000000000000005E-3</v>
      </c>
      <c r="L79" s="172">
        <f t="shared" si="13"/>
        <v>2.0000000000000005E-3</v>
      </c>
      <c r="M79" s="172">
        <f t="shared" si="13"/>
        <v>0</v>
      </c>
      <c r="N79" s="172">
        <f t="shared" si="13"/>
        <v>0</v>
      </c>
      <c r="O79" s="172">
        <f t="shared" si="13"/>
        <v>0</v>
      </c>
      <c r="P79" s="171">
        <f t="shared" si="5"/>
        <v>1.5000000000000003E-2</v>
      </c>
      <c r="Q79" s="199">
        <f>+P79</f>
        <v>1.5000000000000003E-2</v>
      </c>
      <c r="R79" s="198">
        <f>+P79-Q79</f>
        <v>0</v>
      </c>
      <c r="S79" s="194"/>
      <c r="T79" s="194"/>
      <c r="U79" s="194"/>
      <c r="V79" s="194"/>
      <c r="W79" s="194"/>
      <c r="X79" s="194"/>
      <c r="Y79" s="194"/>
      <c r="Z79" s="194"/>
      <c r="AA79" s="194"/>
      <c r="AB79" s="194"/>
      <c r="AC79" s="194"/>
      <c r="AD79" s="194"/>
    </row>
    <row r="80" spans="1:30" hidden="1" x14ac:dyDescent="0.3">
      <c r="A80" s="551" t="str">
        <f>A54</f>
        <v xml:space="preserve">15. Definir e implementar acciones de las fases III y IV de la Estrategia de Cuidado Menstrual dirigidas a mujeres y personas con experiencias menstruales en sus diferencias y diversidad, según priorización y pertinencia. </v>
      </c>
      <c r="B80" s="570">
        <f>B54</f>
        <v>0.02</v>
      </c>
      <c r="C80" s="176" t="s">
        <v>62</v>
      </c>
      <c r="D80" s="175">
        <f>D54*$B$54/$P$54</f>
        <v>0</v>
      </c>
      <c r="E80" s="175">
        <f t="shared" ref="E80:O81" si="14">E54*$B$54/$P$54</f>
        <v>0</v>
      </c>
      <c r="F80" s="175">
        <f t="shared" si="14"/>
        <v>0</v>
      </c>
      <c r="G80" s="175">
        <f t="shared" si="14"/>
        <v>2E-3</v>
      </c>
      <c r="H80" s="175">
        <f t="shared" si="14"/>
        <v>2E-3</v>
      </c>
      <c r="I80" s="175">
        <f t="shared" si="14"/>
        <v>4.0000000000000001E-3</v>
      </c>
      <c r="J80" s="175">
        <f t="shared" si="14"/>
        <v>4.0000000000000001E-3</v>
      </c>
      <c r="K80" s="175">
        <f t="shared" si="14"/>
        <v>2E-3</v>
      </c>
      <c r="L80" s="175">
        <f t="shared" si="14"/>
        <v>2E-3</v>
      </c>
      <c r="M80" s="175">
        <f t="shared" si="14"/>
        <v>4.0000000000000001E-3</v>
      </c>
      <c r="N80" s="175">
        <f t="shared" si="14"/>
        <v>0</v>
      </c>
      <c r="O80" s="175">
        <f t="shared" si="14"/>
        <v>0</v>
      </c>
      <c r="P80" s="174">
        <f t="shared" si="5"/>
        <v>0.02</v>
      </c>
      <c r="Q80" s="197">
        <v>0.02</v>
      </c>
      <c r="R80" s="198">
        <f>+P80-Q80</f>
        <v>0</v>
      </c>
      <c r="S80" s="194"/>
      <c r="T80" s="194"/>
      <c r="U80" s="194"/>
      <c r="V80" s="194"/>
      <c r="W80" s="194"/>
      <c r="X80" s="194"/>
      <c r="Y80" s="194"/>
      <c r="Z80" s="194"/>
      <c r="AA80" s="194"/>
      <c r="AB80" s="194"/>
      <c r="AC80" s="194"/>
      <c r="AD80" s="194"/>
    </row>
    <row r="81" spans="1:30" hidden="1" x14ac:dyDescent="0.3">
      <c r="A81" s="552"/>
      <c r="B81" s="571"/>
      <c r="C81" s="173" t="s">
        <v>63</v>
      </c>
      <c r="D81" s="172">
        <f>D55*$B$54/$P$54</f>
        <v>0</v>
      </c>
      <c r="E81" s="172">
        <f t="shared" si="14"/>
        <v>0</v>
      </c>
      <c r="F81" s="172">
        <f t="shared" si="14"/>
        <v>0</v>
      </c>
      <c r="G81" s="172">
        <f t="shared" si="14"/>
        <v>1E-3</v>
      </c>
      <c r="H81" s="172">
        <f t="shared" si="14"/>
        <v>3.0000000000000001E-3</v>
      </c>
      <c r="I81" s="172">
        <f t="shared" si="14"/>
        <v>4.0000000000000001E-3</v>
      </c>
      <c r="J81" s="172">
        <f t="shared" si="14"/>
        <v>4.0000000000000001E-3</v>
      </c>
      <c r="K81" s="172">
        <f t="shared" si="14"/>
        <v>2E-3</v>
      </c>
      <c r="L81" s="172">
        <f t="shared" si="14"/>
        <v>2E-3</v>
      </c>
      <c r="M81" s="172">
        <f t="shared" si="14"/>
        <v>0</v>
      </c>
      <c r="N81" s="172">
        <f t="shared" si="14"/>
        <v>0</v>
      </c>
      <c r="O81" s="172">
        <f t="shared" si="14"/>
        <v>0</v>
      </c>
      <c r="P81" s="171">
        <f t="shared" si="5"/>
        <v>1.6E-2</v>
      </c>
      <c r="Q81" s="199">
        <f>+P81</f>
        <v>1.6E-2</v>
      </c>
      <c r="R81" s="198">
        <f>+P81-Q81</f>
        <v>0</v>
      </c>
      <c r="S81" s="194"/>
      <c r="T81" s="194"/>
      <c r="U81" s="194"/>
      <c r="V81" s="194"/>
      <c r="W81" s="194"/>
      <c r="X81" s="194"/>
      <c r="Y81" s="194"/>
      <c r="Z81" s="194"/>
      <c r="AA81" s="194"/>
      <c r="AB81" s="194"/>
      <c r="AC81" s="194"/>
      <c r="AD81" s="194"/>
    </row>
    <row r="82" spans="1:30" hidden="1" x14ac:dyDescent="0.3">
      <c r="A82" s="551" t="str">
        <f>A56</f>
        <v>16. Diseñar y poner en acción el Plan Estratégico de Comunicaciones de la EDCM</v>
      </c>
      <c r="B82" s="570">
        <f>B56</f>
        <v>0.02</v>
      </c>
      <c r="C82" s="176" t="s">
        <v>62</v>
      </c>
      <c r="D82" s="175">
        <f>D56*$B$56/$P$56</f>
        <v>0</v>
      </c>
      <c r="E82" s="175">
        <f t="shared" ref="E82:O83" si="15">E56*$B$56/$P$56</f>
        <v>5.9999999999999984E-3</v>
      </c>
      <c r="F82" s="175">
        <f t="shared" si="15"/>
        <v>9.999999999999998E-4</v>
      </c>
      <c r="G82" s="175">
        <f t="shared" si="15"/>
        <v>2.9999999999999992E-3</v>
      </c>
      <c r="H82" s="175">
        <f t="shared" si="15"/>
        <v>2.9999999999999992E-3</v>
      </c>
      <c r="I82" s="175">
        <f t="shared" si="15"/>
        <v>1.9999999999999996E-3</v>
      </c>
      <c r="J82" s="175">
        <f t="shared" si="15"/>
        <v>9.999999999999998E-4</v>
      </c>
      <c r="K82" s="175">
        <f t="shared" si="15"/>
        <v>9.999999999999998E-4</v>
      </c>
      <c r="L82" s="175">
        <f t="shared" si="15"/>
        <v>9.999999999999998E-4</v>
      </c>
      <c r="M82" s="175">
        <f t="shared" si="15"/>
        <v>9.999999999999998E-4</v>
      </c>
      <c r="N82" s="175">
        <f t="shared" si="15"/>
        <v>5.9999999999999984E-4</v>
      </c>
      <c r="O82" s="175">
        <f t="shared" si="15"/>
        <v>3.9999999999999991E-4</v>
      </c>
      <c r="P82" s="174">
        <f t="shared" si="5"/>
        <v>0.02</v>
      </c>
      <c r="Q82" s="197"/>
      <c r="R82" s="198"/>
      <c r="S82" s="194"/>
      <c r="T82" s="194"/>
      <c r="U82" s="194"/>
      <c r="V82" s="194"/>
      <c r="W82" s="194"/>
      <c r="X82" s="194"/>
      <c r="Y82" s="194"/>
      <c r="Z82" s="194"/>
      <c r="AA82" s="194"/>
      <c r="AB82" s="194"/>
      <c r="AC82" s="194"/>
      <c r="AD82" s="194"/>
    </row>
    <row r="83" spans="1:30" hidden="1" x14ac:dyDescent="0.3">
      <c r="A83" s="552"/>
      <c r="B83" s="571"/>
      <c r="C83" s="173" t="s">
        <v>63</v>
      </c>
      <c r="D83" s="172">
        <f>D57*$B$56/$P$56</f>
        <v>0</v>
      </c>
      <c r="E83" s="172">
        <f t="shared" si="15"/>
        <v>0</v>
      </c>
      <c r="F83" s="172">
        <f t="shared" si="15"/>
        <v>0</v>
      </c>
      <c r="G83" s="172">
        <f t="shared" si="15"/>
        <v>2.9999999999999992E-3</v>
      </c>
      <c r="H83" s="172">
        <f t="shared" si="15"/>
        <v>7.9999999999999984E-3</v>
      </c>
      <c r="I83" s="172">
        <f t="shared" si="15"/>
        <v>2.9999999999999992E-3</v>
      </c>
      <c r="J83" s="172">
        <f t="shared" si="15"/>
        <v>1.4E-3</v>
      </c>
      <c r="K83" s="172">
        <f t="shared" si="15"/>
        <v>1.5999999999999996E-3</v>
      </c>
      <c r="L83" s="172">
        <f t="shared" si="15"/>
        <v>9.999999999999998E-4</v>
      </c>
      <c r="M83" s="172">
        <f t="shared" si="15"/>
        <v>0</v>
      </c>
      <c r="N83" s="172">
        <f t="shared" si="15"/>
        <v>0</v>
      </c>
      <c r="O83" s="172">
        <f t="shared" si="15"/>
        <v>0</v>
      </c>
      <c r="P83" s="171">
        <f t="shared" si="5"/>
        <v>1.7999999999999999E-2</v>
      </c>
      <c r="Q83" s="199"/>
      <c r="R83" s="198"/>
      <c r="S83" s="194"/>
      <c r="T83" s="194"/>
      <c r="U83" s="194"/>
      <c r="V83" s="194"/>
      <c r="W83" s="194"/>
      <c r="X83" s="194"/>
      <c r="Y83" s="194"/>
      <c r="Z83" s="194"/>
      <c r="AA83" s="194"/>
      <c r="AB83" s="194"/>
      <c r="AC83" s="194"/>
      <c r="AD83" s="194"/>
    </row>
    <row r="84" spans="1:30" hidden="1" x14ac:dyDescent="0.3">
      <c r="A84" s="196"/>
      <c r="B84" s="169"/>
      <c r="C84" s="170"/>
      <c r="D84" s="165">
        <f>D65+D67+D69+D71+D73+D75+D77+D79+D81+D83</f>
        <v>0</v>
      </c>
      <c r="E84" s="165">
        <f t="shared" ref="E84:O84" si="16">E65+E67+E69+E71+E73+E75+E77+E79+E81+E83</f>
        <v>1.0799999999999999E-2</v>
      </c>
      <c r="F84" s="165">
        <f t="shared" si="16"/>
        <v>1.9399999999999997E-2</v>
      </c>
      <c r="G84" s="165">
        <f t="shared" si="16"/>
        <v>2.7E-2</v>
      </c>
      <c r="H84" s="165">
        <f t="shared" si="16"/>
        <v>2.8599999999999993E-2</v>
      </c>
      <c r="I84" s="165">
        <f t="shared" si="16"/>
        <v>2.0399999999999998E-2</v>
      </c>
      <c r="J84" s="165">
        <f t="shared" si="16"/>
        <v>1.78E-2</v>
      </c>
      <c r="K84" s="165">
        <f t="shared" si="16"/>
        <v>1.7999999999999999E-2</v>
      </c>
      <c r="L84" s="165">
        <f t="shared" si="16"/>
        <v>1.6400000000000001E-2</v>
      </c>
      <c r="M84" s="165">
        <f t="shared" si="16"/>
        <v>0</v>
      </c>
      <c r="N84" s="165">
        <f t="shared" si="16"/>
        <v>0</v>
      </c>
      <c r="O84" s="165">
        <f t="shared" si="16"/>
        <v>0</v>
      </c>
      <c r="P84" s="165">
        <f>P65+P67+P69+P71+P73+P75+P77</f>
        <v>0.10940000000000001</v>
      </c>
      <c r="Q84" s="195"/>
      <c r="R84" s="198">
        <f t="shared" si="6"/>
        <v>0.10940000000000001</v>
      </c>
      <c r="S84" s="194"/>
      <c r="T84" s="194"/>
      <c r="U84" s="194"/>
      <c r="V84" s="194"/>
      <c r="W84" s="194"/>
      <c r="X84" s="194"/>
      <c r="Y84" s="194"/>
      <c r="Z84" s="194"/>
      <c r="AA84" s="194"/>
      <c r="AB84" s="194"/>
      <c r="AC84" s="194"/>
      <c r="AD84" s="194"/>
    </row>
    <row r="85" spans="1:30" hidden="1" x14ac:dyDescent="0.3">
      <c r="A85" s="197"/>
      <c r="B85" s="167"/>
      <c r="C85" s="164" t="s">
        <v>63</v>
      </c>
      <c r="D85" s="163">
        <f>D84*$W$17/$B$34</f>
        <v>0</v>
      </c>
      <c r="E85" s="163">
        <f t="shared" ref="E85:O85" si="17">E84*$W$17/$B$34</f>
        <v>4.8599999999999997E-2</v>
      </c>
      <c r="F85" s="163">
        <f t="shared" si="17"/>
        <v>8.7299999999999975E-2</v>
      </c>
      <c r="G85" s="163">
        <f t="shared" si="17"/>
        <v>0.12149999999999998</v>
      </c>
      <c r="H85" s="163">
        <f t="shared" si="17"/>
        <v>0.12869999999999998</v>
      </c>
      <c r="I85" s="163">
        <f t="shared" si="17"/>
        <v>9.1799999999999979E-2</v>
      </c>
      <c r="J85" s="163">
        <f t="shared" si="17"/>
        <v>8.0099999999999991E-2</v>
      </c>
      <c r="K85" s="163">
        <f t="shared" si="17"/>
        <v>8.0999999999999989E-2</v>
      </c>
      <c r="L85" s="163">
        <f t="shared" si="17"/>
        <v>7.3800000000000004E-2</v>
      </c>
      <c r="M85" s="163">
        <f t="shared" si="17"/>
        <v>0</v>
      </c>
      <c r="N85" s="163">
        <f t="shared" si="17"/>
        <v>0</v>
      </c>
      <c r="O85" s="163">
        <f t="shared" si="17"/>
        <v>0</v>
      </c>
      <c r="P85" s="162">
        <f>SUM(D85:O85)</f>
        <v>0.71279999999999988</v>
      </c>
      <c r="Q85" s="196"/>
      <c r="R85" s="195"/>
      <c r="S85" s="194"/>
      <c r="T85" s="194"/>
      <c r="U85" s="194"/>
      <c r="V85" s="194"/>
      <c r="W85" s="194"/>
      <c r="X85" s="194"/>
      <c r="Y85" s="194"/>
      <c r="Z85" s="194"/>
      <c r="AA85" s="194"/>
      <c r="AB85" s="194"/>
      <c r="AC85" s="194"/>
      <c r="AD85" s="194"/>
    </row>
    <row r="86" spans="1:30" hidden="1" x14ac:dyDescent="0.3">
      <c r="A86" s="196"/>
      <c r="B86" s="166"/>
      <c r="C86" s="166"/>
      <c r="D86" s="166"/>
      <c r="E86" s="166"/>
      <c r="F86" s="166"/>
      <c r="G86" s="166"/>
      <c r="H86" s="166"/>
      <c r="I86" s="166"/>
      <c r="J86" s="166"/>
      <c r="K86" s="166"/>
      <c r="L86" s="166"/>
      <c r="M86" s="166"/>
      <c r="N86" s="166"/>
      <c r="O86" s="166"/>
      <c r="P86" s="166"/>
      <c r="Q86" s="196"/>
      <c r="R86" s="196"/>
      <c r="S86" s="194"/>
      <c r="T86" s="194"/>
      <c r="U86" s="194"/>
      <c r="V86" s="194"/>
      <c r="W86" s="194"/>
      <c r="X86" s="194"/>
      <c r="Y86" s="194"/>
      <c r="Z86" s="194"/>
      <c r="AA86" s="194"/>
      <c r="AB86" s="194"/>
      <c r="AC86" s="194"/>
      <c r="AD86" s="194"/>
    </row>
    <row r="87" spans="1:30" hidden="1" x14ac:dyDescent="0.3">
      <c r="A87" s="197"/>
      <c r="B87" s="108"/>
      <c r="C87" s="108"/>
      <c r="D87" s="165">
        <f>+D64+D66+D68+D70+D72+D74+D76+D78+D80+D82</f>
        <v>0</v>
      </c>
      <c r="E87" s="165">
        <f t="shared" ref="E87:O87" si="18">+E64+E66+E68+E70+E72+E74+E76+E78+E80+E82</f>
        <v>2.3199999999999998E-2</v>
      </c>
      <c r="F87" s="165">
        <f t="shared" si="18"/>
        <v>1.5999999999999997E-2</v>
      </c>
      <c r="G87" s="165">
        <f t="shared" si="18"/>
        <v>2.4999999999999998E-2</v>
      </c>
      <c r="H87" s="165">
        <f t="shared" si="18"/>
        <v>2.06E-2</v>
      </c>
      <c r="I87" s="165">
        <f t="shared" si="18"/>
        <v>2.0399999999999998E-2</v>
      </c>
      <c r="J87" s="165">
        <f t="shared" si="18"/>
        <v>1.9400000000000001E-2</v>
      </c>
      <c r="K87" s="165">
        <f t="shared" si="18"/>
        <v>1.7399999999999999E-2</v>
      </c>
      <c r="L87" s="165">
        <f t="shared" si="18"/>
        <v>1.6400000000000001E-2</v>
      </c>
      <c r="M87" s="165">
        <f t="shared" si="18"/>
        <v>2.0400000000000001E-2</v>
      </c>
      <c r="N87" s="165">
        <f t="shared" si="18"/>
        <v>1.46E-2</v>
      </c>
      <c r="O87" s="165">
        <f t="shared" si="18"/>
        <v>6.6000000000000008E-3</v>
      </c>
      <c r="P87" s="165">
        <f>SUM(D87:O87)</f>
        <v>0.19999999999999998</v>
      </c>
      <c r="Q87" s="197"/>
      <c r="R87" s="197"/>
      <c r="S87" s="194"/>
      <c r="T87" s="194"/>
      <c r="U87" s="194"/>
      <c r="V87" s="194"/>
      <c r="W87" s="194"/>
      <c r="X87" s="194"/>
      <c r="Y87" s="194"/>
      <c r="Z87" s="194"/>
      <c r="AA87" s="194"/>
      <c r="AB87" s="194"/>
      <c r="AC87" s="194"/>
      <c r="AD87" s="194"/>
    </row>
    <row r="88" spans="1:30" hidden="1" x14ac:dyDescent="0.3">
      <c r="A88" s="197"/>
      <c r="B88" s="108"/>
      <c r="C88" s="164" t="s">
        <v>62</v>
      </c>
      <c r="D88" s="163">
        <f t="shared" ref="D88:O88" si="19">D87*$W$17/$B$34</f>
        <v>0</v>
      </c>
      <c r="E88" s="163">
        <f t="shared" si="19"/>
        <v>0.10439999999999999</v>
      </c>
      <c r="F88" s="163">
        <f t="shared" si="19"/>
        <v>7.1999999999999981E-2</v>
      </c>
      <c r="G88" s="163">
        <f t="shared" si="19"/>
        <v>0.11249999999999999</v>
      </c>
      <c r="H88" s="163">
        <f t="shared" si="19"/>
        <v>9.2700000000000005E-2</v>
      </c>
      <c r="I88" s="163">
        <f t="shared" si="19"/>
        <v>9.1799999999999979E-2</v>
      </c>
      <c r="J88" s="163">
        <f t="shared" si="19"/>
        <v>8.7299999999999989E-2</v>
      </c>
      <c r="K88" s="163">
        <f t="shared" si="19"/>
        <v>7.8299999999999995E-2</v>
      </c>
      <c r="L88" s="163">
        <f t="shared" si="19"/>
        <v>7.3800000000000004E-2</v>
      </c>
      <c r="M88" s="163">
        <f t="shared" si="19"/>
        <v>9.1800000000000007E-2</v>
      </c>
      <c r="N88" s="163">
        <f t="shared" si="19"/>
        <v>6.5699999999999995E-2</v>
      </c>
      <c r="O88" s="163">
        <f t="shared" si="19"/>
        <v>2.9700000000000004E-2</v>
      </c>
      <c r="P88" s="162">
        <f>SUM(D88:O88)</f>
        <v>0.89999999999999991</v>
      </c>
      <c r="Q88" s="197"/>
      <c r="R88" s="197"/>
      <c r="S88" s="194"/>
      <c r="T88" s="194"/>
      <c r="U88" s="194"/>
      <c r="V88" s="194"/>
      <c r="W88" s="194"/>
      <c r="X88" s="194"/>
      <c r="Y88" s="194"/>
      <c r="Z88" s="194"/>
      <c r="AA88" s="194"/>
      <c r="AB88" s="194"/>
      <c r="AC88" s="194"/>
      <c r="AD88" s="194"/>
    </row>
    <row r="89" spans="1:30" hidden="1" x14ac:dyDescent="0.3">
      <c r="A89" s="194"/>
      <c r="Q89" s="194"/>
      <c r="R89" s="194"/>
      <c r="S89" s="194"/>
      <c r="T89" s="194"/>
      <c r="U89" s="194"/>
      <c r="V89" s="194"/>
      <c r="W89" s="194"/>
      <c r="X89" s="194"/>
      <c r="Y89" s="194"/>
      <c r="Z89" s="194"/>
      <c r="AA89" s="194"/>
      <c r="AB89" s="194"/>
      <c r="AC89" s="194"/>
      <c r="AD89" s="194"/>
    </row>
    <row r="90" spans="1:30" hidden="1" x14ac:dyDescent="0.3">
      <c r="A90" s="194"/>
      <c r="Q90" s="194"/>
      <c r="R90" s="194"/>
      <c r="S90" s="194"/>
      <c r="T90" s="194"/>
      <c r="U90" s="194"/>
      <c r="V90" s="194"/>
      <c r="W90" s="194"/>
      <c r="X90" s="194"/>
      <c r="Y90" s="194"/>
      <c r="Z90" s="194"/>
      <c r="AA90" s="194"/>
      <c r="AB90" s="194"/>
      <c r="AC90" s="194"/>
      <c r="AD90" s="194"/>
    </row>
    <row r="91" spans="1:30" hidden="1" x14ac:dyDescent="0.3">
      <c r="A91" s="194"/>
      <c r="Q91" s="194"/>
      <c r="R91" s="194"/>
      <c r="S91" s="194"/>
      <c r="T91" s="194"/>
      <c r="U91" s="194"/>
      <c r="V91" s="194"/>
      <c r="W91" s="194"/>
      <c r="X91" s="194"/>
      <c r="Y91" s="194"/>
      <c r="Z91" s="194"/>
      <c r="AA91" s="194"/>
      <c r="AB91" s="194"/>
      <c r="AC91" s="194"/>
      <c r="AD91" s="194"/>
    </row>
    <row r="92" spans="1:30" hidden="1" x14ac:dyDescent="0.3">
      <c r="A92" s="194"/>
      <c r="Q92" s="194"/>
      <c r="R92" s="194"/>
      <c r="S92" s="194"/>
      <c r="T92" s="194"/>
      <c r="U92" s="194"/>
      <c r="V92" s="194"/>
      <c r="W92" s="194"/>
      <c r="X92" s="194"/>
      <c r="Y92" s="194"/>
      <c r="Z92" s="194"/>
      <c r="AA92" s="194"/>
      <c r="AB92" s="194"/>
      <c r="AC92" s="194"/>
      <c r="AD92" s="194"/>
    </row>
    <row r="93" spans="1:30" hidden="1" x14ac:dyDescent="0.3">
      <c r="A93" s="194"/>
      <c r="Q93" s="194"/>
      <c r="R93" s="194"/>
      <c r="S93" s="194"/>
      <c r="T93" s="194"/>
      <c r="U93" s="194"/>
      <c r="V93" s="194"/>
      <c r="W93" s="194"/>
      <c r="X93" s="194"/>
      <c r="Y93" s="194"/>
      <c r="Z93" s="194"/>
      <c r="AA93" s="194"/>
      <c r="AB93" s="194"/>
      <c r="AC93" s="194"/>
      <c r="AD93" s="194"/>
    </row>
    <row r="94" spans="1:30" hidden="1" x14ac:dyDescent="0.3">
      <c r="A94" s="194"/>
      <c r="Q94" s="194"/>
      <c r="R94" s="194"/>
      <c r="S94" s="194"/>
      <c r="T94" s="194"/>
      <c r="U94" s="194"/>
      <c r="V94" s="194"/>
      <c r="W94" s="194"/>
      <c r="X94" s="194"/>
      <c r="Y94" s="194"/>
      <c r="Z94" s="194"/>
      <c r="AA94" s="194"/>
      <c r="AB94" s="194"/>
      <c r="AC94" s="194"/>
      <c r="AD94" s="194"/>
    </row>
    <row r="95" spans="1:30" hidden="1"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123">
    <mergeCell ref="A80:A81"/>
    <mergeCell ref="B80:B81"/>
    <mergeCell ref="A82:A83"/>
    <mergeCell ref="B82:B83"/>
    <mergeCell ref="A74:A75"/>
    <mergeCell ref="B74:B75"/>
    <mergeCell ref="A76:A77"/>
    <mergeCell ref="B76:B77"/>
    <mergeCell ref="A78:A79"/>
    <mergeCell ref="B78:B79"/>
    <mergeCell ref="A68:A69"/>
    <mergeCell ref="B68:B69"/>
    <mergeCell ref="A70:A71"/>
    <mergeCell ref="B70:B71"/>
    <mergeCell ref="A72:A73"/>
    <mergeCell ref="B72:B73"/>
    <mergeCell ref="A62:A63"/>
    <mergeCell ref="B62:B63"/>
    <mergeCell ref="C62:P62"/>
    <mergeCell ref="A64:A65"/>
    <mergeCell ref="B64:B65"/>
    <mergeCell ref="A66:A67"/>
    <mergeCell ref="B66:B67"/>
    <mergeCell ref="B46:B47"/>
    <mergeCell ref="B48:B49"/>
    <mergeCell ref="B50:B51"/>
    <mergeCell ref="B52:B53"/>
    <mergeCell ref="B54:B55"/>
    <mergeCell ref="B44:B45"/>
    <mergeCell ref="A44:A45"/>
    <mergeCell ref="Q44:AD45"/>
    <mergeCell ref="A40:A41"/>
    <mergeCell ref="Q40:AD41"/>
    <mergeCell ref="A42:A43"/>
    <mergeCell ref="Q42:AD43"/>
    <mergeCell ref="B40:B41"/>
    <mergeCell ref="B42:B43"/>
    <mergeCell ref="A46:A47"/>
    <mergeCell ref="Q46:AD47"/>
    <mergeCell ref="A48:A49"/>
    <mergeCell ref="Q48:AD49"/>
    <mergeCell ref="A36:A37"/>
    <mergeCell ref="B36:B37"/>
    <mergeCell ref="C36:P36"/>
    <mergeCell ref="Q36:AD36"/>
    <mergeCell ref="Q37:AD37"/>
    <mergeCell ref="A38:A39"/>
    <mergeCell ref="Q38:AD39"/>
    <mergeCell ref="B38:B39"/>
    <mergeCell ref="W33:Z33"/>
    <mergeCell ref="AA33:AD33"/>
    <mergeCell ref="A34:A35"/>
    <mergeCell ref="B34:B35"/>
    <mergeCell ref="Q34:S35"/>
    <mergeCell ref="T34:V35"/>
    <mergeCell ref="W34:Z35"/>
    <mergeCell ref="AA34:AD35"/>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M9:N9"/>
    <mergeCell ref="O9:P9"/>
    <mergeCell ref="A11:B13"/>
    <mergeCell ref="C11:AD13"/>
    <mergeCell ref="A7:B9"/>
    <mergeCell ref="C7:C9"/>
    <mergeCell ref="D7:H9"/>
    <mergeCell ref="A1:A4"/>
    <mergeCell ref="B1:AA1"/>
    <mergeCell ref="AB1:AD1"/>
    <mergeCell ref="B2:AA2"/>
    <mergeCell ref="AB2:AD2"/>
    <mergeCell ref="B3:AA4"/>
    <mergeCell ref="AB3:AD3"/>
    <mergeCell ref="AB4:AD4"/>
    <mergeCell ref="I7:J9"/>
    <mergeCell ref="K7:L9"/>
    <mergeCell ref="M7:N7"/>
    <mergeCell ref="O7:P7"/>
    <mergeCell ref="M8:N8"/>
    <mergeCell ref="O8:P8"/>
    <mergeCell ref="A56:A57"/>
    <mergeCell ref="Q56:AD57"/>
    <mergeCell ref="B56:B57"/>
    <mergeCell ref="A50:A51"/>
    <mergeCell ref="Q50:AD51"/>
    <mergeCell ref="A52:A53"/>
    <mergeCell ref="Q52:AD53"/>
    <mergeCell ref="A54:A55"/>
    <mergeCell ref="Q54:AD55"/>
  </mergeCells>
  <phoneticPr fontId="69" type="noConversion"/>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9" xr:uid="{00000000-0002-0000-0200-000002000000}">
      <formula1>2000</formula1>
    </dataValidation>
  </dataValidations>
  <printOptions horizontalCentered="1"/>
  <pageMargins left="0.39370078740157483" right="0.39370078740157483" top="0.39370078740157483" bottom="0.39370078740157483" header="0" footer="0"/>
  <pageSetup paperSize="9" scale="1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303"/>
  <sheetViews>
    <sheetView showGridLines="0" view="pageBreakPreview" topLeftCell="G43" zoomScale="60" zoomScaleNormal="60" workbookViewId="0">
      <selection activeCell="G44" sqref="A44:XFD45"/>
    </sheetView>
  </sheetViews>
  <sheetFormatPr baseColWidth="10" defaultColWidth="10.6640625" defaultRowHeight="14.4" x14ac:dyDescent="0.3"/>
  <cols>
    <col min="1" max="1" width="38.44140625" style="50" customWidth="1"/>
    <col min="2" max="2" width="15.44140625" style="50" customWidth="1"/>
    <col min="3" max="3" width="20.6640625" style="50" customWidth="1"/>
    <col min="4" max="4" width="28" style="50" customWidth="1"/>
    <col min="5" max="14" width="20.6640625" style="50" customWidth="1"/>
    <col min="15" max="15" width="18.44140625" style="50" customWidth="1"/>
    <col min="16" max="16" width="18.109375" style="50" customWidth="1"/>
    <col min="17" max="17" width="21.33203125" style="50" customWidth="1"/>
    <col min="18" max="18" width="22.44140625" style="50" customWidth="1"/>
    <col min="19" max="21" width="18.109375" style="50" customWidth="1"/>
    <col min="22" max="22" width="44.33203125" style="50" customWidth="1"/>
    <col min="23" max="24" width="20.6640625" style="50" customWidth="1"/>
    <col min="25" max="25" width="20.44140625" style="50" customWidth="1"/>
    <col min="2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769" t="s">
        <v>4</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517" t="s">
        <v>5</v>
      </c>
      <c r="AC3" s="518"/>
      <c r="AD3" s="519"/>
    </row>
    <row r="4" spans="1:33" ht="21.75" customHeight="1" thickBot="1" x14ac:dyDescent="0.35">
      <c r="A4" s="510"/>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50.25"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22</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775" t="s">
        <v>134</v>
      </c>
      <c r="D17" s="776"/>
      <c r="E17" s="776"/>
      <c r="F17" s="776"/>
      <c r="G17" s="776"/>
      <c r="H17" s="776"/>
      <c r="I17" s="776"/>
      <c r="J17" s="776"/>
      <c r="K17" s="776"/>
      <c r="L17" s="776"/>
      <c r="M17" s="776"/>
      <c r="N17" s="776"/>
      <c r="O17" s="776"/>
      <c r="P17" s="776"/>
      <c r="Q17" s="777"/>
      <c r="R17" s="484" t="s">
        <v>25</v>
      </c>
      <c r="S17" s="488"/>
      <c r="T17" s="488"/>
      <c r="U17" s="488"/>
      <c r="V17" s="485"/>
      <c r="W17" s="804">
        <v>1</v>
      </c>
      <c r="X17" s="805"/>
      <c r="Y17" s="488" t="s">
        <v>26</v>
      </c>
      <c r="Z17" s="488"/>
      <c r="AA17" s="488"/>
      <c r="AB17" s="485"/>
      <c r="AC17" s="451">
        <v>0.32</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282">
        <v>1427180577</v>
      </c>
      <c r="R22" s="283">
        <v>58442660</v>
      </c>
      <c r="S22" s="283">
        <v>52574895</v>
      </c>
      <c r="T22" s="283">
        <v>74667412</v>
      </c>
      <c r="U22" s="283">
        <v>0</v>
      </c>
      <c r="V22" s="283">
        <v>813750</v>
      </c>
      <c r="W22" s="283">
        <v>0</v>
      </c>
      <c r="X22" s="331">
        <v>2700000</v>
      </c>
      <c r="Y22" s="331">
        <v>30394704</v>
      </c>
      <c r="Z22" s="331">
        <v>28362495</v>
      </c>
      <c r="AA22" s="331">
        <v>0</v>
      </c>
      <c r="AB22" s="331">
        <v>0</v>
      </c>
      <c r="AC22" s="284">
        <f>SUM(Q22:AB22)</f>
        <v>1675136493</v>
      </c>
      <c r="AD22" s="285"/>
      <c r="AE22" s="3"/>
      <c r="AF22" s="3"/>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343">
        <v>876050391</v>
      </c>
      <c r="R23" s="291">
        <f>1234409287-Q23</f>
        <v>358358896</v>
      </c>
      <c r="S23" s="291">
        <f>1390423801-Q23-R23</f>
        <v>156014514</v>
      </c>
      <c r="T23" s="291">
        <f>1373182847-Q23-R23-S23</f>
        <v>-17240954</v>
      </c>
      <c r="U23" s="291">
        <f>1434686942-Q23-R23-S23-T23</f>
        <v>61504095</v>
      </c>
      <c r="V23" s="291">
        <f>1507589637-Q23-R23-S23-T23-U23</f>
        <v>72902695</v>
      </c>
      <c r="W23" s="291">
        <f>1513778444-Q23-R23-S23-T23-U23-V23</f>
        <v>6188807</v>
      </c>
      <c r="X23" s="332">
        <f>1514316603-Q23-R23-S23-T23-U23-V23-W23</f>
        <v>538159</v>
      </c>
      <c r="Y23" s="332">
        <f>1514956343-Q23-R23-S23-T23-U23-V23-W23-X23</f>
        <v>639740</v>
      </c>
      <c r="Z23" s="332"/>
      <c r="AA23" s="332"/>
      <c r="AB23" s="332"/>
      <c r="AC23" s="280">
        <f>SUM(Q23:AB23)</f>
        <v>1514956343</v>
      </c>
      <c r="AD23" s="344">
        <f>AC23/AC22</f>
        <v>0.90437785179335828</v>
      </c>
      <c r="AE23" s="3"/>
      <c r="AF23" s="3"/>
    </row>
    <row r="24" spans="1:41" ht="32.1" customHeight="1" x14ac:dyDescent="0.3">
      <c r="A24" s="439" t="s">
        <v>45</v>
      </c>
      <c r="B24" s="440"/>
      <c r="C24" s="287"/>
      <c r="D24" s="288">
        <f>36314785+5265896</f>
        <v>41580681</v>
      </c>
      <c r="E24" s="288">
        <v>5691209</v>
      </c>
      <c r="F24" s="288">
        <f>8489602-2</f>
        <v>8489600</v>
      </c>
      <c r="G24" s="345">
        <f>-5321667</f>
        <v>-5321667</v>
      </c>
      <c r="H24" s="288"/>
      <c r="I24" s="288">
        <v>-3167933</v>
      </c>
      <c r="J24" s="288"/>
      <c r="K24" s="288"/>
      <c r="L24" s="288"/>
      <c r="M24" s="288"/>
      <c r="N24" s="288"/>
      <c r="O24" s="291">
        <f>SUM(C24:N24)</f>
        <v>47271890</v>
      </c>
      <c r="P24" s="293"/>
      <c r="Q24" s="290">
        <f>72500+120000+125000+489716</f>
        <v>807216</v>
      </c>
      <c r="R24" s="291">
        <f>1850000+22418000+10300000+620000+14000000+4800000+72000+1161250+80000+250000+2332686+5677247</f>
        <v>63561183</v>
      </c>
      <c r="S24" s="346">
        <v>142387531.966667</v>
      </c>
      <c r="T24" s="346">
        <v>139532033.616667</v>
      </c>
      <c r="U24" s="346">
        <v>131653057.366667</v>
      </c>
      <c r="V24" s="346">
        <v>139532032.366667</v>
      </c>
      <c r="W24" s="347">
        <v>142482865.366667</v>
      </c>
      <c r="X24" s="348">
        <f>142032032.366667+34106344+6078941</f>
        <v>182217317.366667</v>
      </c>
      <c r="Y24" s="348">
        <f>140116455.366667+6078941</f>
        <v>146195396.366667</v>
      </c>
      <c r="Z24" s="348">
        <f>139532032.366667+6078941</f>
        <v>145610973.366667</v>
      </c>
      <c r="AA24" s="348">
        <f>139970865.366667+6078941</f>
        <v>146049806.366667</v>
      </c>
      <c r="AB24" s="348">
        <f>259845889.946667+29182250+6078940</f>
        <v>295107079.94666696</v>
      </c>
      <c r="AC24" s="288">
        <f>SUM(Q24:AB24)</f>
        <v>1675136493.0966702</v>
      </c>
      <c r="AD24" s="292"/>
      <c r="AE24" s="3"/>
      <c r="AF24" s="3"/>
    </row>
    <row r="25" spans="1:41" ht="32.1" customHeight="1" thickBot="1" x14ac:dyDescent="0.35">
      <c r="A25" s="398" t="s">
        <v>46</v>
      </c>
      <c r="B25" s="441"/>
      <c r="C25" s="297">
        <f>19805344</f>
        <v>19805344</v>
      </c>
      <c r="D25" s="298">
        <f>32731361-C25</f>
        <v>12926017</v>
      </c>
      <c r="E25" s="298">
        <f>37397847-C25-D25</f>
        <v>4666486</v>
      </c>
      <c r="F25" s="298">
        <f>37664400-C25-D25-E25</f>
        <v>266553</v>
      </c>
      <c r="G25" s="298">
        <f>41396914-C25-D25-E25-F25</f>
        <v>3732514</v>
      </c>
      <c r="H25" s="298">
        <f>42900003-C25-D25-E25-F25-G25</f>
        <v>1503089</v>
      </c>
      <c r="I25" s="298">
        <f>43201528-C25-D25-E25-F25-G25-H25</f>
        <v>301525</v>
      </c>
      <c r="J25" s="298">
        <f>43503053-C25-D25-E25-F25-G25-H25-I25</f>
        <v>301525</v>
      </c>
      <c r="K25" s="298">
        <f>43536822-C25-D25-E25-F25-G25-H25-I25-J25</f>
        <v>33769</v>
      </c>
      <c r="L25" s="298"/>
      <c r="M25" s="298"/>
      <c r="N25" s="298"/>
      <c r="O25" s="299">
        <f>SUM(C25:N25)</f>
        <v>43536822</v>
      </c>
      <c r="P25" s="300">
        <f>IFERROR(O25/(SUMIF(C25:N25,"&gt;0",C24:O24))," ")</f>
        <v>0.92098754672174099</v>
      </c>
      <c r="Q25" s="349">
        <f>575520</f>
        <v>575520</v>
      </c>
      <c r="R25" s="299">
        <f>52596949-Q25</f>
        <v>52021429</v>
      </c>
      <c r="S25" s="299">
        <f>151056444-Q25-R25</f>
        <v>98459495</v>
      </c>
      <c r="T25" s="299">
        <f>269839460-Q25-R25-S25</f>
        <v>118783016</v>
      </c>
      <c r="U25" s="299">
        <f>406304791-Q25-R25-S25-T25</f>
        <v>136465331</v>
      </c>
      <c r="V25" s="299">
        <f>534735508-Q25-R25-S25-T25-U25</f>
        <v>128430717</v>
      </c>
      <c r="W25" s="299">
        <f>668565590-Q25-R25-S25-T25-U25-V25</f>
        <v>133830082</v>
      </c>
      <c r="X25" s="299">
        <f>797944380-Q25-R25-S25-T25-U25-V25-W25</f>
        <v>129378790</v>
      </c>
      <c r="Y25" s="299">
        <f>942376820-Q25-R25-S25-T25-U25-V25-W25-X25</f>
        <v>144432440</v>
      </c>
      <c r="Z25" s="299"/>
      <c r="AA25" s="299"/>
      <c r="AB25" s="299"/>
      <c r="AC25" s="298">
        <f>SUM(Q25:AB25)</f>
        <v>942376820</v>
      </c>
      <c r="AD25" s="303">
        <f>AC25/AC24</f>
        <v>0.5625671841569847</v>
      </c>
      <c r="AE25" s="3"/>
      <c r="AF25" s="3"/>
    </row>
    <row r="26" spans="1:41" ht="32.1" customHeight="1" thickBot="1" x14ac:dyDescent="0.35">
      <c r="A26" s="248"/>
      <c r="B26" s="243"/>
      <c r="C26" s="305"/>
      <c r="D26" s="305"/>
      <c r="E26" s="305"/>
      <c r="F26" s="305"/>
      <c r="G26" s="305"/>
      <c r="H26" s="305"/>
      <c r="I26" s="305"/>
      <c r="J26" s="305"/>
      <c r="K26" s="305"/>
      <c r="L26" s="305"/>
      <c r="M26" s="305"/>
      <c r="N26" s="304"/>
      <c r="O26" s="305"/>
      <c r="P26" s="305"/>
      <c r="Q26" s="305"/>
      <c r="R26" s="305"/>
      <c r="S26" s="305"/>
      <c r="T26" s="305"/>
      <c r="U26" s="305"/>
      <c r="V26" s="305"/>
      <c r="W26" s="305"/>
      <c r="X26" s="305"/>
      <c r="Y26" s="305"/>
      <c r="Z26" s="305"/>
      <c r="AA26" s="305"/>
      <c r="AB26" s="305"/>
      <c r="AC26" s="249"/>
      <c r="AD26" s="263"/>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42" customHeight="1" thickBot="1" x14ac:dyDescent="0.35">
      <c r="A30" s="333" t="s">
        <v>134</v>
      </c>
      <c r="B30" s="778"/>
      <c r="C30" s="779"/>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x14ac:dyDescent="0.3">
      <c r="A31" s="769" t="s">
        <v>53</v>
      </c>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6"/>
    </row>
    <row r="32" spans="1:41" ht="23.1" customHeight="1" x14ac:dyDescent="0.3">
      <c r="A32" s="439" t="s">
        <v>54</v>
      </c>
      <c r="B32" s="429" t="s">
        <v>55</v>
      </c>
      <c r="C32" s="429" t="s">
        <v>49</v>
      </c>
      <c r="D32" s="429" t="s">
        <v>56</v>
      </c>
      <c r="E32" s="429"/>
      <c r="F32" s="429"/>
      <c r="G32" s="429"/>
      <c r="H32" s="429"/>
      <c r="I32" s="429"/>
      <c r="J32" s="429"/>
      <c r="K32" s="429"/>
      <c r="L32" s="429"/>
      <c r="M32" s="429"/>
      <c r="N32" s="429"/>
      <c r="O32" s="429"/>
      <c r="P32" s="429"/>
      <c r="Q32" s="429" t="s">
        <v>57</v>
      </c>
      <c r="R32" s="429"/>
      <c r="S32" s="429"/>
      <c r="T32" s="429"/>
      <c r="U32" s="429"/>
      <c r="V32" s="429"/>
      <c r="W32" s="429"/>
      <c r="X32" s="429"/>
      <c r="Y32" s="429"/>
      <c r="Z32" s="429"/>
      <c r="AA32" s="429"/>
      <c r="AB32" s="429"/>
      <c r="AC32" s="429"/>
      <c r="AD32" s="430"/>
      <c r="AG32" s="87"/>
      <c r="AH32" s="87"/>
      <c r="AI32" s="87"/>
      <c r="AJ32" s="87"/>
      <c r="AK32" s="87"/>
      <c r="AL32" s="87"/>
      <c r="AM32" s="87"/>
      <c r="AN32" s="87"/>
      <c r="AO32" s="87"/>
    </row>
    <row r="33" spans="1:41" ht="27" customHeight="1" x14ac:dyDescent="0.3">
      <c r="A33" s="439"/>
      <c r="B33" s="429"/>
      <c r="C33" s="467"/>
      <c r="D33" s="306" t="s">
        <v>30</v>
      </c>
      <c r="E33" s="306" t="s">
        <v>31</v>
      </c>
      <c r="F33" s="306" t="s">
        <v>32</v>
      </c>
      <c r="G33" s="306" t="s">
        <v>33</v>
      </c>
      <c r="H33" s="306" t="s">
        <v>34</v>
      </c>
      <c r="I33" s="306" t="s">
        <v>35</v>
      </c>
      <c r="J33" s="306" t="s">
        <v>36</v>
      </c>
      <c r="K33" s="306" t="s">
        <v>37</v>
      </c>
      <c r="L33" s="306" t="s">
        <v>8</v>
      </c>
      <c r="M33" s="306" t="s">
        <v>38</v>
      </c>
      <c r="N33" s="306" t="s">
        <v>39</v>
      </c>
      <c r="O33" s="306" t="s">
        <v>40</v>
      </c>
      <c r="P33" s="306" t="s">
        <v>41</v>
      </c>
      <c r="Q33" s="429" t="s">
        <v>58</v>
      </c>
      <c r="R33" s="429"/>
      <c r="S33" s="429"/>
      <c r="T33" s="429" t="s">
        <v>59</v>
      </c>
      <c r="U33" s="429"/>
      <c r="V33" s="429"/>
      <c r="W33" s="431" t="s">
        <v>60</v>
      </c>
      <c r="X33" s="432"/>
      <c r="Y33" s="432"/>
      <c r="Z33" s="433"/>
      <c r="AA33" s="431" t="s">
        <v>61</v>
      </c>
      <c r="AB33" s="432"/>
      <c r="AC33" s="432"/>
      <c r="AD33" s="434"/>
      <c r="AG33" s="87"/>
      <c r="AH33" s="87"/>
      <c r="AI33" s="87"/>
      <c r="AJ33" s="87"/>
      <c r="AK33" s="87"/>
      <c r="AL33" s="87"/>
      <c r="AM33" s="87"/>
      <c r="AN33" s="87"/>
      <c r="AO33" s="87"/>
    </row>
    <row r="34" spans="1:41" ht="236.4" customHeight="1" x14ac:dyDescent="0.3">
      <c r="A34" s="414" t="s">
        <v>134</v>
      </c>
      <c r="B34" s="416">
        <v>0.32</v>
      </c>
      <c r="C34" s="312" t="s">
        <v>62</v>
      </c>
      <c r="D34" s="313">
        <f>D75</f>
        <v>7.625000000000004E-2</v>
      </c>
      <c r="E34" s="313">
        <f t="shared" ref="E34:O34" si="0">E75</f>
        <v>9.0625000000000039E-2</v>
      </c>
      <c r="F34" s="313">
        <f t="shared" si="0"/>
        <v>9.0625000000000039E-2</v>
      </c>
      <c r="G34" s="313">
        <f t="shared" si="0"/>
        <v>9.0625000000000039E-2</v>
      </c>
      <c r="H34" s="313">
        <f t="shared" si="0"/>
        <v>9.0625000000000039E-2</v>
      </c>
      <c r="I34" s="313">
        <f t="shared" si="0"/>
        <v>8.062500000000003E-2</v>
      </c>
      <c r="J34" s="313">
        <f t="shared" si="0"/>
        <v>8.062500000000003E-2</v>
      </c>
      <c r="K34" s="313">
        <f t="shared" si="0"/>
        <v>8.062500000000003E-2</v>
      </c>
      <c r="L34" s="313">
        <f t="shared" si="0"/>
        <v>8.062500000000003E-2</v>
      </c>
      <c r="M34" s="313">
        <f t="shared" si="0"/>
        <v>8.062500000000003E-2</v>
      </c>
      <c r="N34" s="313">
        <f t="shared" si="0"/>
        <v>8.062500000000003E-2</v>
      </c>
      <c r="O34" s="313">
        <f t="shared" si="0"/>
        <v>7.7500000000000027E-2</v>
      </c>
      <c r="P34" s="313">
        <f>SUM(D34:O34)</f>
        <v>1.0000000000000007</v>
      </c>
      <c r="Q34" s="814" t="s">
        <v>135</v>
      </c>
      <c r="R34" s="815"/>
      <c r="S34" s="815"/>
      <c r="T34" s="815" t="s">
        <v>136</v>
      </c>
      <c r="U34" s="815"/>
      <c r="V34" s="815"/>
      <c r="W34" s="815" t="s">
        <v>137</v>
      </c>
      <c r="X34" s="815"/>
      <c r="Y34" s="815"/>
      <c r="Z34" s="815"/>
      <c r="AA34" s="815" t="s">
        <v>138</v>
      </c>
      <c r="AB34" s="815"/>
      <c r="AC34" s="815"/>
      <c r="AD34" s="815"/>
      <c r="AG34" s="87"/>
      <c r="AH34" s="87"/>
      <c r="AI34" s="87"/>
      <c r="AJ34" s="87"/>
      <c r="AK34" s="87"/>
      <c r="AL34" s="87"/>
      <c r="AM34" s="87"/>
      <c r="AN34" s="87"/>
      <c r="AO34" s="87"/>
    </row>
    <row r="35" spans="1:41" ht="236.4" customHeight="1" thickBot="1" x14ac:dyDescent="0.35">
      <c r="A35" s="415"/>
      <c r="B35" s="417"/>
      <c r="C35" s="315" t="s">
        <v>63</v>
      </c>
      <c r="D35" s="316">
        <f>D72</f>
        <v>7.5000000000000039E-2</v>
      </c>
      <c r="E35" s="316">
        <f t="shared" ref="E35:O35" si="1">E72</f>
        <v>8.6250000000000035E-2</v>
      </c>
      <c r="F35" s="316">
        <f t="shared" si="1"/>
        <v>9.0625000000000039E-2</v>
      </c>
      <c r="G35" s="316">
        <f t="shared" si="1"/>
        <v>9.3125000000000027E-2</v>
      </c>
      <c r="H35" s="316">
        <f t="shared" si="1"/>
        <v>9.3125000000000027E-2</v>
      </c>
      <c r="I35" s="316">
        <f t="shared" si="1"/>
        <v>8.1250000000000044E-2</v>
      </c>
      <c r="J35" s="316">
        <f t="shared" si="1"/>
        <v>8.062500000000003E-2</v>
      </c>
      <c r="K35" s="316">
        <f t="shared" si="1"/>
        <v>8.062500000000003E-2</v>
      </c>
      <c r="L35" s="316">
        <f t="shared" si="1"/>
        <v>8.062500000000003E-2</v>
      </c>
      <c r="M35" s="316">
        <f t="shared" si="1"/>
        <v>0</v>
      </c>
      <c r="N35" s="316">
        <f t="shared" si="1"/>
        <v>0</v>
      </c>
      <c r="O35" s="316">
        <f t="shared" si="1"/>
        <v>0</v>
      </c>
      <c r="P35" s="316">
        <f>SUM(D35:O35)</f>
        <v>0.76125000000000032</v>
      </c>
      <c r="Q35" s="815"/>
      <c r="R35" s="815"/>
      <c r="S35" s="815"/>
      <c r="T35" s="815"/>
      <c r="U35" s="815"/>
      <c r="V35" s="815"/>
      <c r="W35" s="815"/>
      <c r="X35" s="815"/>
      <c r="Y35" s="815"/>
      <c r="Z35" s="815"/>
      <c r="AA35" s="815"/>
      <c r="AB35" s="815"/>
      <c r="AC35" s="815"/>
      <c r="AD35" s="815"/>
      <c r="AE35" s="49"/>
      <c r="AG35" s="87"/>
      <c r="AH35" s="87"/>
      <c r="AI35" s="87"/>
      <c r="AJ35" s="87"/>
      <c r="AK35" s="87"/>
      <c r="AL35" s="87"/>
      <c r="AM35" s="87"/>
      <c r="AN35" s="87"/>
      <c r="AO35" s="87"/>
    </row>
    <row r="36" spans="1:41" ht="26.1" customHeight="1" x14ac:dyDescent="0.3">
      <c r="A36" s="780" t="s">
        <v>64</v>
      </c>
      <c r="B36" s="782" t="s">
        <v>65</v>
      </c>
      <c r="C36" s="397" t="s">
        <v>66</v>
      </c>
      <c r="D36" s="401"/>
      <c r="E36" s="401"/>
      <c r="F36" s="401"/>
      <c r="G36" s="401"/>
      <c r="H36" s="401"/>
      <c r="I36" s="401"/>
      <c r="J36" s="401"/>
      <c r="K36" s="401"/>
      <c r="L36" s="401"/>
      <c r="M36" s="401"/>
      <c r="N36" s="401"/>
      <c r="O36" s="401"/>
      <c r="P36" s="402"/>
      <c r="Q36" s="432" t="s">
        <v>67</v>
      </c>
      <c r="R36" s="432"/>
      <c r="S36" s="432"/>
      <c r="T36" s="432"/>
      <c r="U36" s="432"/>
      <c r="V36" s="432"/>
      <c r="W36" s="432"/>
      <c r="X36" s="432"/>
      <c r="Y36" s="432"/>
      <c r="Z36" s="432"/>
      <c r="AA36" s="432"/>
      <c r="AB36" s="432"/>
      <c r="AC36" s="432"/>
      <c r="AD36" s="434"/>
      <c r="AG36" s="87"/>
      <c r="AH36" s="87"/>
      <c r="AI36" s="87"/>
      <c r="AJ36" s="87"/>
      <c r="AK36" s="87"/>
      <c r="AL36" s="87"/>
      <c r="AM36" s="87"/>
      <c r="AN36" s="87"/>
      <c r="AO36" s="87"/>
    </row>
    <row r="37" spans="1:41" ht="50.25" customHeight="1" thickBot="1" x14ac:dyDescent="0.35">
      <c r="A37" s="781"/>
      <c r="B37" s="783"/>
      <c r="C37" s="295" t="s">
        <v>68</v>
      </c>
      <c r="D37" s="318" t="s">
        <v>69</v>
      </c>
      <c r="E37" s="318" t="s">
        <v>70</v>
      </c>
      <c r="F37" s="318" t="s">
        <v>71</v>
      </c>
      <c r="G37" s="318" t="s">
        <v>72</v>
      </c>
      <c r="H37" s="318" t="s">
        <v>73</v>
      </c>
      <c r="I37" s="318" t="s">
        <v>74</v>
      </c>
      <c r="J37" s="318" t="s">
        <v>75</v>
      </c>
      <c r="K37" s="318" t="s">
        <v>76</v>
      </c>
      <c r="L37" s="318" t="s">
        <v>77</v>
      </c>
      <c r="M37" s="318" t="s">
        <v>78</v>
      </c>
      <c r="N37" s="318" t="s">
        <v>79</v>
      </c>
      <c r="O37" s="318" t="s">
        <v>80</v>
      </c>
      <c r="P37" s="319" t="s">
        <v>81</v>
      </c>
      <c r="Q37" s="407" t="s">
        <v>82</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200.4" customHeight="1" x14ac:dyDescent="0.3">
      <c r="A38" s="806" t="s">
        <v>139</v>
      </c>
      <c r="B38" s="813">
        <v>0.1</v>
      </c>
      <c r="C38" s="335" t="s">
        <v>62</v>
      </c>
      <c r="D38" s="350">
        <v>0.08</v>
      </c>
      <c r="E38" s="350">
        <v>0.09</v>
      </c>
      <c r="F38" s="350">
        <v>0.09</v>
      </c>
      <c r="G38" s="350">
        <v>0.09</v>
      </c>
      <c r="H38" s="350">
        <v>0.09</v>
      </c>
      <c r="I38" s="350">
        <v>0.08</v>
      </c>
      <c r="J38" s="350">
        <v>0.08</v>
      </c>
      <c r="K38" s="350">
        <v>0.08</v>
      </c>
      <c r="L38" s="350">
        <v>0.08</v>
      </c>
      <c r="M38" s="350">
        <v>0.08</v>
      </c>
      <c r="N38" s="350">
        <v>0.08</v>
      </c>
      <c r="O38" s="350">
        <v>0.08</v>
      </c>
      <c r="P38" s="321">
        <f t="shared" ref="P38:P45" si="2">SUM(D38:O38)</f>
        <v>0.99999999999999967</v>
      </c>
      <c r="Q38" s="807" t="s">
        <v>140</v>
      </c>
      <c r="R38" s="808"/>
      <c r="S38" s="808"/>
      <c r="T38" s="808"/>
      <c r="U38" s="808"/>
      <c r="V38" s="808"/>
      <c r="W38" s="808"/>
      <c r="X38" s="808"/>
      <c r="Y38" s="808"/>
      <c r="Z38" s="808"/>
      <c r="AA38" s="808"/>
      <c r="AB38" s="808"/>
      <c r="AC38" s="808"/>
      <c r="AD38" s="809"/>
      <c r="AE38" s="97"/>
      <c r="AG38" s="98"/>
      <c r="AH38" s="98"/>
      <c r="AI38" s="98"/>
      <c r="AJ38" s="98"/>
      <c r="AK38" s="98"/>
      <c r="AL38" s="98"/>
      <c r="AM38" s="98"/>
      <c r="AN38" s="98"/>
      <c r="AO38" s="98"/>
    </row>
    <row r="39" spans="1:41" ht="200.4" customHeight="1" x14ac:dyDescent="0.3">
      <c r="A39" s="792"/>
      <c r="B39" s="813"/>
      <c r="C39" s="336" t="s">
        <v>63</v>
      </c>
      <c r="D39" s="323">
        <v>0.08</v>
      </c>
      <c r="E39" s="323">
        <v>0.09</v>
      </c>
      <c r="F39" s="323">
        <v>0.09</v>
      </c>
      <c r="G39" s="323">
        <v>0.09</v>
      </c>
      <c r="H39" s="323">
        <v>0.09</v>
      </c>
      <c r="I39" s="323">
        <v>0.08</v>
      </c>
      <c r="J39" s="323">
        <v>0.08</v>
      </c>
      <c r="K39" s="323">
        <v>0.08</v>
      </c>
      <c r="L39" s="323">
        <v>0.08</v>
      </c>
      <c r="M39" s="323"/>
      <c r="N39" s="323"/>
      <c r="O39" s="323"/>
      <c r="P39" s="324">
        <f t="shared" si="2"/>
        <v>0.75999999999999979</v>
      </c>
      <c r="Q39" s="810"/>
      <c r="R39" s="811"/>
      <c r="S39" s="811"/>
      <c r="T39" s="811"/>
      <c r="U39" s="811"/>
      <c r="V39" s="811"/>
      <c r="W39" s="811"/>
      <c r="X39" s="811"/>
      <c r="Y39" s="811"/>
      <c r="Z39" s="811"/>
      <c r="AA39" s="811"/>
      <c r="AB39" s="811"/>
      <c r="AC39" s="811"/>
      <c r="AD39" s="812"/>
      <c r="AE39" s="97"/>
    </row>
    <row r="40" spans="1:41" ht="69.599999999999994" customHeight="1" x14ac:dyDescent="0.3">
      <c r="A40" s="792" t="s">
        <v>141</v>
      </c>
      <c r="B40" s="761">
        <v>0.1</v>
      </c>
      <c r="C40" s="338" t="s">
        <v>62</v>
      </c>
      <c r="D40" s="311">
        <v>0.08</v>
      </c>
      <c r="E40" s="311">
        <v>0.09</v>
      </c>
      <c r="F40" s="311">
        <v>0.09</v>
      </c>
      <c r="G40" s="311">
        <v>0.09</v>
      </c>
      <c r="H40" s="311">
        <v>0.09</v>
      </c>
      <c r="I40" s="311">
        <v>0.08</v>
      </c>
      <c r="J40" s="311">
        <v>0.08</v>
      </c>
      <c r="K40" s="311">
        <v>0.08</v>
      </c>
      <c r="L40" s="311">
        <v>0.08</v>
      </c>
      <c r="M40" s="311">
        <v>0.08</v>
      </c>
      <c r="N40" s="311">
        <v>0.08</v>
      </c>
      <c r="O40" s="311">
        <v>0.08</v>
      </c>
      <c r="P40" s="324">
        <f t="shared" si="2"/>
        <v>0.99999999999999967</v>
      </c>
      <c r="Q40" s="816" t="s">
        <v>142</v>
      </c>
      <c r="R40" s="817"/>
      <c r="S40" s="817"/>
      <c r="T40" s="817"/>
      <c r="U40" s="817"/>
      <c r="V40" s="817"/>
      <c r="W40" s="817"/>
      <c r="X40" s="817"/>
      <c r="Y40" s="817"/>
      <c r="Z40" s="817"/>
      <c r="AA40" s="817"/>
      <c r="AB40" s="817"/>
      <c r="AC40" s="817"/>
      <c r="AD40" s="818"/>
      <c r="AE40" s="97"/>
    </row>
    <row r="41" spans="1:41" ht="69.599999999999994" customHeight="1" x14ac:dyDescent="0.3">
      <c r="A41" s="792"/>
      <c r="B41" s="761"/>
      <c r="C41" s="336" t="s">
        <v>63</v>
      </c>
      <c r="D41" s="323">
        <v>0.08</v>
      </c>
      <c r="E41" s="323">
        <v>0.09</v>
      </c>
      <c r="F41" s="323">
        <v>0.09</v>
      </c>
      <c r="G41" s="323">
        <v>0.09</v>
      </c>
      <c r="H41" s="323">
        <v>0.09</v>
      </c>
      <c r="I41" s="323">
        <v>0.08</v>
      </c>
      <c r="J41" s="323">
        <v>0.08</v>
      </c>
      <c r="K41" s="323">
        <v>0.08</v>
      </c>
      <c r="L41" s="327">
        <v>0.08</v>
      </c>
      <c r="M41" s="327"/>
      <c r="N41" s="327"/>
      <c r="O41" s="327"/>
      <c r="P41" s="324">
        <f t="shared" si="2"/>
        <v>0.75999999999999979</v>
      </c>
      <c r="Q41" s="810"/>
      <c r="R41" s="811"/>
      <c r="S41" s="811"/>
      <c r="T41" s="811"/>
      <c r="U41" s="811"/>
      <c r="V41" s="811"/>
      <c r="W41" s="811"/>
      <c r="X41" s="811"/>
      <c r="Y41" s="811"/>
      <c r="Z41" s="811"/>
      <c r="AA41" s="811"/>
      <c r="AB41" s="811"/>
      <c r="AC41" s="811"/>
      <c r="AD41" s="812"/>
      <c r="AE41" s="97"/>
    </row>
    <row r="42" spans="1:41" ht="96.6" customHeight="1" x14ac:dyDescent="0.3">
      <c r="A42" s="792" t="s">
        <v>143</v>
      </c>
      <c r="B42" s="761">
        <v>0.1</v>
      </c>
      <c r="C42" s="338" t="s">
        <v>62</v>
      </c>
      <c r="D42" s="311">
        <v>0.08</v>
      </c>
      <c r="E42" s="311">
        <v>0.09</v>
      </c>
      <c r="F42" s="311">
        <v>0.09</v>
      </c>
      <c r="G42" s="311">
        <v>0.09</v>
      </c>
      <c r="H42" s="311">
        <v>0.09</v>
      </c>
      <c r="I42" s="311">
        <v>0.08</v>
      </c>
      <c r="J42" s="311">
        <v>0.08</v>
      </c>
      <c r="K42" s="311">
        <v>0.08</v>
      </c>
      <c r="L42" s="311">
        <v>0.08</v>
      </c>
      <c r="M42" s="311">
        <v>0.08</v>
      </c>
      <c r="N42" s="311">
        <v>0.08</v>
      </c>
      <c r="O42" s="311">
        <v>0.08</v>
      </c>
      <c r="P42" s="324">
        <f t="shared" si="2"/>
        <v>0.99999999999999967</v>
      </c>
      <c r="Q42" s="816" t="s">
        <v>144</v>
      </c>
      <c r="R42" s="817"/>
      <c r="S42" s="817"/>
      <c r="T42" s="817"/>
      <c r="U42" s="817"/>
      <c r="V42" s="817"/>
      <c r="W42" s="817"/>
      <c r="X42" s="817"/>
      <c r="Y42" s="817"/>
      <c r="Z42" s="817"/>
      <c r="AA42" s="817"/>
      <c r="AB42" s="817"/>
      <c r="AC42" s="817"/>
      <c r="AD42" s="818"/>
      <c r="AE42" s="97"/>
    </row>
    <row r="43" spans="1:41" ht="96.6" customHeight="1" x14ac:dyDescent="0.3">
      <c r="A43" s="792"/>
      <c r="B43" s="761"/>
      <c r="C43" s="336" t="s">
        <v>63</v>
      </c>
      <c r="D43" s="323">
        <v>0.08</v>
      </c>
      <c r="E43" s="323">
        <v>0.09</v>
      </c>
      <c r="F43" s="323">
        <v>0.09</v>
      </c>
      <c r="G43" s="323">
        <v>0.09</v>
      </c>
      <c r="H43" s="323">
        <v>0.09</v>
      </c>
      <c r="I43" s="323">
        <v>0.08</v>
      </c>
      <c r="J43" s="323">
        <v>0.08</v>
      </c>
      <c r="K43" s="323">
        <v>0.08</v>
      </c>
      <c r="L43" s="327">
        <v>0.08</v>
      </c>
      <c r="M43" s="327"/>
      <c r="N43" s="327"/>
      <c r="O43" s="327"/>
      <c r="P43" s="324">
        <f t="shared" si="2"/>
        <v>0.75999999999999979</v>
      </c>
      <c r="Q43" s="810"/>
      <c r="R43" s="811"/>
      <c r="S43" s="811"/>
      <c r="T43" s="811"/>
      <c r="U43" s="811"/>
      <c r="V43" s="811"/>
      <c r="W43" s="811"/>
      <c r="X43" s="811"/>
      <c r="Y43" s="811"/>
      <c r="Z43" s="811"/>
      <c r="AA43" s="811"/>
      <c r="AB43" s="811"/>
      <c r="AC43" s="811"/>
      <c r="AD43" s="812"/>
      <c r="AE43" s="97"/>
    </row>
    <row r="44" spans="1:41" ht="74.400000000000006" customHeight="1" x14ac:dyDescent="0.3">
      <c r="A44" s="792" t="s">
        <v>145</v>
      </c>
      <c r="B44" s="761">
        <v>0.02</v>
      </c>
      <c r="C44" s="338" t="s">
        <v>62</v>
      </c>
      <c r="D44" s="351">
        <v>0.02</v>
      </c>
      <c r="E44" s="351">
        <v>0.1</v>
      </c>
      <c r="F44" s="351">
        <v>0.1</v>
      </c>
      <c r="G44" s="351">
        <v>0.1</v>
      </c>
      <c r="H44" s="351">
        <v>0.1</v>
      </c>
      <c r="I44" s="351">
        <v>0.09</v>
      </c>
      <c r="J44" s="351">
        <v>0.09</v>
      </c>
      <c r="K44" s="351">
        <v>0.09</v>
      </c>
      <c r="L44" s="351">
        <v>0.09</v>
      </c>
      <c r="M44" s="351">
        <v>0.09</v>
      </c>
      <c r="N44" s="351">
        <v>0.09</v>
      </c>
      <c r="O44" s="351">
        <v>0.04</v>
      </c>
      <c r="P44" s="324">
        <f t="shared" si="2"/>
        <v>0.99999999999999989</v>
      </c>
      <c r="Q44" s="816" t="s">
        <v>146</v>
      </c>
      <c r="R44" s="817"/>
      <c r="S44" s="817"/>
      <c r="T44" s="817"/>
      <c r="U44" s="817"/>
      <c r="V44" s="817"/>
      <c r="W44" s="817"/>
      <c r="X44" s="817"/>
      <c r="Y44" s="817"/>
      <c r="Z44" s="817"/>
      <c r="AA44" s="817"/>
      <c r="AB44" s="817"/>
      <c r="AC44" s="817"/>
      <c r="AD44" s="818"/>
      <c r="AE44" s="97"/>
    </row>
    <row r="45" spans="1:41" ht="74.400000000000006" customHeight="1" thickBot="1" x14ac:dyDescent="0.35">
      <c r="A45" s="822"/>
      <c r="B45" s="762"/>
      <c r="C45" s="341" t="s">
        <v>63</v>
      </c>
      <c r="D45" s="328">
        <v>0</v>
      </c>
      <c r="E45" s="328">
        <v>0.03</v>
      </c>
      <c r="F45" s="328">
        <v>0.1</v>
      </c>
      <c r="G45" s="328">
        <v>0.14000000000000001</v>
      </c>
      <c r="H45" s="328">
        <v>0.14000000000000001</v>
      </c>
      <c r="I45" s="328">
        <v>0.1</v>
      </c>
      <c r="J45" s="328">
        <v>0.09</v>
      </c>
      <c r="K45" s="328">
        <v>0.09</v>
      </c>
      <c r="L45" s="328">
        <v>0.09</v>
      </c>
      <c r="M45" s="328"/>
      <c r="N45" s="328"/>
      <c r="O45" s="328"/>
      <c r="P45" s="330">
        <f t="shared" si="2"/>
        <v>0.77999999999999992</v>
      </c>
      <c r="Q45" s="819"/>
      <c r="R45" s="820"/>
      <c r="S45" s="820"/>
      <c r="T45" s="820"/>
      <c r="U45" s="820"/>
      <c r="V45" s="820"/>
      <c r="W45" s="820"/>
      <c r="X45" s="820"/>
      <c r="Y45" s="820"/>
      <c r="Z45" s="820"/>
      <c r="AA45" s="820"/>
      <c r="AB45" s="820"/>
      <c r="AC45" s="820"/>
      <c r="AD45" s="821"/>
      <c r="AE45" s="97"/>
    </row>
    <row r="46" spans="1:41" x14ac:dyDescent="0.3">
      <c r="A46" s="194" t="s">
        <v>89</v>
      </c>
      <c r="Q46" s="194"/>
      <c r="R46" s="194"/>
      <c r="S46" s="194"/>
      <c r="T46" s="194"/>
      <c r="U46" s="194"/>
      <c r="V46" s="194"/>
      <c r="W46" s="194"/>
      <c r="X46" s="194"/>
      <c r="Y46" s="194"/>
      <c r="Z46" s="194"/>
      <c r="AA46" s="194"/>
      <c r="AB46" s="194"/>
      <c r="AC46" s="194"/>
      <c r="AD46" s="194"/>
    </row>
    <row r="47" spans="1:41" x14ac:dyDescent="0.3">
      <c r="A47" s="194"/>
      <c r="Q47" s="194"/>
      <c r="R47" s="194"/>
      <c r="S47" s="194"/>
      <c r="T47" s="194"/>
      <c r="U47" s="194"/>
      <c r="V47" s="194"/>
      <c r="W47" s="194"/>
      <c r="X47" s="194"/>
      <c r="Y47" s="194"/>
      <c r="Z47" s="194"/>
      <c r="AA47" s="194"/>
      <c r="AB47" s="194"/>
      <c r="AC47" s="194"/>
      <c r="AD47" s="194"/>
    </row>
    <row r="48" spans="1:41" x14ac:dyDescent="0.3">
      <c r="A48" s="194"/>
      <c r="Q48" s="194"/>
      <c r="R48" s="194"/>
      <c r="S48" s="194"/>
      <c r="T48" s="194"/>
      <c r="U48" s="194"/>
      <c r="V48" s="194"/>
      <c r="W48" s="194"/>
      <c r="X48" s="194"/>
      <c r="Y48" s="194"/>
      <c r="Z48" s="194"/>
      <c r="AA48" s="194"/>
      <c r="AB48" s="194"/>
      <c r="AC48" s="194"/>
      <c r="AD48" s="194"/>
    </row>
    <row r="49" spans="1:30" x14ac:dyDescent="0.3">
      <c r="A49" s="194"/>
      <c r="Q49" s="194"/>
      <c r="R49" s="194"/>
      <c r="S49" s="194"/>
      <c r="T49" s="194"/>
      <c r="U49" s="194"/>
      <c r="V49" s="194"/>
      <c r="W49" s="194"/>
      <c r="X49" s="194"/>
      <c r="Y49" s="194"/>
      <c r="Z49" s="194"/>
      <c r="AA49" s="194"/>
      <c r="AB49" s="194"/>
      <c r="AC49" s="194"/>
      <c r="AD49" s="194"/>
    </row>
    <row r="50" spans="1:30" x14ac:dyDescent="0.3">
      <c r="A50" s="194"/>
      <c r="Q50" s="194"/>
      <c r="R50" s="194"/>
      <c r="S50" s="194"/>
      <c r="T50" s="194"/>
      <c r="U50" s="194"/>
      <c r="V50" s="194"/>
      <c r="W50" s="194"/>
      <c r="X50" s="194"/>
      <c r="Y50" s="194"/>
      <c r="Z50" s="194"/>
      <c r="AA50" s="194"/>
      <c r="AB50" s="194"/>
      <c r="AC50" s="194"/>
      <c r="AD50" s="194"/>
    </row>
    <row r="51" spans="1:30" x14ac:dyDescent="0.3">
      <c r="A51" s="194"/>
      <c r="Q51" s="194"/>
      <c r="R51" s="194"/>
      <c r="S51" s="194"/>
      <c r="T51" s="194"/>
      <c r="U51" s="194"/>
      <c r="V51" s="194"/>
      <c r="W51" s="194"/>
      <c r="X51" s="194"/>
      <c r="Y51" s="194"/>
      <c r="Z51" s="194"/>
      <c r="AA51" s="194"/>
      <c r="AB51" s="194"/>
      <c r="AC51" s="194"/>
      <c r="AD51" s="194"/>
    </row>
    <row r="52" spans="1:30" x14ac:dyDescent="0.3">
      <c r="A52" s="194"/>
      <c r="Q52" s="194"/>
      <c r="R52" s="194"/>
      <c r="S52" s="194"/>
      <c r="T52" s="194"/>
      <c r="U52" s="194"/>
      <c r="V52" s="194"/>
      <c r="W52" s="194"/>
      <c r="X52" s="194"/>
      <c r="Y52" s="194"/>
      <c r="Z52" s="194"/>
      <c r="AA52" s="194"/>
      <c r="AB52" s="194"/>
      <c r="AC52" s="194"/>
      <c r="AD52" s="194"/>
    </row>
    <row r="53" spans="1:30" hidden="1" x14ac:dyDescent="0.3">
      <c r="A53" s="194"/>
      <c r="Q53" s="194"/>
      <c r="R53" s="194"/>
      <c r="S53" s="194"/>
      <c r="T53" s="194"/>
      <c r="U53" s="194"/>
      <c r="V53" s="194"/>
      <c r="W53" s="194"/>
      <c r="X53" s="194"/>
      <c r="Y53" s="194"/>
      <c r="Z53" s="194"/>
      <c r="AA53" s="194"/>
      <c r="AB53" s="194"/>
      <c r="AC53" s="194"/>
      <c r="AD53" s="194"/>
    </row>
    <row r="54" spans="1:30" ht="15" hidden="1" thickBot="1" x14ac:dyDescent="0.35">
      <c r="A54" s="194"/>
      <c r="Q54" s="194"/>
      <c r="R54" s="194"/>
      <c r="S54" s="194"/>
      <c r="T54" s="194"/>
      <c r="U54" s="194"/>
      <c r="V54" s="194"/>
      <c r="W54" s="194"/>
      <c r="X54" s="194"/>
      <c r="Y54" s="194"/>
      <c r="Z54" s="194"/>
      <c r="AA54" s="194"/>
      <c r="AB54" s="194"/>
      <c r="AC54" s="194"/>
      <c r="AD54" s="194"/>
    </row>
    <row r="55" spans="1:30" hidden="1" x14ac:dyDescent="0.3">
      <c r="A55" s="823" t="s">
        <v>90</v>
      </c>
      <c r="B55" s="825" t="s">
        <v>65</v>
      </c>
      <c r="C55" s="826" t="s">
        <v>66</v>
      </c>
      <c r="D55" s="827"/>
      <c r="E55" s="827"/>
      <c r="F55" s="827"/>
      <c r="G55" s="827"/>
      <c r="H55" s="827"/>
      <c r="I55" s="827"/>
      <c r="J55" s="827"/>
      <c r="K55" s="827"/>
      <c r="L55" s="827"/>
      <c r="M55" s="827"/>
      <c r="N55" s="827"/>
      <c r="O55" s="827"/>
      <c r="P55" s="828"/>
      <c r="Q55" s="195"/>
      <c r="R55" s="195"/>
      <c r="S55" s="194"/>
      <c r="T55" s="194"/>
      <c r="U55" s="194"/>
      <c r="V55" s="194"/>
      <c r="W55" s="194"/>
      <c r="X55" s="194"/>
      <c r="Y55" s="194"/>
      <c r="Z55" s="194"/>
      <c r="AA55" s="194"/>
      <c r="AB55" s="194"/>
      <c r="AC55" s="194"/>
      <c r="AD55" s="194"/>
    </row>
    <row r="56" spans="1:30" hidden="1" x14ac:dyDescent="0.3">
      <c r="A56" s="824"/>
      <c r="B56" s="801"/>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88" t="s">
        <v>81</v>
      </c>
      <c r="Q56" s="195"/>
      <c r="R56" s="195"/>
      <c r="S56" s="194"/>
      <c r="T56" s="194"/>
      <c r="U56" s="194"/>
      <c r="V56" s="194"/>
      <c r="W56" s="194"/>
      <c r="X56" s="194"/>
      <c r="Y56" s="194"/>
      <c r="Z56" s="194"/>
      <c r="AA56" s="194"/>
      <c r="AB56" s="194"/>
      <c r="AC56" s="194"/>
      <c r="AD56" s="194"/>
    </row>
    <row r="57" spans="1:30" ht="18" hidden="1" customHeight="1" x14ac:dyDescent="0.3">
      <c r="A57" s="829" t="str">
        <f>A38</f>
        <v>17. Realizar atenciones en intervención de trabajo  social que comprenden plan de intervención, valoraciones iniciales, intervenciones y seguimiento a mujeres que realizan actividades sexuales pagadas.</v>
      </c>
      <c r="B57" s="570">
        <f>B38</f>
        <v>0.1</v>
      </c>
      <c r="C57" s="176" t="s">
        <v>62</v>
      </c>
      <c r="D57" s="175">
        <f>D38*$B$38/$P$38</f>
        <v>8.0000000000000036E-3</v>
      </c>
      <c r="E57" s="175">
        <f t="shared" ref="D57:O58" si="3">E38*$B$38/$P$38</f>
        <v>9.0000000000000028E-3</v>
      </c>
      <c r="F57" s="175">
        <f t="shared" si="3"/>
        <v>9.0000000000000028E-3</v>
      </c>
      <c r="G57" s="175">
        <f t="shared" si="3"/>
        <v>9.0000000000000028E-3</v>
      </c>
      <c r="H57" s="175">
        <f t="shared" si="3"/>
        <v>9.0000000000000028E-3</v>
      </c>
      <c r="I57" s="175">
        <f t="shared" si="3"/>
        <v>8.0000000000000036E-3</v>
      </c>
      <c r="J57" s="175">
        <f t="shared" si="3"/>
        <v>8.0000000000000036E-3</v>
      </c>
      <c r="K57" s="175">
        <f t="shared" si="3"/>
        <v>8.0000000000000036E-3</v>
      </c>
      <c r="L57" s="175">
        <f t="shared" si="3"/>
        <v>8.0000000000000036E-3</v>
      </c>
      <c r="M57" s="175">
        <f t="shared" si="3"/>
        <v>8.0000000000000036E-3</v>
      </c>
      <c r="N57" s="175">
        <f t="shared" si="3"/>
        <v>8.0000000000000036E-3</v>
      </c>
      <c r="O57" s="175">
        <f t="shared" si="3"/>
        <v>8.0000000000000036E-3</v>
      </c>
      <c r="P57" s="189">
        <f t="shared" ref="P57:P64" si="4">SUM(D57:O57)</f>
        <v>0.10000000000000006</v>
      </c>
      <c r="Q57" s="197">
        <v>0.05</v>
      </c>
      <c r="R57" s="198">
        <f t="shared" ref="R57:R71" si="5">+P57-Q57</f>
        <v>5.0000000000000058E-2</v>
      </c>
      <c r="S57" s="194"/>
      <c r="T57" s="194"/>
      <c r="U57" s="194"/>
      <c r="V57" s="194"/>
      <c r="W57" s="194"/>
      <c r="X57" s="194"/>
      <c r="Y57" s="194"/>
      <c r="Z57" s="194"/>
      <c r="AA57" s="194"/>
      <c r="AB57" s="194"/>
      <c r="AC57" s="194"/>
      <c r="AD57" s="194"/>
    </row>
    <row r="58" spans="1:30" ht="18" hidden="1" customHeight="1" x14ac:dyDescent="0.3">
      <c r="A58" s="830"/>
      <c r="B58" s="831"/>
      <c r="C58" s="173" t="s">
        <v>63</v>
      </c>
      <c r="D58" s="172">
        <f t="shared" si="3"/>
        <v>8.0000000000000036E-3</v>
      </c>
      <c r="E58" s="172">
        <f t="shared" si="3"/>
        <v>9.0000000000000028E-3</v>
      </c>
      <c r="F58" s="172">
        <f t="shared" si="3"/>
        <v>9.0000000000000028E-3</v>
      </c>
      <c r="G58" s="172">
        <f t="shared" si="3"/>
        <v>9.0000000000000028E-3</v>
      </c>
      <c r="H58" s="172">
        <f t="shared" si="3"/>
        <v>9.0000000000000028E-3</v>
      </c>
      <c r="I58" s="172">
        <f t="shared" si="3"/>
        <v>8.0000000000000036E-3</v>
      </c>
      <c r="J58" s="172">
        <f t="shared" si="3"/>
        <v>8.0000000000000036E-3</v>
      </c>
      <c r="K58" s="172">
        <f t="shared" si="3"/>
        <v>8.0000000000000036E-3</v>
      </c>
      <c r="L58" s="172">
        <f t="shared" si="3"/>
        <v>8.0000000000000036E-3</v>
      </c>
      <c r="M58" s="172">
        <f t="shared" si="3"/>
        <v>0</v>
      </c>
      <c r="N58" s="172">
        <f t="shared" si="3"/>
        <v>0</v>
      </c>
      <c r="O58" s="172">
        <f t="shared" si="3"/>
        <v>0</v>
      </c>
      <c r="P58" s="190">
        <f t="shared" si="4"/>
        <v>7.600000000000004E-2</v>
      </c>
      <c r="Q58" s="199">
        <f>+P58</f>
        <v>7.600000000000004E-2</v>
      </c>
      <c r="R58" s="198">
        <f t="shared" si="5"/>
        <v>0</v>
      </c>
      <c r="S58" s="194"/>
      <c r="T58" s="194"/>
      <c r="U58" s="194"/>
      <c r="V58" s="194"/>
      <c r="W58" s="194"/>
      <c r="X58" s="194"/>
      <c r="Y58" s="194"/>
      <c r="Z58" s="194"/>
      <c r="AA58" s="194"/>
      <c r="AB58" s="194"/>
      <c r="AC58" s="194"/>
      <c r="AD58" s="194"/>
    </row>
    <row r="59" spans="1:30" ht="18" hidden="1" customHeight="1" x14ac:dyDescent="0.3">
      <c r="A59" s="829" t="str">
        <f>A40</f>
        <v>18.  Realizar atenciones psicosociales  (valoraciones iniciales, asesoría y seguimientos) a mujeres que realizan actividades sexuales pagadas y sus familias</v>
      </c>
      <c r="B59" s="553">
        <f>B40</f>
        <v>0.1</v>
      </c>
      <c r="C59" s="176" t="s">
        <v>62</v>
      </c>
      <c r="D59" s="175">
        <f t="shared" ref="D59:O60" si="6">D40*$B$40/$P$40</f>
        <v>8.0000000000000036E-3</v>
      </c>
      <c r="E59" s="175">
        <f t="shared" si="6"/>
        <v>9.0000000000000028E-3</v>
      </c>
      <c r="F59" s="175">
        <f t="shared" si="6"/>
        <v>9.0000000000000028E-3</v>
      </c>
      <c r="G59" s="175">
        <f t="shared" si="6"/>
        <v>9.0000000000000028E-3</v>
      </c>
      <c r="H59" s="175">
        <f t="shared" si="6"/>
        <v>9.0000000000000028E-3</v>
      </c>
      <c r="I59" s="175">
        <f t="shared" si="6"/>
        <v>8.0000000000000036E-3</v>
      </c>
      <c r="J59" s="175">
        <f t="shared" si="6"/>
        <v>8.0000000000000036E-3</v>
      </c>
      <c r="K59" s="175">
        <f t="shared" si="6"/>
        <v>8.0000000000000036E-3</v>
      </c>
      <c r="L59" s="175">
        <f t="shared" si="6"/>
        <v>8.0000000000000036E-3</v>
      </c>
      <c r="M59" s="175">
        <f t="shared" si="6"/>
        <v>8.0000000000000036E-3</v>
      </c>
      <c r="N59" s="175">
        <f t="shared" si="6"/>
        <v>8.0000000000000036E-3</v>
      </c>
      <c r="O59" s="175">
        <f t="shared" si="6"/>
        <v>8.0000000000000036E-3</v>
      </c>
      <c r="P59" s="189">
        <f t="shared" si="4"/>
        <v>0.10000000000000006</v>
      </c>
      <c r="Q59" s="197">
        <v>2.5000000000000001E-2</v>
      </c>
      <c r="R59" s="198">
        <f t="shared" si="5"/>
        <v>7.5000000000000067E-2</v>
      </c>
      <c r="S59" s="194"/>
      <c r="T59" s="194"/>
      <c r="U59" s="194"/>
      <c r="V59" s="194"/>
      <c r="W59" s="194"/>
      <c r="X59" s="194"/>
      <c r="Y59" s="194"/>
      <c r="Z59" s="194"/>
      <c r="AA59" s="194"/>
      <c r="AB59" s="194"/>
      <c r="AC59" s="194"/>
      <c r="AD59" s="194"/>
    </row>
    <row r="60" spans="1:30" ht="18" hidden="1" customHeight="1" x14ac:dyDescent="0.3">
      <c r="A60" s="834"/>
      <c r="B60" s="835"/>
      <c r="C60" s="173" t="s">
        <v>63</v>
      </c>
      <c r="D60" s="172">
        <f t="shared" si="6"/>
        <v>8.0000000000000036E-3</v>
      </c>
      <c r="E60" s="172">
        <f t="shared" si="6"/>
        <v>9.0000000000000028E-3</v>
      </c>
      <c r="F60" s="172">
        <f t="shared" si="6"/>
        <v>9.0000000000000028E-3</v>
      </c>
      <c r="G60" s="172">
        <f t="shared" si="6"/>
        <v>9.0000000000000028E-3</v>
      </c>
      <c r="H60" s="172">
        <f t="shared" si="6"/>
        <v>9.0000000000000028E-3</v>
      </c>
      <c r="I60" s="172">
        <f t="shared" si="6"/>
        <v>8.0000000000000036E-3</v>
      </c>
      <c r="J60" s="172">
        <f t="shared" si="6"/>
        <v>8.0000000000000036E-3</v>
      </c>
      <c r="K60" s="172">
        <f t="shared" si="6"/>
        <v>8.0000000000000036E-3</v>
      </c>
      <c r="L60" s="172">
        <f t="shared" si="6"/>
        <v>8.0000000000000036E-3</v>
      </c>
      <c r="M60" s="172">
        <f t="shared" si="6"/>
        <v>0</v>
      </c>
      <c r="N60" s="172">
        <f t="shared" si="6"/>
        <v>0</v>
      </c>
      <c r="O60" s="172">
        <f t="shared" si="6"/>
        <v>0</v>
      </c>
      <c r="P60" s="190">
        <f t="shared" si="4"/>
        <v>7.600000000000004E-2</v>
      </c>
      <c r="Q60" s="199">
        <f>+P60</f>
        <v>7.600000000000004E-2</v>
      </c>
      <c r="R60" s="198">
        <f t="shared" si="5"/>
        <v>0</v>
      </c>
      <c r="S60" s="194"/>
      <c r="T60" s="194"/>
      <c r="U60" s="194"/>
      <c r="V60" s="194"/>
      <c r="W60" s="194"/>
      <c r="X60" s="194"/>
      <c r="Y60" s="194"/>
      <c r="Z60" s="194"/>
      <c r="AA60" s="194"/>
      <c r="AB60" s="194"/>
      <c r="AC60" s="194"/>
      <c r="AD60" s="194"/>
    </row>
    <row r="61" spans="1:30" ht="18" hidden="1" customHeight="1" x14ac:dyDescent="0.3">
      <c r="A61" s="829" t="str">
        <f>A42</f>
        <v>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v>
      </c>
      <c r="B61" s="553">
        <f>B42</f>
        <v>0.1</v>
      </c>
      <c r="C61" s="176" t="s">
        <v>62</v>
      </c>
      <c r="D61" s="175">
        <f t="shared" ref="D61:O62" si="7">D42*$B$42/$P$42</f>
        <v>8.0000000000000036E-3</v>
      </c>
      <c r="E61" s="175">
        <f t="shared" si="7"/>
        <v>9.0000000000000028E-3</v>
      </c>
      <c r="F61" s="175">
        <f t="shared" si="7"/>
        <v>9.0000000000000028E-3</v>
      </c>
      <c r="G61" s="175">
        <f t="shared" si="7"/>
        <v>9.0000000000000028E-3</v>
      </c>
      <c r="H61" s="175">
        <f t="shared" si="7"/>
        <v>9.0000000000000028E-3</v>
      </c>
      <c r="I61" s="175">
        <f t="shared" si="7"/>
        <v>8.0000000000000036E-3</v>
      </c>
      <c r="J61" s="175">
        <f t="shared" si="7"/>
        <v>8.0000000000000036E-3</v>
      </c>
      <c r="K61" s="175">
        <f t="shared" si="7"/>
        <v>8.0000000000000036E-3</v>
      </c>
      <c r="L61" s="175">
        <f t="shared" si="7"/>
        <v>8.0000000000000036E-3</v>
      </c>
      <c r="M61" s="175">
        <f t="shared" si="7"/>
        <v>8.0000000000000036E-3</v>
      </c>
      <c r="N61" s="175">
        <f t="shared" si="7"/>
        <v>8.0000000000000036E-3</v>
      </c>
      <c r="O61" s="175">
        <f t="shared" si="7"/>
        <v>8.0000000000000036E-3</v>
      </c>
      <c r="P61" s="189">
        <f t="shared" si="4"/>
        <v>0.10000000000000006</v>
      </c>
      <c r="Q61" s="197">
        <v>2.5000000000000001E-2</v>
      </c>
      <c r="R61" s="198">
        <f t="shared" si="5"/>
        <v>7.5000000000000067E-2</v>
      </c>
      <c r="S61" s="194"/>
      <c r="T61" s="194"/>
      <c r="U61" s="194"/>
      <c r="V61" s="194"/>
      <c r="W61" s="194"/>
      <c r="X61" s="194"/>
      <c r="Y61" s="194"/>
      <c r="Z61" s="194"/>
      <c r="AA61" s="194"/>
      <c r="AB61" s="194"/>
      <c r="AC61" s="194"/>
      <c r="AD61" s="194"/>
    </row>
    <row r="62" spans="1:30" ht="18" hidden="1" customHeight="1" x14ac:dyDescent="0.3">
      <c r="A62" s="834"/>
      <c r="B62" s="835"/>
      <c r="C62" s="173" t="s">
        <v>63</v>
      </c>
      <c r="D62" s="172">
        <f t="shared" si="7"/>
        <v>8.0000000000000036E-3</v>
      </c>
      <c r="E62" s="172">
        <f t="shared" si="7"/>
        <v>9.0000000000000028E-3</v>
      </c>
      <c r="F62" s="172">
        <f t="shared" si="7"/>
        <v>9.0000000000000028E-3</v>
      </c>
      <c r="G62" s="172">
        <f t="shared" si="7"/>
        <v>9.0000000000000028E-3</v>
      </c>
      <c r="H62" s="172">
        <f t="shared" si="7"/>
        <v>9.0000000000000028E-3</v>
      </c>
      <c r="I62" s="172">
        <f t="shared" si="7"/>
        <v>8.0000000000000036E-3</v>
      </c>
      <c r="J62" s="172">
        <f t="shared" si="7"/>
        <v>8.0000000000000036E-3</v>
      </c>
      <c r="K62" s="172">
        <f t="shared" si="7"/>
        <v>8.0000000000000036E-3</v>
      </c>
      <c r="L62" s="172">
        <f t="shared" si="7"/>
        <v>8.0000000000000036E-3</v>
      </c>
      <c r="M62" s="172">
        <f t="shared" si="7"/>
        <v>0</v>
      </c>
      <c r="N62" s="172">
        <f t="shared" si="7"/>
        <v>0</v>
      </c>
      <c r="O62" s="172">
        <f t="shared" si="7"/>
        <v>0</v>
      </c>
      <c r="P62" s="190">
        <f t="shared" si="4"/>
        <v>7.600000000000004E-2</v>
      </c>
      <c r="Q62" s="199">
        <f>+P62</f>
        <v>7.600000000000004E-2</v>
      </c>
      <c r="R62" s="198">
        <f t="shared" si="5"/>
        <v>0</v>
      </c>
      <c r="S62" s="194"/>
      <c r="T62" s="194"/>
      <c r="U62" s="194"/>
      <c r="V62" s="194"/>
      <c r="W62" s="194"/>
      <c r="X62" s="194"/>
      <c r="Y62" s="194"/>
      <c r="Z62" s="194"/>
      <c r="AA62" s="194"/>
      <c r="AB62" s="194"/>
      <c r="AC62" s="194"/>
      <c r="AD62" s="194"/>
    </row>
    <row r="63" spans="1:30" ht="18" hidden="1" customHeight="1" x14ac:dyDescent="0.3">
      <c r="A63" s="829" t="str">
        <f>A44</f>
        <v>20. Generar información de los sitios, dinámicas y contextos de las actividades sexuales pagadas en Bogotá</v>
      </c>
      <c r="B63" s="553">
        <f>B44</f>
        <v>0.02</v>
      </c>
      <c r="C63" s="176" t="s">
        <v>62</v>
      </c>
      <c r="D63" s="175">
        <f t="shared" ref="D63:O64" si="8">D44*$B$44/$P$44</f>
        <v>4.0000000000000007E-4</v>
      </c>
      <c r="E63" s="175">
        <f t="shared" si="8"/>
        <v>2.0000000000000005E-3</v>
      </c>
      <c r="F63" s="175">
        <f t="shared" si="8"/>
        <v>2.0000000000000005E-3</v>
      </c>
      <c r="G63" s="175">
        <f t="shared" si="8"/>
        <v>2.0000000000000005E-3</v>
      </c>
      <c r="H63" s="175">
        <f t="shared" si="8"/>
        <v>2.0000000000000005E-3</v>
      </c>
      <c r="I63" s="175">
        <f t="shared" si="8"/>
        <v>1.8000000000000002E-3</v>
      </c>
      <c r="J63" s="175">
        <f t="shared" si="8"/>
        <v>1.8000000000000002E-3</v>
      </c>
      <c r="K63" s="175">
        <f t="shared" si="8"/>
        <v>1.8000000000000002E-3</v>
      </c>
      <c r="L63" s="175">
        <f t="shared" si="8"/>
        <v>1.8000000000000002E-3</v>
      </c>
      <c r="M63" s="175">
        <f t="shared" si="8"/>
        <v>1.8000000000000002E-3</v>
      </c>
      <c r="N63" s="175">
        <f t="shared" si="8"/>
        <v>1.8000000000000002E-3</v>
      </c>
      <c r="O63" s="175">
        <f t="shared" si="8"/>
        <v>8.0000000000000015E-4</v>
      </c>
      <c r="P63" s="189">
        <f t="shared" si="4"/>
        <v>1.9999999999999997E-2</v>
      </c>
      <c r="Q63" s="197">
        <v>0.02</v>
      </c>
      <c r="R63" s="198">
        <f t="shared" si="5"/>
        <v>0</v>
      </c>
      <c r="S63" s="194"/>
      <c r="T63" s="194"/>
      <c r="U63" s="194"/>
      <c r="V63" s="194"/>
      <c r="W63" s="194"/>
      <c r="X63" s="194"/>
      <c r="Y63" s="194"/>
      <c r="Z63" s="194"/>
      <c r="AA63" s="194"/>
      <c r="AB63" s="194"/>
      <c r="AC63" s="194"/>
      <c r="AD63" s="194"/>
    </row>
    <row r="64" spans="1:30" ht="18" hidden="1" customHeight="1" thickBot="1" x14ac:dyDescent="0.35">
      <c r="A64" s="836"/>
      <c r="B64" s="837"/>
      <c r="C64" s="191" t="s">
        <v>63</v>
      </c>
      <c r="D64" s="192">
        <f t="shared" si="8"/>
        <v>0</v>
      </c>
      <c r="E64" s="192">
        <f t="shared" si="8"/>
        <v>6.0000000000000006E-4</v>
      </c>
      <c r="F64" s="192">
        <f t="shared" si="8"/>
        <v>2.0000000000000005E-3</v>
      </c>
      <c r="G64" s="192">
        <f t="shared" si="8"/>
        <v>2.8000000000000008E-3</v>
      </c>
      <c r="H64" s="192">
        <f t="shared" si="8"/>
        <v>2.8000000000000008E-3</v>
      </c>
      <c r="I64" s="192">
        <f t="shared" si="8"/>
        <v>2.0000000000000005E-3</v>
      </c>
      <c r="J64" s="192">
        <f t="shared" si="8"/>
        <v>1.8000000000000002E-3</v>
      </c>
      <c r="K64" s="192">
        <f t="shared" si="8"/>
        <v>1.8000000000000002E-3</v>
      </c>
      <c r="L64" s="192">
        <f t="shared" si="8"/>
        <v>1.8000000000000002E-3</v>
      </c>
      <c r="M64" s="192">
        <f t="shared" si="8"/>
        <v>0</v>
      </c>
      <c r="N64" s="192">
        <f t="shared" si="8"/>
        <v>0</v>
      </c>
      <c r="O64" s="192">
        <f t="shared" si="8"/>
        <v>0</v>
      </c>
      <c r="P64" s="193">
        <f t="shared" si="4"/>
        <v>1.5600000000000001E-2</v>
      </c>
      <c r="Q64" s="199">
        <f>+P64</f>
        <v>1.5600000000000001E-2</v>
      </c>
      <c r="R64" s="198">
        <f t="shared" si="5"/>
        <v>0</v>
      </c>
      <c r="S64" s="194"/>
      <c r="T64" s="194"/>
      <c r="U64" s="194"/>
      <c r="V64" s="194"/>
      <c r="W64" s="194"/>
      <c r="X64" s="194"/>
      <c r="Y64" s="194"/>
      <c r="Z64" s="194"/>
      <c r="AA64" s="194"/>
      <c r="AB64" s="194"/>
      <c r="AC64" s="194"/>
      <c r="AD64" s="194"/>
    </row>
    <row r="65" spans="1:30" hidden="1" x14ac:dyDescent="0.3">
      <c r="A65" s="555"/>
      <c r="B65" s="556"/>
      <c r="C65" s="184"/>
      <c r="D65" s="175"/>
      <c r="E65" s="175"/>
      <c r="F65" s="175"/>
      <c r="G65" s="175"/>
      <c r="H65" s="175"/>
      <c r="I65" s="175"/>
      <c r="J65" s="175"/>
      <c r="K65" s="175"/>
      <c r="L65" s="175"/>
      <c r="M65" s="175"/>
      <c r="N65" s="175"/>
      <c r="O65" s="175"/>
      <c r="P65" s="185"/>
      <c r="Q65" s="197">
        <v>0.02</v>
      </c>
      <c r="R65" s="198">
        <f t="shared" si="5"/>
        <v>-0.02</v>
      </c>
      <c r="S65" s="194"/>
      <c r="T65" s="194"/>
      <c r="U65" s="194"/>
      <c r="V65" s="194"/>
      <c r="W65" s="194"/>
      <c r="X65" s="194"/>
      <c r="Y65" s="194"/>
      <c r="Z65" s="194"/>
      <c r="AA65" s="194"/>
      <c r="AB65" s="194"/>
      <c r="AC65" s="194"/>
      <c r="AD65" s="194"/>
    </row>
    <row r="66" spans="1:30" hidden="1" x14ac:dyDescent="0.3">
      <c r="A66" s="832"/>
      <c r="B66" s="833"/>
      <c r="C66" s="184"/>
      <c r="D66" s="168"/>
      <c r="E66" s="168"/>
      <c r="F66" s="168"/>
      <c r="G66" s="168"/>
      <c r="H66" s="168"/>
      <c r="I66" s="168"/>
      <c r="J66" s="168"/>
      <c r="K66" s="168"/>
      <c r="L66" s="168"/>
      <c r="M66" s="168"/>
      <c r="N66" s="168"/>
      <c r="O66" s="168"/>
      <c r="P66" s="185"/>
      <c r="Q66" s="199">
        <f>+P66</f>
        <v>0</v>
      </c>
      <c r="R66" s="198">
        <f t="shared" si="5"/>
        <v>0</v>
      </c>
      <c r="S66" s="194"/>
      <c r="T66" s="194"/>
      <c r="U66" s="194"/>
      <c r="V66" s="194"/>
      <c r="W66" s="194"/>
      <c r="X66" s="194"/>
      <c r="Y66" s="194"/>
      <c r="Z66" s="194"/>
      <c r="AA66" s="194"/>
      <c r="AB66" s="194"/>
      <c r="AC66" s="194"/>
      <c r="AD66" s="194"/>
    </row>
    <row r="67" spans="1:30" hidden="1" x14ac:dyDescent="0.3">
      <c r="A67" s="555"/>
      <c r="B67" s="556"/>
      <c r="C67" s="184"/>
      <c r="D67" s="175"/>
      <c r="E67" s="175"/>
      <c r="F67" s="175"/>
      <c r="G67" s="175"/>
      <c r="H67" s="175"/>
      <c r="I67" s="175"/>
      <c r="J67" s="175"/>
      <c r="K67" s="175"/>
      <c r="L67" s="175"/>
      <c r="M67" s="175"/>
      <c r="N67" s="175"/>
      <c r="O67" s="175"/>
      <c r="P67" s="185"/>
      <c r="Q67" s="197">
        <v>0.02</v>
      </c>
      <c r="R67" s="198">
        <f t="shared" si="5"/>
        <v>-0.02</v>
      </c>
      <c r="S67" s="194"/>
      <c r="T67" s="194"/>
      <c r="U67" s="194"/>
      <c r="V67" s="194"/>
      <c r="W67" s="194"/>
      <c r="X67" s="194"/>
      <c r="Y67" s="194"/>
      <c r="Z67" s="194"/>
      <c r="AA67" s="194"/>
      <c r="AB67" s="194"/>
      <c r="AC67" s="194"/>
      <c r="AD67" s="194"/>
    </row>
    <row r="68" spans="1:30" hidden="1" x14ac:dyDescent="0.3">
      <c r="A68" s="832"/>
      <c r="B68" s="833"/>
      <c r="C68" s="184"/>
      <c r="D68" s="168"/>
      <c r="E68" s="168"/>
      <c r="F68" s="168"/>
      <c r="G68" s="168"/>
      <c r="H68" s="168"/>
      <c r="I68" s="168"/>
      <c r="J68" s="168"/>
      <c r="K68" s="168"/>
      <c r="L68" s="168"/>
      <c r="M68" s="168"/>
      <c r="N68" s="168"/>
      <c r="O68" s="168"/>
      <c r="P68" s="185"/>
      <c r="Q68" s="199">
        <f>+P68</f>
        <v>0</v>
      </c>
      <c r="R68" s="198">
        <f t="shared" si="5"/>
        <v>0</v>
      </c>
      <c r="S68" s="194"/>
      <c r="T68" s="194"/>
      <c r="U68" s="194"/>
      <c r="V68" s="194"/>
      <c r="W68" s="194"/>
      <c r="X68" s="194"/>
      <c r="Y68" s="194"/>
      <c r="Z68" s="194"/>
      <c r="AA68" s="194"/>
      <c r="AB68" s="194"/>
      <c r="AC68" s="194"/>
      <c r="AD68" s="194"/>
    </row>
    <row r="69" spans="1:30" hidden="1" x14ac:dyDescent="0.3">
      <c r="A69" s="555"/>
      <c r="B69" s="556"/>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3">
      <c r="A70" s="832"/>
      <c r="B70" s="833"/>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3">
      <c r="A71" s="195"/>
      <c r="B71" s="169"/>
      <c r="C71" s="170"/>
      <c r="D71" s="165">
        <f>D58+D60+D62+D64</f>
        <v>2.4000000000000011E-2</v>
      </c>
      <c r="E71" s="165">
        <f t="shared" ref="E71:O71" si="9">E58+E60+E62+E64</f>
        <v>2.760000000000001E-2</v>
      </c>
      <c r="F71" s="165">
        <f t="shared" si="9"/>
        <v>2.9000000000000012E-2</v>
      </c>
      <c r="G71" s="165">
        <f t="shared" si="9"/>
        <v>2.9800000000000011E-2</v>
      </c>
      <c r="H71" s="165">
        <f t="shared" si="9"/>
        <v>2.9800000000000011E-2</v>
      </c>
      <c r="I71" s="165">
        <f t="shared" si="9"/>
        <v>2.6000000000000013E-2</v>
      </c>
      <c r="J71" s="165">
        <f t="shared" si="9"/>
        <v>2.580000000000001E-2</v>
      </c>
      <c r="K71" s="165">
        <f t="shared" si="9"/>
        <v>2.580000000000001E-2</v>
      </c>
      <c r="L71" s="165">
        <f t="shared" si="9"/>
        <v>2.580000000000001E-2</v>
      </c>
      <c r="M71" s="165">
        <f t="shared" si="9"/>
        <v>0</v>
      </c>
      <c r="N71" s="165">
        <f t="shared" si="9"/>
        <v>0</v>
      </c>
      <c r="O71" s="165">
        <f t="shared" si="9"/>
        <v>0</v>
      </c>
      <c r="P71" s="165">
        <f>P58+P60+P62+P64+P66+P68+P70</f>
        <v>0.24360000000000012</v>
      </c>
      <c r="Q71" s="195"/>
      <c r="R71" s="198">
        <f t="shared" si="5"/>
        <v>0.24360000000000012</v>
      </c>
      <c r="S71" s="194"/>
      <c r="T71" s="194"/>
      <c r="U71" s="194"/>
      <c r="V71" s="194"/>
      <c r="W71" s="194"/>
      <c r="X71" s="194"/>
      <c r="Y71" s="194"/>
      <c r="Z71" s="194"/>
      <c r="AA71" s="194"/>
      <c r="AB71" s="194"/>
      <c r="AC71" s="194"/>
      <c r="AD71" s="194"/>
    </row>
    <row r="72" spans="1:30" hidden="1" x14ac:dyDescent="0.3">
      <c r="A72" s="195"/>
      <c r="B72" s="167"/>
      <c r="C72" s="164" t="s">
        <v>63</v>
      </c>
      <c r="D72" s="163">
        <f t="shared" ref="D72:O72" si="10">D71*$W$17/$B$34</f>
        <v>7.5000000000000039E-2</v>
      </c>
      <c r="E72" s="163">
        <f t="shared" si="10"/>
        <v>8.6250000000000035E-2</v>
      </c>
      <c r="F72" s="163">
        <f t="shared" si="10"/>
        <v>9.0625000000000039E-2</v>
      </c>
      <c r="G72" s="163">
        <f t="shared" si="10"/>
        <v>9.3125000000000027E-2</v>
      </c>
      <c r="H72" s="163">
        <f t="shared" si="10"/>
        <v>9.3125000000000027E-2</v>
      </c>
      <c r="I72" s="163">
        <f t="shared" si="10"/>
        <v>8.1250000000000044E-2</v>
      </c>
      <c r="J72" s="163">
        <f t="shared" si="10"/>
        <v>8.062500000000003E-2</v>
      </c>
      <c r="K72" s="163">
        <f t="shared" si="10"/>
        <v>8.062500000000003E-2</v>
      </c>
      <c r="L72" s="163">
        <f t="shared" si="10"/>
        <v>8.062500000000003E-2</v>
      </c>
      <c r="M72" s="163">
        <f t="shared" si="10"/>
        <v>0</v>
      </c>
      <c r="N72" s="163">
        <f t="shared" si="10"/>
        <v>0</v>
      </c>
      <c r="O72" s="163">
        <f t="shared" si="10"/>
        <v>0</v>
      </c>
      <c r="P72" s="162">
        <f>SUM(D72:O72)</f>
        <v>0.76125000000000032</v>
      </c>
      <c r="Q72" s="196"/>
      <c r="R72" s="195"/>
      <c r="S72" s="194"/>
      <c r="T72" s="194"/>
      <c r="U72" s="194"/>
      <c r="V72" s="194"/>
      <c r="W72" s="194"/>
      <c r="X72" s="194"/>
      <c r="Y72" s="194"/>
      <c r="Z72" s="194"/>
      <c r="AA72" s="194"/>
      <c r="AB72" s="194"/>
      <c r="AC72" s="194"/>
      <c r="AD72" s="194"/>
    </row>
    <row r="73" spans="1:30" hidden="1" x14ac:dyDescent="0.3">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3">
      <c r="A74" s="197"/>
      <c r="B74" s="108"/>
      <c r="C74" s="108"/>
      <c r="D74" s="165">
        <f>+D57+D59+D61+D63</f>
        <v>2.4400000000000012E-2</v>
      </c>
      <c r="E74" s="165">
        <f t="shared" ref="E74:P74" si="11">+E57+E59+E61+E63</f>
        <v>2.9000000000000012E-2</v>
      </c>
      <c r="F74" s="165">
        <f t="shared" si="11"/>
        <v>2.9000000000000012E-2</v>
      </c>
      <c r="G74" s="165">
        <f t="shared" si="11"/>
        <v>2.9000000000000012E-2</v>
      </c>
      <c r="H74" s="165">
        <f t="shared" si="11"/>
        <v>2.9000000000000012E-2</v>
      </c>
      <c r="I74" s="165">
        <f t="shared" si="11"/>
        <v>2.580000000000001E-2</v>
      </c>
      <c r="J74" s="165">
        <f t="shared" si="11"/>
        <v>2.580000000000001E-2</v>
      </c>
      <c r="K74" s="165">
        <f t="shared" si="11"/>
        <v>2.580000000000001E-2</v>
      </c>
      <c r="L74" s="165">
        <f t="shared" si="11"/>
        <v>2.580000000000001E-2</v>
      </c>
      <c r="M74" s="165">
        <f t="shared" si="11"/>
        <v>2.580000000000001E-2</v>
      </c>
      <c r="N74" s="165">
        <f t="shared" si="11"/>
        <v>2.580000000000001E-2</v>
      </c>
      <c r="O74" s="165">
        <f t="shared" si="11"/>
        <v>2.480000000000001E-2</v>
      </c>
      <c r="P74" s="165">
        <f t="shared" si="11"/>
        <v>0.32000000000000017</v>
      </c>
      <c r="Q74" s="197"/>
      <c r="R74" s="197"/>
      <c r="S74" s="194"/>
      <c r="T74" s="194"/>
      <c r="U74" s="194"/>
      <c r="V74" s="194"/>
      <c r="W74" s="194"/>
      <c r="X74" s="194"/>
      <c r="Y74" s="194"/>
      <c r="Z74" s="194"/>
      <c r="AA74" s="194"/>
      <c r="AB74" s="194"/>
      <c r="AC74" s="194"/>
      <c r="AD74" s="194"/>
    </row>
    <row r="75" spans="1:30" hidden="1" x14ac:dyDescent="0.3">
      <c r="A75" s="197"/>
      <c r="B75" s="108"/>
      <c r="C75" s="164" t="s">
        <v>62</v>
      </c>
      <c r="D75" s="163">
        <f t="shared" ref="D75:O75" si="12">D74*$W$17/$B$34</f>
        <v>7.625000000000004E-2</v>
      </c>
      <c r="E75" s="163">
        <f t="shared" si="12"/>
        <v>9.0625000000000039E-2</v>
      </c>
      <c r="F75" s="163">
        <f t="shared" si="12"/>
        <v>9.0625000000000039E-2</v>
      </c>
      <c r="G75" s="163">
        <f t="shared" si="12"/>
        <v>9.0625000000000039E-2</v>
      </c>
      <c r="H75" s="163">
        <f t="shared" si="12"/>
        <v>9.0625000000000039E-2</v>
      </c>
      <c r="I75" s="163">
        <f t="shared" si="12"/>
        <v>8.062500000000003E-2</v>
      </c>
      <c r="J75" s="163">
        <f t="shared" si="12"/>
        <v>8.062500000000003E-2</v>
      </c>
      <c r="K75" s="163">
        <f t="shared" si="12"/>
        <v>8.062500000000003E-2</v>
      </c>
      <c r="L75" s="163">
        <f t="shared" si="12"/>
        <v>8.062500000000003E-2</v>
      </c>
      <c r="M75" s="163">
        <f t="shared" si="12"/>
        <v>8.062500000000003E-2</v>
      </c>
      <c r="N75" s="163">
        <f t="shared" si="12"/>
        <v>8.062500000000003E-2</v>
      </c>
      <c r="O75" s="163">
        <f t="shared" si="12"/>
        <v>7.7500000000000027E-2</v>
      </c>
      <c r="P75" s="162">
        <f>SUM(D75:O75)</f>
        <v>1.0000000000000007</v>
      </c>
      <c r="Q75" s="197"/>
      <c r="R75" s="197"/>
      <c r="S75" s="194"/>
      <c r="T75" s="194"/>
      <c r="U75" s="194"/>
      <c r="V75" s="194"/>
      <c r="W75" s="194"/>
      <c r="X75" s="194"/>
      <c r="Y75" s="194"/>
      <c r="Z75" s="194"/>
      <c r="AA75" s="194"/>
      <c r="AB75" s="194"/>
      <c r="AC75" s="194"/>
      <c r="AD75" s="194"/>
    </row>
    <row r="76" spans="1:30" hidden="1" x14ac:dyDescent="0.3">
      <c r="A76" s="194"/>
      <c r="Q76" s="194"/>
      <c r="R76" s="194"/>
      <c r="S76" s="194"/>
      <c r="T76" s="194"/>
      <c r="U76" s="194"/>
      <c r="V76" s="194"/>
      <c r="W76" s="194"/>
      <c r="X76" s="194"/>
      <c r="Y76" s="194"/>
      <c r="Z76" s="194"/>
      <c r="AA76" s="194"/>
      <c r="AB76" s="194"/>
      <c r="AC76" s="194"/>
      <c r="AD76" s="194"/>
    </row>
    <row r="77" spans="1:30" x14ac:dyDescent="0.3">
      <c r="A77" s="194"/>
      <c r="Q77" s="194"/>
      <c r="R77" s="194"/>
      <c r="S77" s="194"/>
      <c r="T77" s="194"/>
      <c r="U77" s="194"/>
      <c r="V77" s="194"/>
      <c r="W77" s="194"/>
      <c r="X77" s="194"/>
      <c r="Y77" s="194"/>
      <c r="Z77" s="194"/>
      <c r="AA77" s="194"/>
      <c r="AB77" s="194"/>
      <c r="AC77" s="194"/>
      <c r="AD77" s="194"/>
    </row>
    <row r="78" spans="1:30" x14ac:dyDescent="0.3">
      <c r="A78" s="194"/>
      <c r="Q78" s="194"/>
      <c r="R78" s="194"/>
      <c r="S78" s="194"/>
      <c r="T78" s="194"/>
      <c r="U78" s="194"/>
      <c r="V78" s="194"/>
      <c r="W78" s="194"/>
      <c r="X78" s="194"/>
      <c r="Y78" s="194"/>
      <c r="Z78" s="194"/>
      <c r="AA78" s="194"/>
      <c r="AB78" s="194"/>
      <c r="AC78" s="194"/>
      <c r="AD78" s="194"/>
    </row>
    <row r="79" spans="1:30" x14ac:dyDescent="0.3">
      <c r="A79" s="194"/>
      <c r="Q79" s="194"/>
      <c r="R79" s="194"/>
      <c r="S79" s="194"/>
      <c r="T79" s="194"/>
      <c r="U79" s="194"/>
      <c r="V79" s="194"/>
      <c r="W79" s="194"/>
      <c r="X79" s="194"/>
      <c r="Y79" s="194"/>
      <c r="Z79" s="194"/>
      <c r="AA79" s="194"/>
      <c r="AB79" s="194"/>
      <c r="AC79" s="194"/>
      <c r="AD79" s="194"/>
    </row>
    <row r="80" spans="1:30" x14ac:dyDescent="0.3">
      <c r="A80" s="194"/>
      <c r="Q80" s="194"/>
      <c r="R80" s="194"/>
      <c r="S80" s="194"/>
      <c r="T80" s="194"/>
      <c r="U80" s="194"/>
      <c r="V80" s="194"/>
      <c r="W80" s="194"/>
      <c r="X80" s="194"/>
      <c r="Y80" s="194"/>
      <c r="Z80" s="194"/>
      <c r="AA80" s="194"/>
      <c r="AB80" s="194"/>
      <c r="AC80" s="194"/>
      <c r="AD80" s="194"/>
    </row>
    <row r="81" spans="1:30" x14ac:dyDescent="0.3">
      <c r="A81" s="194"/>
      <c r="Q81" s="194"/>
      <c r="R81" s="194"/>
      <c r="S81" s="194"/>
      <c r="T81" s="194"/>
      <c r="U81" s="194"/>
      <c r="V81" s="194"/>
      <c r="W81" s="194"/>
      <c r="X81" s="194"/>
      <c r="Y81" s="194"/>
      <c r="Z81" s="194"/>
      <c r="AA81" s="194"/>
      <c r="AB81" s="194"/>
      <c r="AC81" s="194"/>
      <c r="AD81" s="194"/>
    </row>
    <row r="82" spans="1:30" x14ac:dyDescent="0.3">
      <c r="A82" s="194"/>
      <c r="Q82" s="194"/>
      <c r="R82" s="194"/>
      <c r="S82" s="194"/>
      <c r="T82" s="194"/>
      <c r="U82" s="194"/>
      <c r="V82" s="194"/>
      <c r="W82" s="194"/>
      <c r="X82" s="194"/>
      <c r="Y82" s="194"/>
      <c r="Z82" s="194"/>
      <c r="AA82" s="194"/>
      <c r="AB82" s="194"/>
      <c r="AC82" s="194"/>
      <c r="AD82" s="194"/>
    </row>
    <row r="83" spans="1:30" x14ac:dyDescent="0.3">
      <c r="A83" s="194"/>
      <c r="Q83" s="194"/>
      <c r="R83" s="194"/>
      <c r="S83" s="194"/>
      <c r="T83" s="194"/>
      <c r="U83" s="194"/>
      <c r="V83" s="194"/>
      <c r="W83" s="194"/>
      <c r="X83" s="194"/>
      <c r="Y83" s="194"/>
      <c r="Z83" s="194"/>
      <c r="AA83" s="194"/>
      <c r="AB83" s="194"/>
      <c r="AC83" s="194"/>
      <c r="AD83" s="194"/>
    </row>
    <row r="84" spans="1:30" x14ac:dyDescent="0.3">
      <c r="A84" s="194"/>
      <c r="Q84" s="194"/>
      <c r="R84" s="194"/>
      <c r="S84" s="194"/>
      <c r="T84" s="194"/>
      <c r="U84" s="194"/>
      <c r="V84" s="194"/>
      <c r="W84" s="194"/>
      <c r="X84" s="194"/>
      <c r="Y84" s="194"/>
      <c r="Z84" s="194"/>
      <c r="AA84" s="194"/>
      <c r="AB84" s="194"/>
      <c r="AC84" s="194"/>
      <c r="AD84" s="194"/>
    </row>
    <row r="85" spans="1:30" x14ac:dyDescent="0.3">
      <c r="A85" s="194"/>
      <c r="Q85" s="194"/>
      <c r="R85" s="194"/>
      <c r="S85" s="194"/>
      <c r="T85" s="194"/>
      <c r="U85" s="194"/>
      <c r="V85" s="194"/>
      <c r="W85" s="194"/>
      <c r="X85" s="194"/>
      <c r="Y85" s="194"/>
      <c r="Z85" s="194"/>
      <c r="AA85" s="194"/>
      <c r="AB85" s="194"/>
      <c r="AC85" s="194"/>
      <c r="AD85" s="194"/>
    </row>
    <row r="86" spans="1:30" x14ac:dyDescent="0.3">
      <c r="A86" s="194"/>
      <c r="Q86" s="194"/>
      <c r="R86" s="194"/>
      <c r="S86" s="194"/>
      <c r="T86" s="194"/>
      <c r="U86" s="194"/>
      <c r="V86" s="194"/>
      <c r="W86" s="194"/>
      <c r="X86" s="194"/>
      <c r="Y86" s="194"/>
      <c r="Z86" s="194"/>
      <c r="AA86" s="194"/>
      <c r="AB86" s="194"/>
      <c r="AC86" s="194"/>
      <c r="AD86" s="194"/>
    </row>
    <row r="87" spans="1:30" x14ac:dyDescent="0.3">
      <c r="A87" s="194"/>
      <c r="Q87" s="194"/>
      <c r="R87" s="194"/>
      <c r="S87" s="194"/>
      <c r="T87" s="194"/>
      <c r="U87" s="194"/>
      <c r="V87" s="194"/>
      <c r="W87" s="194"/>
      <c r="X87" s="194"/>
      <c r="Y87" s="194"/>
      <c r="Z87" s="194"/>
      <c r="AA87" s="194"/>
      <c r="AB87" s="194"/>
      <c r="AC87" s="194"/>
      <c r="AD87" s="194"/>
    </row>
    <row r="88" spans="1:30" x14ac:dyDescent="0.3">
      <c r="A88" s="194"/>
      <c r="Q88" s="194"/>
      <c r="R88" s="194"/>
      <c r="S88" s="194"/>
      <c r="T88" s="194"/>
      <c r="U88" s="194"/>
      <c r="V88" s="194"/>
      <c r="W88" s="194"/>
      <c r="X88" s="194"/>
      <c r="Y88" s="194"/>
      <c r="Z88" s="194"/>
      <c r="AA88" s="194"/>
      <c r="AB88" s="194"/>
      <c r="AC88" s="194"/>
      <c r="AD88" s="194"/>
    </row>
    <row r="89" spans="1:30"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99">
    <mergeCell ref="A67:A68"/>
    <mergeCell ref="B67:B68"/>
    <mergeCell ref="A59:A60"/>
    <mergeCell ref="B59:B60"/>
    <mergeCell ref="A69:A70"/>
    <mergeCell ref="B69:B70"/>
    <mergeCell ref="A61:A62"/>
    <mergeCell ref="B61:B62"/>
    <mergeCell ref="A63:A64"/>
    <mergeCell ref="B63:B64"/>
    <mergeCell ref="A65:A66"/>
    <mergeCell ref="B65:B66"/>
    <mergeCell ref="A55:A56"/>
    <mergeCell ref="B55:B56"/>
    <mergeCell ref="C55:P55"/>
    <mergeCell ref="A57:A58"/>
    <mergeCell ref="B57:B58"/>
    <mergeCell ref="Q44:AD45"/>
    <mergeCell ref="A40:A41"/>
    <mergeCell ref="Q40:AD41"/>
    <mergeCell ref="A42:A43"/>
    <mergeCell ref="Q42:AD43"/>
    <mergeCell ref="B40:B41"/>
    <mergeCell ref="B42:B43"/>
    <mergeCell ref="B44:B45"/>
    <mergeCell ref="A44:A45"/>
    <mergeCell ref="A38:A39"/>
    <mergeCell ref="Q38:AD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phoneticPr fontId="69" type="noConversion"/>
  <dataValidations count="3">
    <dataValidation type="textLength" operator="lessThanOrEqual" allowBlank="1" showInputMessage="1" showErrorMessage="1" errorTitle="Máximo 2.000 caracteres" error="Máximo 2.000 caracteres" sqref="Q38:AD45"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rintOptions horizontalCentered="1"/>
  <pageMargins left="0.39370078740157483" right="0.39370078740157483" top="0.39370078740157483" bottom="0.39370078740157483" header="0" footer="0"/>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303"/>
  <sheetViews>
    <sheetView showGridLines="0" view="pageBreakPreview" topLeftCell="N46" zoomScale="75" zoomScaleNormal="60" zoomScaleSheetLayoutView="75" workbookViewId="0">
      <selection activeCell="W34" sqref="W34:Z35"/>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16" width="18.109375" style="50" customWidth="1"/>
    <col min="17" max="17" width="19.88671875" style="50" customWidth="1"/>
    <col min="18" max="18" width="21" style="50" customWidth="1"/>
    <col min="19"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769" t="s">
        <v>4</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517" t="s">
        <v>5</v>
      </c>
      <c r="AC3" s="518"/>
      <c r="AD3" s="519"/>
    </row>
    <row r="4" spans="1:33" ht="21.75" customHeight="1" thickBot="1" x14ac:dyDescent="0.35">
      <c r="A4" s="510"/>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147</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1.1" customHeight="1" thickBot="1" x14ac:dyDescent="0.35">
      <c r="A15" s="454" t="s">
        <v>17</v>
      </c>
      <c r="B15" s="455"/>
      <c r="C15" s="520" t="s">
        <v>148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149</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775" t="s">
        <v>150</v>
      </c>
      <c r="D17" s="776"/>
      <c r="E17" s="776"/>
      <c r="F17" s="776"/>
      <c r="G17" s="776"/>
      <c r="H17" s="776"/>
      <c r="I17" s="776"/>
      <c r="J17" s="776"/>
      <c r="K17" s="776"/>
      <c r="L17" s="776"/>
      <c r="M17" s="776"/>
      <c r="N17" s="776"/>
      <c r="O17" s="776"/>
      <c r="P17" s="776"/>
      <c r="Q17" s="777"/>
      <c r="R17" s="484" t="s">
        <v>25</v>
      </c>
      <c r="S17" s="488"/>
      <c r="T17" s="488"/>
      <c r="U17" s="488"/>
      <c r="V17" s="485"/>
      <c r="W17" s="486">
        <v>0.3</v>
      </c>
      <c r="X17" s="487"/>
      <c r="Y17" s="488" t="s">
        <v>26</v>
      </c>
      <c r="Z17" s="488"/>
      <c r="AA17" s="488"/>
      <c r="AB17" s="485"/>
      <c r="AC17" s="451">
        <v>0.09</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282">
        <v>389272925</v>
      </c>
      <c r="R22" s="283">
        <v>8537488</v>
      </c>
      <c r="S22" s="283">
        <v>8390000</v>
      </c>
      <c r="T22" s="283">
        <v>0</v>
      </c>
      <c r="U22" s="283">
        <v>45000000</v>
      </c>
      <c r="V22" s="283">
        <v>15000000</v>
      </c>
      <c r="W22" s="283">
        <v>0</v>
      </c>
      <c r="X22" s="283">
        <v>0</v>
      </c>
      <c r="Y22" s="283">
        <v>0</v>
      </c>
      <c r="Z22" s="283">
        <v>0</v>
      </c>
      <c r="AA22" s="283">
        <v>0</v>
      </c>
      <c r="AB22" s="283">
        <v>0</v>
      </c>
      <c r="AC22" s="284">
        <f>SUM(Q22:AB22)</f>
        <v>466200413</v>
      </c>
      <c r="AD22" s="285"/>
      <c r="AE22" s="3"/>
      <c r="AF22" s="3"/>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290">
        <f>136170675</f>
        <v>136170675</v>
      </c>
      <c r="R23" s="291">
        <f>315660175-Q23</f>
        <v>179489500</v>
      </c>
      <c r="S23" s="291">
        <f>328562115-Q23-R23</f>
        <v>12901940</v>
      </c>
      <c r="T23" s="291">
        <f>317785408-Q23-R23-S23</f>
        <v>-10776707</v>
      </c>
      <c r="U23" s="291">
        <f>392910919-Q23-R23-S23-T23</f>
        <v>75125511</v>
      </c>
      <c r="V23" s="291">
        <f>422088119-Q23-R23-S23-T23-U23</f>
        <v>29177200</v>
      </c>
      <c r="W23" s="291">
        <f>427091611-Q23-R23-S23-T23-U23-V23</f>
        <v>5003492</v>
      </c>
      <c r="X23" s="291">
        <f>426919038-Q23-R23-S23-T23-U23-V23-W23</f>
        <v>-172573</v>
      </c>
      <c r="Y23" s="291">
        <f>426544038-Q23-R23-S23-T23-U23-V23-W23-X23</f>
        <v>-375000</v>
      </c>
      <c r="Z23" s="291"/>
      <c r="AA23" s="291"/>
      <c r="AB23" s="291"/>
      <c r="AC23" s="280">
        <f>SUM(Q23:AB23)</f>
        <v>426544038</v>
      </c>
      <c r="AD23" s="292">
        <f>AC23/AC22</f>
        <v>0.91493706591804325</v>
      </c>
      <c r="AE23" s="3"/>
      <c r="AF23" s="3"/>
    </row>
    <row r="24" spans="1:41" ht="32.1" customHeight="1" x14ac:dyDescent="0.3">
      <c r="A24" s="439" t="s">
        <v>45</v>
      </c>
      <c r="B24" s="440"/>
      <c r="C24" s="287"/>
      <c r="D24" s="288"/>
      <c r="E24" s="288"/>
      <c r="F24" s="288"/>
      <c r="G24" s="288"/>
      <c r="H24" s="288"/>
      <c r="I24" s="288"/>
      <c r="J24" s="288"/>
      <c r="K24" s="288"/>
      <c r="L24" s="288"/>
      <c r="M24" s="288"/>
      <c r="N24" s="288"/>
      <c r="O24" s="288">
        <f>SUM(C24:N24)</f>
        <v>0</v>
      </c>
      <c r="P24" s="293"/>
      <c r="Q24" s="290"/>
      <c r="R24" s="347">
        <v>16917651</v>
      </c>
      <c r="S24" s="346">
        <v>30675087</v>
      </c>
      <c r="T24" s="346">
        <v>30424287</v>
      </c>
      <c r="U24" s="346">
        <v>30424287</v>
      </c>
      <c r="V24" s="346">
        <v>30424287</v>
      </c>
      <c r="W24" s="347">
        <v>43624037</v>
      </c>
      <c r="X24" s="347">
        <v>55678037</v>
      </c>
      <c r="Y24" s="347">
        <v>58678037</v>
      </c>
      <c r="Z24" s="347">
        <v>60348102</v>
      </c>
      <c r="AA24" s="347">
        <v>42897543</v>
      </c>
      <c r="AB24" s="347">
        <v>66109058.406666696</v>
      </c>
      <c r="AC24" s="288">
        <f>SUM(Q24:AB24)</f>
        <v>466200413.4066667</v>
      </c>
      <c r="AD24" s="292"/>
      <c r="AE24" s="3"/>
      <c r="AF24" s="3"/>
    </row>
    <row r="25" spans="1:41" ht="32.1" customHeight="1" thickBot="1" x14ac:dyDescent="0.35">
      <c r="A25" s="398" t="s">
        <v>46</v>
      </c>
      <c r="B25" s="441"/>
      <c r="C25" s="297"/>
      <c r="D25" s="298"/>
      <c r="E25" s="298"/>
      <c r="F25" s="298"/>
      <c r="G25" s="298"/>
      <c r="H25" s="298"/>
      <c r="I25" s="298"/>
      <c r="J25" s="298"/>
      <c r="K25" s="298"/>
      <c r="L25" s="298"/>
      <c r="M25" s="298"/>
      <c r="N25" s="298"/>
      <c r="O25" s="298">
        <f>SUM(C25:N25)</f>
        <v>0</v>
      </c>
      <c r="P25" s="300" t="str">
        <f>IFERROR(O25/(SUMIF(C25:N25,"&gt;0",C24:N24))," ")</f>
        <v xml:space="preserve"> </v>
      </c>
      <c r="Q25" s="349"/>
      <c r="R25" s="299">
        <f>2487274</f>
        <v>2487274</v>
      </c>
      <c r="S25" s="299">
        <f>22155991-R25</f>
        <v>19668717</v>
      </c>
      <c r="T25" s="299">
        <f>51355125-R25-S25</f>
        <v>29199134</v>
      </c>
      <c r="U25" s="299">
        <f>80850825-R25-S25-T25</f>
        <v>29495700</v>
      </c>
      <c r="V25" s="299">
        <f>111507850-R25-S25-T25-U25</f>
        <v>30657025</v>
      </c>
      <c r="W25" s="299">
        <f>164602312-R25-S25-T25-U25-V25</f>
        <v>53094462</v>
      </c>
      <c r="X25" s="299">
        <f>224405566-R25-S25-T25-U25-V25-W25</f>
        <v>59803254</v>
      </c>
      <c r="Y25" s="299">
        <f>265215366-R25-S25-T25-U25-V25-W25-X25</f>
        <v>40809800</v>
      </c>
      <c r="Z25" s="299"/>
      <c r="AA25" s="299"/>
      <c r="AB25" s="299"/>
      <c r="AC25" s="298">
        <f>SUM(Q25:AB25)</f>
        <v>265215366</v>
      </c>
      <c r="AD25" s="303">
        <f>AC25/AC24</f>
        <v>0.56888702449230266</v>
      </c>
      <c r="AE25" s="3"/>
      <c r="AF25" s="3"/>
    </row>
    <row r="26" spans="1:41" ht="32.1" customHeight="1" thickBot="1" x14ac:dyDescent="0.35">
      <c r="A26" s="248"/>
      <c r="B26" s="243"/>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249"/>
      <c r="AD26" s="263"/>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72" customHeight="1" thickBot="1" x14ac:dyDescent="0.35">
      <c r="A30" s="333" t="s">
        <v>151</v>
      </c>
      <c r="B30" s="778"/>
      <c r="C30" s="779"/>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thickBot="1" x14ac:dyDescent="0.35">
      <c r="A31" s="463" t="s">
        <v>53</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838"/>
    </row>
    <row r="32" spans="1:41" ht="23.1" customHeight="1" x14ac:dyDescent="0.3">
      <c r="A32" s="397" t="s">
        <v>54</v>
      </c>
      <c r="B32" s="401" t="s">
        <v>55</v>
      </c>
      <c r="C32" s="401" t="s">
        <v>49</v>
      </c>
      <c r="D32" s="401" t="s">
        <v>56</v>
      </c>
      <c r="E32" s="401"/>
      <c r="F32" s="401"/>
      <c r="G32" s="401"/>
      <c r="H32" s="401"/>
      <c r="I32" s="401"/>
      <c r="J32" s="401"/>
      <c r="K32" s="401"/>
      <c r="L32" s="401"/>
      <c r="M32" s="401"/>
      <c r="N32" s="401"/>
      <c r="O32" s="401"/>
      <c r="P32" s="401"/>
      <c r="Q32" s="401" t="s">
        <v>57</v>
      </c>
      <c r="R32" s="401"/>
      <c r="S32" s="401"/>
      <c r="T32" s="401"/>
      <c r="U32" s="401"/>
      <c r="V32" s="401"/>
      <c r="W32" s="401"/>
      <c r="X32" s="401"/>
      <c r="Y32" s="401"/>
      <c r="Z32" s="401"/>
      <c r="AA32" s="401"/>
      <c r="AB32" s="401"/>
      <c r="AC32" s="401"/>
      <c r="AD32" s="402"/>
      <c r="AG32" s="87"/>
      <c r="AH32" s="87"/>
      <c r="AI32" s="87"/>
      <c r="AJ32" s="87"/>
      <c r="AK32" s="87"/>
      <c r="AL32" s="87"/>
      <c r="AM32" s="87"/>
      <c r="AN32" s="87"/>
      <c r="AO32" s="87"/>
    </row>
    <row r="33" spans="1:41" ht="27" customHeight="1" thickBot="1" x14ac:dyDescent="0.35">
      <c r="A33" s="839"/>
      <c r="B33" s="840"/>
      <c r="C33" s="841"/>
      <c r="D33" s="352" t="s">
        <v>30</v>
      </c>
      <c r="E33" s="352" t="s">
        <v>31</v>
      </c>
      <c r="F33" s="352" t="s">
        <v>32</v>
      </c>
      <c r="G33" s="352" t="s">
        <v>33</v>
      </c>
      <c r="H33" s="352" t="s">
        <v>34</v>
      </c>
      <c r="I33" s="352" t="s">
        <v>35</v>
      </c>
      <c r="J33" s="352" t="s">
        <v>36</v>
      </c>
      <c r="K33" s="352" t="s">
        <v>37</v>
      </c>
      <c r="L33" s="352" t="s">
        <v>8</v>
      </c>
      <c r="M33" s="352" t="s">
        <v>38</v>
      </c>
      <c r="N33" s="352" t="s">
        <v>39</v>
      </c>
      <c r="O33" s="352" t="s">
        <v>40</v>
      </c>
      <c r="P33" s="352" t="s">
        <v>41</v>
      </c>
      <c r="Q33" s="840" t="s">
        <v>58</v>
      </c>
      <c r="R33" s="840"/>
      <c r="S33" s="840"/>
      <c r="T33" s="840" t="s">
        <v>59</v>
      </c>
      <c r="U33" s="840"/>
      <c r="V33" s="840"/>
      <c r="W33" s="848" t="s">
        <v>60</v>
      </c>
      <c r="X33" s="503"/>
      <c r="Y33" s="503"/>
      <c r="Z33" s="849"/>
      <c r="AA33" s="848" t="s">
        <v>61</v>
      </c>
      <c r="AB33" s="503"/>
      <c r="AC33" s="503"/>
      <c r="AD33" s="504"/>
      <c r="AG33" s="87"/>
      <c r="AH33" s="87"/>
      <c r="AI33" s="87"/>
      <c r="AJ33" s="87"/>
      <c r="AK33" s="87"/>
      <c r="AL33" s="87"/>
      <c r="AM33" s="87"/>
      <c r="AN33" s="87"/>
      <c r="AO33" s="87"/>
    </row>
    <row r="34" spans="1:41" ht="289.35000000000002" customHeight="1" x14ac:dyDescent="0.3">
      <c r="A34" s="850" t="s">
        <v>151</v>
      </c>
      <c r="B34" s="852">
        <v>0.09</v>
      </c>
      <c r="C34" s="353" t="s">
        <v>62</v>
      </c>
      <c r="D34" s="354">
        <f>D69</f>
        <v>0</v>
      </c>
      <c r="E34" s="354">
        <f t="shared" ref="E34:P34" si="0">E69</f>
        <v>9.0000000000000011E-3</v>
      </c>
      <c r="F34" s="354">
        <f t="shared" si="0"/>
        <v>1.6E-2</v>
      </c>
      <c r="G34" s="354">
        <f t="shared" si="0"/>
        <v>2.4999999999999998E-2</v>
      </c>
      <c r="H34" s="354">
        <f t="shared" si="0"/>
        <v>0.03</v>
      </c>
      <c r="I34" s="354">
        <f t="shared" si="0"/>
        <v>3.4999999999999996E-2</v>
      </c>
      <c r="J34" s="354">
        <f t="shared" si="0"/>
        <v>3.9999999999999994E-2</v>
      </c>
      <c r="K34" s="354">
        <f t="shared" si="0"/>
        <v>3.9999999999999994E-2</v>
      </c>
      <c r="L34" s="354">
        <f t="shared" si="0"/>
        <v>3.9999999999999994E-2</v>
      </c>
      <c r="M34" s="354">
        <f t="shared" si="0"/>
        <v>0.03</v>
      </c>
      <c r="N34" s="354">
        <f t="shared" si="0"/>
        <v>0.02</v>
      </c>
      <c r="O34" s="354">
        <f t="shared" si="0"/>
        <v>1.4999999999999999E-2</v>
      </c>
      <c r="P34" s="354">
        <f t="shared" si="0"/>
        <v>0.29999999999999993</v>
      </c>
      <c r="Q34" s="853" t="s">
        <v>152</v>
      </c>
      <c r="R34" s="853"/>
      <c r="S34" s="853"/>
      <c r="T34" s="853" t="s">
        <v>153</v>
      </c>
      <c r="U34" s="853"/>
      <c r="V34" s="853"/>
      <c r="W34" s="857" t="s">
        <v>153</v>
      </c>
      <c r="X34" s="858"/>
      <c r="Y34" s="858"/>
      <c r="Z34" s="859"/>
      <c r="AA34" s="853" t="s">
        <v>154</v>
      </c>
      <c r="AB34" s="853"/>
      <c r="AC34" s="853"/>
      <c r="AD34" s="854"/>
      <c r="AG34" s="87"/>
      <c r="AH34" s="87"/>
      <c r="AI34" s="87"/>
      <c r="AJ34" s="87"/>
      <c r="AK34" s="87"/>
      <c r="AL34" s="87"/>
      <c r="AM34" s="87"/>
      <c r="AN34" s="87"/>
      <c r="AO34" s="87"/>
    </row>
    <row r="35" spans="1:41" ht="97.35" customHeight="1" thickBot="1" x14ac:dyDescent="0.35">
      <c r="A35" s="851"/>
      <c r="B35" s="417"/>
      <c r="C35" s="315" t="s">
        <v>63</v>
      </c>
      <c r="D35" s="316">
        <f>D66</f>
        <v>0</v>
      </c>
      <c r="E35" s="316">
        <f t="shared" ref="E35:P35" si="1">E66</f>
        <v>9.0000000000000011E-3</v>
      </c>
      <c r="F35" s="316">
        <f t="shared" si="1"/>
        <v>1.6E-2</v>
      </c>
      <c r="G35" s="316">
        <f t="shared" si="1"/>
        <v>2.4999999999999998E-2</v>
      </c>
      <c r="H35" s="316">
        <f t="shared" si="1"/>
        <v>0.03</v>
      </c>
      <c r="I35" s="316">
        <f t="shared" si="1"/>
        <v>3.4999999999999996E-2</v>
      </c>
      <c r="J35" s="316">
        <f t="shared" si="1"/>
        <v>3.9999999999999994E-2</v>
      </c>
      <c r="K35" s="316">
        <f t="shared" si="1"/>
        <v>3.9999999999999994E-2</v>
      </c>
      <c r="L35" s="316">
        <f t="shared" si="1"/>
        <v>3.9999999999999994E-2</v>
      </c>
      <c r="M35" s="316">
        <f t="shared" si="1"/>
        <v>0</v>
      </c>
      <c r="N35" s="316">
        <f t="shared" si="1"/>
        <v>0</v>
      </c>
      <c r="O35" s="316">
        <f t="shared" si="1"/>
        <v>0</v>
      </c>
      <c r="P35" s="316">
        <f t="shared" si="1"/>
        <v>0.23499999999999993</v>
      </c>
      <c r="Q35" s="855"/>
      <c r="R35" s="855"/>
      <c r="S35" s="855"/>
      <c r="T35" s="855"/>
      <c r="U35" s="855"/>
      <c r="V35" s="855"/>
      <c r="W35" s="860"/>
      <c r="X35" s="861"/>
      <c r="Y35" s="861"/>
      <c r="Z35" s="862"/>
      <c r="AA35" s="855"/>
      <c r="AB35" s="855"/>
      <c r="AC35" s="855"/>
      <c r="AD35" s="856"/>
      <c r="AE35" s="49"/>
      <c r="AG35" s="87"/>
      <c r="AH35" s="87"/>
      <c r="AI35" s="87"/>
      <c r="AJ35" s="87"/>
      <c r="AK35" s="87"/>
      <c r="AL35" s="87"/>
      <c r="AM35" s="87"/>
      <c r="AN35" s="87"/>
      <c r="AO35" s="87"/>
    </row>
    <row r="36" spans="1:41" ht="26.1" customHeight="1" x14ac:dyDescent="0.3">
      <c r="A36" s="780" t="s">
        <v>64</v>
      </c>
      <c r="B36" s="782" t="s">
        <v>65</v>
      </c>
      <c r="C36" s="397" t="s">
        <v>66</v>
      </c>
      <c r="D36" s="401"/>
      <c r="E36" s="401"/>
      <c r="F36" s="401"/>
      <c r="G36" s="401"/>
      <c r="H36" s="401"/>
      <c r="I36" s="401"/>
      <c r="J36" s="401"/>
      <c r="K36" s="401"/>
      <c r="L36" s="401"/>
      <c r="M36" s="401"/>
      <c r="N36" s="401"/>
      <c r="O36" s="401"/>
      <c r="P36" s="450"/>
      <c r="Q36" s="397"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40.5" customHeight="1" thickBot="1" x14ac:dyDescent="0.35">
      <c r="A37" s="781"/>
      <c r="B37" s="783"/>
      <c r="C37" s="295" t="s">
        <v>68</v>
      </c>
      <c r="D37" s="318" t="s">
        <v>69</v>
      </c>
      <c r="E37" s="318" t="s">
        <v>70</v>
      </c>
      <c r="F37" s="318" t="s">
        <v>71</v>
      </c>
      <c r="G37" s="318" t="s">
        <v>72</v>
      </c>
      <c r="H37" s="318" t="s">
        <v>73</v>
      </c>
      <c r="I37" s="318" t="s">
        <v>74</v>
      </c>
      <c r="J37" s="318" t="s">
        <v>75</v>
      </c>
      <c r="K37" s="318" t="s">
        <v>76</v>
      </c>
      <c r="L37" s="318" t="s">
        <v>77</v>
      </c>
      <c r="M37" s="318" t="s">
        <v>78</v>
      </c>
      <c r="N37" s="318" t="s">
        <v>79</v>
      </c>
      <c r="O37" s="318" t="s">
        <v>80</v>
      </c>
      <c r="P37" s="296" t="s">
        <v>81</v>
      </c>
      <c r="Q37" s="398" t="s">
        <v>82</v>
      </c>
      <c r="R37" s="863"/>
      <c r="S37" s="863"/>
      <c r="T37" s="863"/>
      <c r="U37" s="863"/>
      <c r="V37" s="863"/>
      <c r="W37" s="863"/>
      <c r="X37" s="863"/>
      <c r="Y37" s="863"/>
      <c r="Z37" s="863"/>
      <c r="AA37" s="863"/>
      <c r="AB37" s="863"/>
      <c r="AC37" s="863"/>
      <c r="AD37" s="864"/>
      <c r="AG37" s="94"/>
      <c r="AH37" s="94"/>
      <c r="AI37" s="94"/>
      <c r="AJ37" s="94"/>
      <c r="AK37" s="94"/>
      <c r="AL37" s="94"/>
      <c r="AM37" s="94"/>
      <c r="AN37" s="94"/>
      <c r="AO37" s="94"/>
    </row>
    <row r="38" spans="1:41" ht="77.099999999999994" customHeight="1" x14ac:dyDescent="0.3">
      <c r="A38" s="806" t="s">
        <v>155</v>
      </c>
      <c r="B38" s="813">
        <v>0.03</v>
      </c>
      <c r="C38" s="335" t="s">
        <v>62</v>
      </c>
      <c r="D38" s="320">
        <v>0</v>
      </c>
      <c r="E38" s="320">
        <v>0.02</v>
      </c>
      <c r="F38" s="320">
        <v>0.03</v>
      </c>
      <c r="G38" s="320">
        <v>0.1</v>
      </c>
      <c r="H38" s="320">
        <v>0.1</v>
      </c>
      <c r="I38" s="320">
        <v>0.15</v>
      </c>
      <c r="J38" s="320">
        <v>0.15</v>
      </c>
      <c r="K38" s="320">
        <v>0.15</v>
      </c>
      <c r="L38" s="320">
        <v>0.15</v>
      </c>
      <c r="M38" s="320">
        <v>0.05</v>
      </c>
      <c r="N38" s="320">
        <v>0.05</v>
      </c>
      <c r="O38" s="320">
        <v>0.05</v>
      </c>
      <c r="P38" s="355">
        <f t="shared" ref="P38:P43" si="2">SUM(D38:O38)</f>
        <v>1.0000000000000002</v>
      </c>
      <c r="Q38" s="842" t="s">
        <v>156</v>
      </c>
      <c r="R38" s="843"/>
      <c r="S38" s="843"/>
      <c r="T38" s="843"/>
      <c r="U38" s="843"/>
      <c r="V38" s="843"/>
      <c r="W38" s="843"/>
      <c r="X38" s="843"/>
      <c r="Y38" s="843"/>
      <c r="Z38" s="843"/>
      <c r="AA38" s="843"/>
      <c r="AB38" s="843"/>
      <c r="AC38" s="843"/>
      <c r="AD38" s="844"/>
      <c r="AE38" s="97"/>
      <c r="AG38" s="98"/>
      <c r="AH38" s="98"/>
      <c r="AI38" s="98"/>
      <c r="AJ38" s="98"/>
      <c r="AK38" s="98"/>
      <c r="AL38" s="98"/>
      <c r="AM38" s="98"/>
      <c r="AN38" s="98"/>
      <c r="AO38" s="98"/>
    </row>
    <row r="39" spans="1:41" ht="77.099999999999994" customHeight="1" x14ac:dyDescent="0.3">
      <c r="A39" s="792"/>
      <c r="B39" s="813"/>
      <c r="C39" s="336" t="s">
        <v>63</v>
      </c>
      <c r="D39" s="323">
        <v>0</v>
      </c>
      <c r="E39" s="323">
        <v>0.02</v>
      </c>
      <c r="F39" s="323">
        <v>0.03</v>
      </c>
      <c r="G39" s="323">
        <v>0.1</v>
      </c>
      <c r="H39" s="323">
        <v>0.1</v>
      </c>
      <c r="I39" s="323">
        <v>0.15</v>
      </c>
      <c r="J39" s="323">
        <v>0.15</v>
      </c>
      <c r="K39" s="323">
        <v>0.15</v>
      </c>
      <c r="L39" s="323">
        <v>0.15</v>
      </c>
      <c r="M39" s="323"/>
      <c r="N39" s="323"/>
      <c r="O39" s="323"/>
      <c r="P39" s="327">
        <f t="shared" si="2"/>
        <v>0.85000000000000009</v>
      </c>
      <c r="Q39" s="845"/>
      <c r="R39" s="846"/>
      <c r="S39" s="846"/>
      <c r="T39" s="846"/>
      <c r="U39" s="846"/>
      <c r="V39" s="846"/>
      <c r="W39" s="846"/>
      <c r="X39" s="846"/>
      <c r="Y39" s="846"/>
      <c r="Z39" s="846"/>
      <c r="AA39" s="846"/>
      <c r="AB39" s="846"/>
      <c r="AC39" s="846"/>
      <c r="AD39" s="847"/>
      <c r="AE39" s="97"/>
    </row>
    <row r="40" spans="1:41" ht="77.099999999999994" customHeight="1" x14ac:dyDescent="0.3">
      <c r="A40" s="572" t="s">
        <v>157</v>
      </c>
      <c r="B40" s="873">
        <v>0.03</v>
      </c>
      <c r="C40" s="338" t="s">
        <v>62</v>
      </c>
      <c r="D40" s="326">
        <v>0</v>
      </c>
      <c r="E40" s="326">
        <v>0.02</v>
      </c>
      <c r="F40" s="326">
        <v>0.03</v>
      </c>
      <c r="G40" s="326">
        <v>0.05</v>
      </c>
      <c r="H40" s="326">
        <v>0.1</v>
      </c>
      <c r="I40" s="326">
        <v>0.1</v>
      </c>
      <c r="J40" s="326">
        <v>0.15</v>
      </c>
      <c r="K40" s="326">
        <v>0.15</v>
      </c>
      <c r="L40" s="326">
        <v>0.15</v>
      </c>
      <c r="M40" s="326">
        <v>0.15</v>
      </c>
      <c r="N40" s="326">
        <v>0.05</v>
      </c>
      <c r="O40" s="326">
        <v>0.05</v>
      </c>
      <c r="P40" s="356">
        <f t="shared" si="2"/>
        <v>1.0000000000000002</v>
      </c>
      <c r="Q40" s="865" t="s">
        <v>158</v>
      </c>
      <c r="R40" s="866"/>
      <c r="S40" s="866"/>
      <c r="T40" s="866"/>
      <c r="U40" s="866"/>
      <c r="V40" s="866"/>
      <c r="W40" s="866"/>
      <c r="X40" s="866"/>
      <c r="Y40" s="866"/>
      <c r="Z40" s="866"/>
      <c r="AA40" s="866"/>
      <c r="AB40" s="866"/>
      <c r="AC40" s="866"/>
      <c r="AD40" s="867"/>
      <c r="AE40" s="97"/>
    </row>
    <row r="41" spans="1:41" ht="77.099999999999994" customHeight="1" x14ac:dyDescent="0.3">
      <c r="A41" s="572"/>
      <c r="B41" s="790"/>
      <c r="C41" s="336" t="s">
        <v>63</v>
      </c>
      <c r="D41" s="323">
        <v>0</v>
      </c>
      <c r="E41" s="323">
        <v>0.02</v>
      </c>
      <c r="F41" s="323">
        <v>0.03</v>
      </c>
      <c r="G41" s="323">
        <v>0.05</v>
      </c>
      <c r="H41" s="323">
        <v>0.1</v>
      </c>
      <c r="I41" s="323">
        <v>0.1</v>
      </c>
      <c r="J41" s="323">
        <v>0.15</v>
      </c>
      <c r="K41" s="323">
        <v>0.15</v>
      </c>
      <c r="L41" s="323">
        <v>0.15</v>
      </c>
      <c r="M41" s="323"/>
      <c r="N41" s="323"/>
      <c r="O41" s="323"/>
      <c r="P41" s="327">
        <f t="shared" si="2"/>
        <v>0.75000000000000011</v>
      </c>
      <c r="Q41" s="865"/>
      <c r="R41" s="866"/>
      <c r="S41" s="866"/>
      <c r="T41" s="866"/>
      <c r="U41" s="866"/>
      <c r="V41" s="866"/>
      <c r="W41" s="866"/>
      <c r="X41" s="866"/>
      <c r="Y41" s="866"/>
      <c r="Z41" s="866"/>
      <c r="AA41" s="866"/>
      <c r="AB41" s="866"/>
      <c r="AC41" s="866"/>
      <c r="AD41" s="867"/>
      <c r="AE41" s="97"/>
    </row>
    <row r="42" spans="1:41" ht="77.099999999999994" customHeight="1" x14ac:dyDescent="0.3">
      <c r="A42" s="868" t="s">
        <v>159</v>
      </c>
      <c r="B42" s="790">
        <v>0.03</v>
      </c>
      <c r="C42" s="335" t="s">
        <v>62</v>
      </c>
      <c r="D42" s="320">
        <v>0</v>
      </c>
      <c r="E42" s="320">
        <v>0.05</v>
      </c>
      <c r="F42" s="320">
        <v>0.1</v>
      </c>
      <c r="G42" s="320">
        <v>0.1</v>
      </c>
      <c r="H42" s="320">
        <v>0.1</v>
      </c>
      <c r="I42" s="320">
        <v>0.1</v>
      </c>
      <c r="J42" s="320">
        <v>0.1</v>
      </c>
      <c r="K42" s="320">
        <v>0.1</v>
      </c>
      <c r="L42" s="320">
        <v>0.1</v>
      </c>
      <c r="M42" s="320">
        <v>0.1</v>
      </c>
      <c r="N42" s="320">
        <v>0.1</v>
      </c>
      <c r="O42" s="320">
        <v>0.05</v>
      </c>
      <c r="P42" s="355">
        <f t="shared" si="2"/>
        <v>0.99999999999999989</v>
      </c>
      <c r="Q42" s="845" t="s">
        <v>160</v>
      </c>
      <c r="R42" s="846"/>
      <c r="S42" s="846"/>
      <c r="T42" s="846"/>
      <c r="U42" s="846"/>
      <c r="V42" s="846"/>
      <c r="W42" s="846"/>
      <c r="X42" s="846"/>
      <c r="Y42" s="846"/>
      <c r="Z42" s="846"/>
      <c r="AA42" s="846"/>
      <c r="AB42" s="846"/>
      <c r="AC42" s="846"/>
      <c r="AD42" s="847"/>
      <c r="AE42" s="97"/>
    </row>
    <row r="43" spans="1:41" ht="77.099999999999994" customHeight="1" thickBot="1" x14ac:dyDescent="0.35">
      <c r="A43" s="869"/>
      <c r="B43" s="762"/>
      <c r="C43" s="341" t="s">
        <v>63</v>
      </c>
      <c r="D43" s="328">
        <v>0</v>
      </c>
      <c r="E43" s="328">
        <v>0.05</v>
      </c>
      <c r="F43" s="328">
        <v>0.1</v>
      </c>
      <c r="G43" s="328">
        <v>0.1</v>
      </c>
      <c r="H43" s="328">
        <v>0.1</v>
      </c>
      <c r="I43" s="328">
        <v>0.1</v>
      </c>
      <c r="J43" s="328">
        <v>0.1</v>
      </c>
      <c r="K43" s="328">
        <v>0.1</v>
      </c>
      <c r="L43" s="329">
        <v>0.1</v>
      </c>
      <c r="M43" s="329"/>
      <c r="N43" s="329"/>
      <c r="O43" s="329"/>
      <c r="P43" s="357">
        <f t="shared" si="2"/>
        <v>0.74999999999999989</v>
      </c>
      <c r="Q43" s="870"/>
      <c r="R43" s="871"/>
      <c r="S43" s="871"/>
      <c r="T43" s="871"/>
      <c r="U43" s="871"/>
      <c r="V43" s="871"/>
      <c r="W43" s="871"/>
      <c r="X43" s="871"/>
      <c r="Y43" s="871"/>
      <c r="Z43" s="871"/>
      <c r="AA43" s="871"/>
      <c r="AB43" s="871"/>
      <c r="AC43" s="871"/>
      <c r="AD43" s="872"/>
      <c r="AE43" s="97"/>
    </row>
    <row r="44" spans="1:41" x14ac:dyDescent="0.3">
      <c r="A44" s="194"/>
      <c r="Q44" s="194"/>
      <c r="R44" s="194"/>
      <c r="S44" s="194"/>
      <c r="T44" s="194"/>
      <c r="U44" s="194"/>
      <c r="V44" s="194"/>
      <c r="W44" s="194"/>
      <c r="X44" s="194"/>
      <c r="Y44" s="194"/>
      <c r="Z44" s="194"/>
      <c r="AA44" s="194"/>
      <c r="AB44" s="194"/>
      <c r="AC44" s="194"/>
      <c r="AD44" s="194"/>
    </row>
    <row r="45" spans="1:41" x14ac:dyDescent="0.3">
      <c r="A45" s="194"/>
      <c r="Q45" s="194"/>
      <c r="R45" s="194"/>
      <c r="S45" s="194"/>
      <c r="T45" s="194"/>
      <c r="U45" s="194"/>
      <c r="V45" s="194"/>
      <c r="W45" s="194"/>
      <c r="X45" s="194"/>
      <c r="Y45" s="194"/>
      <c r="Z45" s="194"/>
      <c r="AA45" s="194"/>
      <c r="AB45" s="194"/>
      <c r="AC45" s="194"/>
      <c r="AD45" s="194"/>
    </row>
    <row r="46" spans="1:41" x14ac:dyDescent="0.3">
      <c r="A46" s="194"/>
      <c r="Q46" s="194"/>
      <c r="R46" s="194"/>
      <c r="S46" s="194"/>
      <c r="T46" s="194"/>
      <c r="U46" s="194"/>
      <c r="V46" s="194"/>
      <c r="W46" s="194"/>
      <c r="X46" s="194"/>
      <c r="Y46" s="194"/>
      <c r="Z46" s="194"/>
      <c r="AA46" s="194"/>
      <c r="AB46" s="194"/>
      <c r="AC46" s="194"/>
      <c r="AD46" s="194"/>
    </row>
    <row r="47" spans="1:41" x14ac:dyDescent="0.3">
      <c r="A47" s="194"/>
      <c r="Q47" s="194"/>
      <c r="R47" s="194"/>
      <c r="S47" s="194"/>
      <c r="T47" s="194"/>
      <c r="U47" s="194"/>
      <c r="V47" s="194"/>
      <c r="W47" s="194"/>
      <c r="X47" s="194"/>
      <c r="Y47" s="194"/>
      <c r="Z47" s="194"/>
      <c r="AA47" s="194"/>
      <c r="AB47" s="194"/>
      <c r="AC47" s="194"/>
      <c r="AD47" s="194"/>
    </row>
    <row r="48" spans="1:41" x14ac:dyDescent="0.3">
      <c r="A48" s="194"/>
      <c r="Q48" s="194"/>
      <c r="R48" s="194"/>
      <c r="S48" s="194"/>
      <c r="T48" s="194"/>
      <c r="U48" s="194"/>
      <c r="V48" s="194"/>
      <c r="W48" s="194"/>
      <c r="X48" s="194"/>
      <c r="Y48" s="194"/>
      <c r="Z48" s="194"/>
      <c r="AA48" s="194"/>
      <c r="AB48" s="194"/>
      <c r="AC48" s="194"/>
      <c r="AD48" s="194"/>
    </row>
    <row r="49" spans="1:30" x14ac:dyDescent="0.3">
      <c r="A49" s="194"/>
      <c r="Q49" s="194"/>
      <c r="R49" s="194"/>
      <c r="S49" s="194"/>
      <c r="T49" s="194"/>
      <c r="U49" s="194"/>
      <c r="V49" s="194"/>
      <c r="W49" s="194"/>
      <c r="X49" s="194"/>
      <c r="Y49" s="194"/>
      <c r="Z49" s="194"/>
      <c r="AA49" s="194"/>
      <c r="AB49" s="194"/>
      <c r="AC49" s="194"/>
      <c r="AD49" s="194"/>
    </row>
    <row r="50" spans="1:30" x14ac:dyDescent="0.3">
      <c r="A50" s="194"/>
      <c r="Q50" s="194"/>
      <c r="R50" s="194"/>
      <c r="S50" s="194"/>
      <c r="T50" s="194"/>
      <c r="U50" s="194"/>
      <c r="V50" s="194"/>
      <c r="W50" s="194"/>
      <c r="X50" s="194"/>
      <c r="Y50" s="194"/>
      <c r="Z50" s="194"/>
      <c r="AA50" s="194"/>
      <c r="AB50" s="194"/>
      <c r="AC50" s="194"/>
      <c r="AD50" s="194"/>
    </row>
    <row r="51" spans="1:30" x14ac:dyDescent="0.3">
      <c r="A51" s="194"/>
      <c r="Q51" s="194"/>
      <c r="R51" s="194"/>
      <c r="S51" s="194"/>
      <c r="T51" s="194"/>
      <c r="U51" s="194"/>
      <c r="V51" s="194"/>
      <c r="W51" s="194"/>
      <c r="X51" s="194"/>
      <c r="Y51" s="194"/>
      <c r="Z51" s="194"/>
      <c r="AA51" s="194"/>
      <c r="AB51" s="194"/>
      <c r="AC51" s="194"/>
      <c r="AD51" s="194"/>
    </row>
    <row r="52" spans="1:30" x14ac:dyDescent="0.3">
      <c r="A52" s="194"/>
      <c r="Q52" s="194"/>
      <c r="R52" s="194"/>
      <c r="S52" s="194"/>
      <c r="T52" s="194"/>
      <c r="U52" s="194"/>
      <c r="V52" s="194"/>
      <c r="W52" s="194"/>
      <c r="X52" s="194"/>
      <c r="Y52" s="194"/>
      <c r="Z52" s="194"/>
      <c r="AA52" s="194"/>
      <c r="AB52" s="194"/>
      <c r="AC52" s="194"/>
      <c r="AD52" s="194"/>
    </row>
    <row r="53" spans="1:30" x14ac:dyDescent="0.3">
      <c r="A53" s="194"/>
      <c r="Q53" s="194"/>
      <c r="R53" s="194"/>
      <c r="S53" s="194"/>
      <c r="T53" s="194"/>
      <c r="U53" s="194"/>
      <c r="V53" s="194"/>
      <c r="W53" s="194"/>
      <c r="X53" s="194"/>
      <c r="Y53" s="194"/>
      <c r="Z53" s="194"/>
      <c r="AA53" s="194"/>
      <c r="AB53" s="194"/>
      <c r="AC53" s="194"/>
      <c r="AD53" s="194"/>
    </row>
    <row r="54" spans="1:30" x14ac:dyDescent="0.3">
      <c r="A54" s="194"/>
      <c r="Q54" s="194"/>
      <c r="R54" s="194"/>
      <c r="S54" s="194"/>
      <c r="T54" s="194"/>
      <c r="U54" s="194"/>
      <c r="V54" s="194"/>
      <c r="W54" s="194"/>
      <c r="X54" s="194"/>
      <c r="Y54" s="194"/>
      <c r="Z54" s="194"/>
      <c r="AA54" s="194"/>
      <c r="AB54" s="194"/>
      <c r="AC54" s="194"/>
      <c r="AD54" s="194"/>
    </row>
    <row r="55" spans="1:30" x14ac:dyDescent="0.3">
      <c r="A55" s="563" t="s">
        <v>90</v>
      </c>
      <c r="B55" s="565" t="s">
        <v>65</v>
      </c>
      <c r="C55" s="567" t="s">
        <v>66</v>
      </c>
      <c r="D55" s="802"/>
      <c r="E55" s="802"/>
      <c r="F55" s="802"/>
      <c r="G55" s="802"/>
      <c r="H55" s="802"/>
      <c r="I55" s="802"/>
      <c r="J55" s="802"/>
      <c r="K55" s="802"/>
      <c r="L55" s="802"/>
      <c r="M55" s="802"/>
      <c r="N55" s="802"/>
      <c r="O55" s="802"/>
      <c r="P55" s="803"/>
      <c r="Q55" s="195"/>
      <c r="R55" s="195"/>
      <c r="S55" s="194"/>
      <c r="T55" s="194"/>
      <c r="U55" s="194"/>
      <c r="V55" s="194"/>
      <c r="W55" s="194"/>
      <c r="X55" s="194"/>
      <c r="Y55" s="194"/>
      <c r="Z55" s="194"/>
      <c r="AA55" s="194"/>
      <c r="AB55" s="194"/>
      <c r="AC55" s="194"/>
      <c r="AD55" s="194"/>
    </row>
    <row r="56" spans="1:30" x14ac:dyDescent="0.3">
      <c r="A56" s="800"/>
      <c r="B56" s="801"/>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3">
      <c r="A57" s="551" t="str">
        <f>A38</f>
        <v>21.  Promover los apoyos de acceso a educación superior a través del acompañamiento, preparación (PRE ICFES) y financiación del Examen Saber 11°  (ICFES).</v>
      </c>
      <c r="B57" s="570">
        <f>B38</f>
        <v>0.03</v>
      </c>
      <c r="C57" s="176" t="s">
        <v>62</v>
      </c>
      <c r="D57" s="175">
        <f>D38*$B$38/$P$38</f>
        <v>0</v>
      </c>
      <c r="E57" s="175">
        <f t="shared" ref="D57:O58" si="3">E38*$B$38/$P$38</f>
        <v>5.9999999999999984E-4</v>
      </c>
      <c r="F57" s="175">
        <f t="shared" si="3"/>
        <v>8.9999999999999976E-4</v>
      </c>
      <c r="G57" s="175">
        <f t="shared" si="3"/>
        <v>2.9999999999999992E-3</v>
      </c>
      <c r="H57" s="175">
        <f t="shared" si="3"/>
        <v>2.9999999999999992E-3</v>
      </c>
      <c r="I57" s="175">
        <f t="shared" si="3"/>
        <v>4.4999999999999988E-3</v>
      </c>
      <c r="J57" s="175">
        <f t="shared" si="3"/>
        <v>4.4999999999999988E-3</v>
      </c>
      <c r="K57" s="175">
        <f t="shared" si="3"/>
        <v>4.4999999999999988E-3</v>
      </c>
      <c r="L57" s="175">
        <f t="shared" si="3"/>
        <v>4.4999999999999988E-3</v>
      </c>
      <c r="M57" s="175">
        <f t="shared" si="3"/>
        <v>1.4999999999999996E-3</v>
      </c>
      <c r="N57" s="175">
        <f t="shared" si="3"/>
        <v>1.4999999999999996E-3</v>
      </c>
      <c r="O57" s="175">
        <f t="shared" si="3"/>
        <v>1.4999999999999996E-3</v>
      </c>
      <c r="P57" s="174">
        <f t="shared" ref="P57:P62" si="4">SUM(D57:O57)</f>
        <v>2.9999999999999992E-2</v>
      </c>
      <c r="Q57" s="197">
        <v>0.05</v>
      </c>
      <c r="R57" s="198">
        <f t="shared" ref="R57:R65" si="5">+P57-Q57</f>
        <v>-2.0000000000000011E-2</v>
      </c>
      <c r="S57" s="194"/>
      <c r="T57" s="194"/>
      <c r="U57" s="194"/>
      <c r="V57" s="194"/>
      <c r="W57" s="194"/>
      <c r="X57" s="194"/>
      <c r="Y57" s="194"/>
      <c r="Z57" s="194"/>
      <c r="AA57" s="194"/>
      <c r="AB57" s="194"/>
      <c r="AC57" s="194"/>
      <c r="AD57" s="194"/>
    </row>
    <row r="58" spans="1:30" x14ac:dyDescent="0.3">
      <c r="A58" s="552"/>
      <c r="B58" s="831"/>
      <c r="C58" s="173" t="s">
        <v>63</v>
      </c>
      <c r="D58" s="172">
        <f t="shared" si="3"/>
        <v>0</v>
      </c>
      <c r="E58" s="172">
        <f t="shared" si="3"/>
        <v>5.9999999999999984E-4</v>
      </c>
      <c r="F58" s="172">
        <f t="shared" si="3"/>
        <v>8.9999999999999976E-4</v>
      </c>
      <c r="G58" s="172">
        <f t="shared" si="3"/>
        <v>2.9999999999999992E-3</v>
      </c>
      <c r="H58" s="172">
        <f t="shared" si="3"/>
        <v>2.9999999999999992E-3</v>
      </c>
      <c r="I58" s="172">
        <f t="shared" si="3"/>
        <v>4.4999999999999988E-3</v>
      </c>
      <c r="J58" s="172">
        <f t="shared" si="3"/>
        <v>4.4999999999999988E-3</v>
      </c>
      <c r="K58" s="172">
        <f t="shared" si="3"/>
        <v>4.4999999999999988E-3</v>
      </c>
      <c r="L58" s="172">
        <f t="shared" si="3"/>
        <v>4.4999999999999988E-3</v>
      </c>
      <c r="M58" s="172">
        <f t="shared" si="3"/>
        <v>0</v>
      </c>
      <c r="N58" s="172">
        <f t="shared" si="3"/>
        <v>0</v>
      </c>
      <c r="O58" s="172">
        <f t="shared" si="3"/>
        <v>0</v>
      </c>
      <c r="P58" s="171">
        <f t="shared" si="4"/>
        <v>2.5499999999999988E-2</v>
      </c>
      <c r="Q58" s="199">
        <f>+P58</f>
        <v>2.5499999999999988E-2</v>
      </c>
      <c r="R58" s="198">
        <f t="shared" si="5"/>
        <v>0</v>
      </c>
      <c r="S58" s="194"/>
      <c r="T58" s="194"/>
      <c r="U58" s="194"/>
      <c r="V58" s="194"/>
      <c r="W58" s="194"/>
      <c r="X58" s="194"/>
      <c r="Y58" s="194"/>
      <c r="Z58" s="194"/>
      <c r="AA58" s="194"/>
      <c r="AB58" s="194"/>
      <c r="AC58" s="194"/>
      <c r="AD58" s="194"/>
    </row>
    <row r="59" spans="1:30" x14ac:dyDescent="0.3">
      <c r="A59" s="551" t="str">
        <f>A40</f>
        <v>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v>
      </c>
      <c r="B59" s="553">
        <f>B40</f>
        <v>0.03</v>
      </c>
      <c r="C59" s="176" t="s">
        <v>62</v>
      </c>
      <c r="D59" s="175">
        <f t="shared" ref="D59:O60" si="6">D40*$B$40/$P$40</f>
        <v>0</v>
      </c>
      <c r="E59" s="175">
        <f t="shared" si="6"/>
        <v>5.9999999999999984E-4</v>
      </c>
      <c r="F59" s="175">
        <f t="shared" si="6"/>
        <v>8.9999999999999976E-4</v>
      </c>
      <c r="G59" s="175">
        <f t="shared" si="6"/>
        <v>1.4999999999999996E-3</v>
      </c>
      <c r="H59" s="175">
        <f t="shared" si="6"/>
        <v>2.9999999999999992E-3</v>
      </c>
      <c r="I59" s="175">
        <f t="shared" si="6"/>
        <v>2.9999999999999992E-3</v>
      </c>
      <c r="J59" s="175">
        <f t="shared" si="6"/>
        <v>4.4999999999999988E-3</v>
      </c>
      <c r="K59" s="175">
        <f t="shared" si="6"/>
        <v>4.4999999999999988E-3</v>
      </c>
      <c r="L59" s="175">
        <f t="shared" si="6"/>
        <v>4.4999999999999988E-3</v>
      </c>
      <c r="M59" s="175">
        <f t="shared" si="6"/>
        <v>4.4999999999999988E-3</v>
      </c>
      <c r="N59" s="175">
        <f t="shared" si="6"/>
        <v>1.4999999999999996E-3</v>
      </c>
      <c r="O59" s="175">
        <f t="shared" si="6"/>
        <v>1.4999999999999996E-3</v>
      </c>
      <c r="P59" s="174">
        <f t="shared" si="4"/>
        <v>2.9999999999999992E-2</v>
      </c>
      <c r="Q59" s="197">
        <v>2.5000000000000001E-2</v>
      </c>
      <c r="R59" s="198">
        <f t="shared" si="5"/>
        <v>4.9999999999999906E-3</v>
      </c>
      <c r="S59" s="194"/>
      <c r="T59" s="194"/>
      <c r="U59" s="194"/>
      <c r="V59" s="194"/>
      <c r="W59" s="194"/>
      <c r="X59" s="194"/>
      <c r="Y59" s="194"/>
      <c r="Z59" s="194"/>
      <c r="AA59" s="194"/>
      <c r="AB59" s="194"/>
      <c r="AC59" s="194"/>
      <c r="AD59" s="194"/>
    </row>
    <row r="60" spans="1:30" x14ac:dyDescent="0.3">
      <c r="A60" s="874"/>
      <c r="B60" s="835"/>
      <c r="C60" s="173" t="s">
        <v>63</v>
      </c>
      <c r="D60" s="172">
        <f t="shared" si="6"/>
        <v>0</v>
      </c>
      <c r="E60" s="172">
        <f t="shared" si="6"/>
        <v>5.9999999999999984E-4</v>
      </c>
      <c r="F60" s="172">
        <f t="shared" si="6"/>
        <v>8.9999999999999976E-4</v>
      </c>
      <c r="G60" s="172">
        <f t="shared" si="6"/>
        <v>1.4999999999999996E-3</v>
      </c>
      <c r="H60" s="172">
        <f t="shared" si="6"/>
        <v>2.9999999999999992E-3</v>
      </c>
      <c r="I60" s="172">
        <f t="shared" si="6"/>
        <v>2.9999999999999992E-3</v>
      </c>
      <c r="J60" s="172">
        <f t="shared" si="6"/>
        <v>4.4999999999999988E-3</v>
      </c>
      <c r="K60" s="172">
        <f t="shared" si="6"/>
        <v>4.4999999999999988E-3</v>
      </c>
      <c r="L60" s="172">
        <f t="shared" si="6"/>
        <v>4.4999999999999988E-3</v>
      </c>
      <c r="M60" s="172">
        <f t="shared" si="6"/>
        <v>0</v>
      </c>
      <c r="N60" s="172">
        <f t="shared" si="6"/>
        <v>0</v>
      </c>
      <c r="O60" s="172">
        <f t="shared" si="6"/>
        <v>0</v>
      </c>
      <c r="P60" s="171">
        <f t="shared" si="4"/>
        <v>2.2499999999999992E-2</v>
      </c>
      <c r="Q60" s="199">
        <f>+P60</f>
        <v>2.2499999999999992E-2</v>
      </c>
      <c r="R60" s="198">
        <f t="shared" si="5"/>
        <v>0</v>
      </c>
      <c r="S60" s="194"/>
      <c r="T60" s="194"/>
      <c r="U60" s="194"/>
      <c r="V60" s="194"/>
      <c r="W60" s="194"/>
      <c r="X60" s="194"/>
      <c r="Y60" s="194"/>
      <c r="Z60" s="194"/>
      <c r="AA60" s="194"/>
      <c r="AB60" s="194"/>
      <c r="AC60" s="194"/>
      <c r="AD60" s="194"/>
    </row>
    <row r="61" spans="1:30" x14ac:dyDescent="0.3">
      <c r="A61" s="551" t="str">
        <f>A42</f>
        <v xml:space="preserve">23. Promover y acompañar a las mujeres en toda su diversidad en las estrategias de educación flexible y en los procesos de vinculación a la formación complementaria (cursos cortos) a través de alianzas interinstitucionales públicas y privadas. </v>
      </c>
      <c r="B61" s="553">
        <f>B42</f>
        <v>0.03</v>
      </c>
      <c r="C61" s="176" t="s">
        <v>62</v>
      </c>
      <c r="D61" s="175">
        <f t="shared" ref="D61:O62" si="7">D42*$B$42/$P$42</f>
        <v>0</v>
      </c>
      <c r="E61" s="175">
        <f t="shared" si="7"/>
        <v>1.5000000000000002E-3</v>
      </c>
      <c r="F61" s="175">
        <f t="shared" si="7"/>
        <v>3.0000000000000005E-3</v>
      </c>
      <c r="G61" s="175">
        <f t="shared" si="7"/>
        <v>3.0000000000000005E-3</v>
      </c>
      <c r="H61" s="175">
        <f t="shared" si="7"/>
        <v>3.0000000000000005E-3</v>
      </c>
      <c r="I61" s="175">
        <f t="shared" si="7"/>
        <v>3.0000000000000005E-3</v>
      </c>
      <c r="J61" s="175">
        <f t="shared" si="7"/>
        <v>3.0000000000000005E-3</v>
      </c>
      <c r="K61" s="175">
        <f t="shared" si="7"/>
        <v>3.0000000000000005E-3</v>
      </c>
      <c r="L61" s="175">
        <f t="shared" si="7"/>
        <v>3.0000000000000005E-3</v>
      </c>
      <c r="M61" s="175">
        <f t="shared" si="7"/>
        <v>3.0000000000000005E-3</v>
      </c>
      <c r="N61" s="175">
        <f t="shared" si="7"/>
        <v>3.0000000000000005E-3</v>
      </c>
      <c r="O61" s="175">
        <f t="shared" si="7"/>
        <v>1.5000000000000002E-3</v>
      </c>
      <c r="P61" s="174">
        <f t="shared" si="4"/>
        <v>3.0000000000000002E-2</v>
      </c>
      <c r="Q61" s="197">
        <v>2.5000000000000001E-2</v>
      </c>
      <c r="R61" s="198">
        <f t="shared" si="5"/>
        <v>5.000000000000001E-3</v>
      </c>
      <c r="S61" s="194"/>
      <c r="T61" s="194"/>
      <c r="U61" s="194"/>
      <c r="V61" s="194"/>
      <c r="W61" s="194"/>
      <c r="X61" s="194"/>
      <c r="Y61" s="194"/>
      <c r="Z61" s="194"/>
      <c r="AA61" s="194"/>
      <c r="AB61" s="194"/>
      <c r="AC61" s="194"/>
      <c r="AD61" s="194"/>
    </row>
    <row r="62" spans="1:30" x14ac:dyDescent="0.3">
      <c r="A62" s="874"/>
      <c r="B62" s="835"/>
      <c r="C62" s="173" t="s">
        <v>63</v>
      </c>
      <c r="D62" s="172">
        <f t="shared" si="7"/>
        <v>0</v>
      </c>
      <c r="E62" s="172">
        <f t="shared" si="7"/>
        <v>1.5000000000000002E-3</v>
      </c>
      <c r="F62" s="172">
        <f t="shared" si="7"/>
        <v>3.0000000000000005E-3</v>
      </c>
      <c r="G62" s="172">
        <f t="shared" si="7"/>
        <v>3.0000000000000005E-3</v>
      </c>
      <c r="H62" s="172">
        <f t="shared" si="7"/>
        <v>3.0000000000000005E-3</v>
      </c>
      <c r="I62" s="172">
        <f t="shared" si="7"/>
        <v>3.0000000000000005E-3</v>
      </c>
      <c r="J62" s="172">
        <f t="shared" si="7"/>
        <v>3.0000000000000005E-3</v>
      </c>
      <c r="K62" s="172">
        <f t="shared" si="7"/>
        <v>3.0000000000000005E-3</v>
      </c>
      <c r="L62" s="172">
        <f t="shared" si="7"/>
        <v>3.0000000000000005E-3</v>
      </c>
      <c r="M62" s="172">
        <f t="shared" si="7"/>
        <v>0</v>
      </c>
      <c r="N62" s="172">
        <f t="shared" si="7"/>
        <v>0</v>
      </c>
      <c r="O62" s="172">
        <f t="shared" si="7"/>
        <v>0</v>
      </c>
      <c r="P62" s="171">
        <f t="shared" si="4"/>
        <v>2.2500000000000003E-2</v>
      </c>
      <c r="Q62" s="199">
        <f>+P62</f>
        <v>2.2500000000000003E-2</v>
      </c>
      <c r="R62" s="198">
        <f t="shared" si="5"/>
        <v>0</v>
      </c>
      <c r="S62" s="194"/>
      <c r="T62" s="194"/>
      <c r="U62" s="194"/>
      <c r="V62" s="194"/>
      <c r="W62" s="194"/>
      <c r="X62" s="194"/>
      <c r="Y62" s="194"/>
      <c r="Z62" s="194"/>
      <c r="AA62" s="194"/>
      <c r="AB62" s="194"/>
      <c r="AC62" s="194"/>
      <c r="AD62" s="194"/>
    </row>
    <row r="63" spans="1:30" x14ac:dyDescent="0.3">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3">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3">
      <c r="A65" s="195"/>
      <c r="B65" s="169"/>
      <c r="C65" s="170"/>
      <c r="D65" s="165">
        <f>D58+D60+D62</f>
        <v>0</v>
      </c>
      <c r="E65" s="165">
        <f t="shared" ref="E65:O65" si="8">E58+E60+E62</f>
        <v>2.7000000000000001E-3</v>
      </c>
      <c r="F65" s="165">
        <f t="shared" si="8"/>
        <v>4.8000000000000004E-3</v>
      </c>
      <c r="G65" s="165">
        <f t="shared" si="8"/>
        <v>7.4999999999999997E-3</v>
      </c>
      <c r="H65" s="165">
        <f t="shared" si="8"/>
        <v>8.9999999999999993E-3</v>
      </c>
      <c r="I65" s="165">
        <f t="shared" si="8"/>
        <v>1.0499999999999999E-2</v>
      </c>
      <c r="J65" s="165">
        <f t="shared" si="8"/>
        <v>1.1999999999999999E-2</v>
      </c>
      <c r="K65" s="165">
        <f t="shared" si="8"/>
        <v>1.1999999999999999E-2</v>
      </c>
      <c r="L65" s="165">
        <f t="shared" si="8"/>
        <v>1.1999999999999999E-2</v>
      </c>
      <c r="M65" s="165">
        <f t="shared" si="8"/>
        <v>0</v>
      </c>
      <c r="N65" s="165">
        <f t="shared" si="8"/>
        <v>0</v>
      </c>
      <c r="O65" s="165">
        <f t="shared" si="8"/>
        <v>0</v>
      </c>
      <c r="P65" s="165">
        <f>P58+P60+P62</f>
        <v>7.0499999999999979E-2</v>
      </c>
      <c r="Q65" s="195"/>
      <c r="R65" s="198">
        <f t="shared" si="5"/>
        <v>7.0499999999999979E-2</v>
      </c>
      <c r="S65" s="194"/>
      <c r="T65" s="194"/>
      <c r="U65" s="194"/>
      <c r="V65" s="194"/>
      <c r="W65" s="194"/>
      <c r="X65" s="194"/>
      <c r="Y65" s="194"/>
      <c r="Z65" s="194"/>
      <c r="AA65" s="194"/>
      <c r="AB65" s="194"/>
      <c r="AC65" s="194"/>
      <c r="AD65" s="194"/>
    </row>
    <row r="66" spans="1:30" x14ac:dyDescent="0.3">
      <c r="A66" s="195"/>
      <c r="B66" s="167"/>
      <c r="C66" s="164" t="s">
        <v>63</v>
      </c>
      <c r="D66" s="163">
        <f>D65*$W$17/$B$34</f>
        <v>0</v>
      </c>
      <c r="E66" s="163">
        <f t="shared" ref="E66:O66" si="9">E65*$W$17/$B$34</f>
        <v>9.0000000000000011E-3</v>
      </c>
      <c r="F66" s="163">
        <f t="shared" si="9"/>
        <v>1.6E-2</v>
      </c>
      <c r="G66" s="163">
        <f t="shared" si="9"/>
        <v>2.4999999999999998E-2</v>
      </c>
      <c r="H66" s="163">
        <f t="shared" si="9"/>
        <v>0.03</v>
      </c>
      <c r="I66" s="163">
        <f t="shared" si="9"/>
        <v>3.4999999999999996E-2</v>
      </c>
      <c r="J66" s="163">
        <f t="shared" si="9"/>
        <v>3.9999999999999994E-2</v>
      </c>
      <c r="K66" s="163">
        <f t="shared" si="9"/>
        <v>3.9999999999999994E-2</v>
      </c>
      <c r="L66" s="163">
        <f t="shared" si="9"/>
        <v>3.9999999999999994E-2</v>
      </c>
      <c r="M66" s="163">
        <f t="shared" si="9"/>
        <v>0</v>
      </c>
      <c r="N66" s="163">
        <f t="shared" si="9"/>
        <v>0</v>
      </c>
      <c r="O66" s="163">
        <f t="shared" si="9"/>
        <v>0</v>
      </c>
      <c r="P66" s="162">
        <f>SUM(D66:O66)</f>
        <v>0.23499999999999993</v>
      </c>
      <c r="Q66" s="196"/>
      <c r="R66" s="195"/>
      <c r="S66" s="194"/>
      <c r="T66" s="194"/>
      <c r="U66" s="194"/>
      <c r="V66" s="194"/>
      <c r="W66" s="194"/>
      <c r="X66" s="194"/>
      <c r="Y66" s="194"/>
      <c r="Z66" s="194"/>
      <c r="AA66" s="194"/>
      <c r="AB66" s="194"/>
      <c r="AC66" s="194"/>
      <c r="AD66" s="194"/>
    </row>
    <row r="67" spans="1:30" x14ac:dyDescent="0.3">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3">
      <c r="A68" s="197"/>
      <c r="B68" s="108"/>
      <c r="C68" s="108"/>
      <c r="D68" s="165">
        <f t="shared" ref="D68:P68" si="10">+D57+D59+D61</f>
        <v>0</v>
      </c>
      <c r="E68" s="165">
        <f t="shared" si="10"/>
        <v>2.7000000000000001E-3</v>
      </c>
      <c r="F68" s="165">
        <f t="shared" si="10"/>
        <v>4.8000000000000004E-3</v>
      </c>
      <c r="G68" s="165">
        <f t="shared" si="10"/>
        <v>7.4999999999999997E-3</v>
      </c>
      <c r="H68" s="165">
        <f t="shared" si="10"/>
        <v>8.9999999999999993E-3</v>
      </c>
      <c r="I68" s="165">
        <f t="shared" si="10"/>
        <v>1.0499999999999999E-2</v>
      </c>
      <c r="J68" s="165">
        <f t="shared" si="10"/>
        <v>1.1999999999999999E-2</v>
      </c>
      <c r="K68" s="165">
        <f t="shared" si="10"/>
        <v>1.1999999999999999E-2</v>
      </c>
      <c r="L68" s="165">
        <f t="shared" si="10"/>
        <v>1.1999999999999999E-2</v>
      </c>
      <c r="M68" s="165">
        <f t="shared" si="10"/>
        <v>8.9999999999999993E-3</v>
      </c>
      <c r="N68" s="165">
        <f t="shared" si="10"/>
        <v>6.0000000000000001E-3</v>
      </c>
      <c r="O68" s="165">
        <f t="shared" si="10"/>
        <v>4.4999999999999997E-3</v>
      </c>
      <c r="P68" s="165">
        <f t="shared" si="10"/>
        <v>8.9999999999999983E-2</v>
      </c>
      <c r="Q68" s="197"/>
      <c r="R68" s="197"/>
      <c r="S68" s="194"/>
      <c r="T68" s="194"/>
      <c r="U68" s="194"/>
      <c r="V68" s="194"/>
      <c r="W68" s="194"/>
      <c r="X68" s="194"/>
      <c r="Y68" s="194"/>
      <c r="Z68" s="194"/>
      <c r="AA68" s="194"/>
      <c r="AB68" s="194"/>
      <c r="AC68" s="194"/>
      <c r="AD68" s="194"/>
    </row>
    <row r="69" spans="1:30" x14ac:dyDescent="0.3">
      <c r="A69" s="197"/>
      <c r="B69" s="108"/>
      <c r="C69" s="164" t="s">
        <v>62</v>
      </c>
      <c r="D69" s="163">
        <f t="shared" ref="D69:O69" si="11">D68*$W$17/$B$34</f>
        <v>0</v>
      </c>
      <c r="E69" s="163">
        <f t="shared" si="11"/>
        <v>9.0000000000000011E-3</v>
      </c>
      <c r="F69" s="163">
        <f t="shared" si="11"/>
        <v>1.6E-2</v>
      </c>
      <c r="G69" s="163">
        <f t="shared" si="11"/>
        <v>2.4999999999999998E-2</v>
      </c>
      <c r="H69" s="163">
        <f t="shared" si="11"/>
        <v>0.03</v>
      </c>
      <c r="I69" s="163">
        <f t="shared" si="11"/>
        <v>3.4999999999999996E-2</v>
      </c>
      <c r="J69" s="163">
        <f t="shared" si="11"/>
        <v>3.9999999999999994E-2</v>
      </c>
      <c r="K69" s="163">
        <f t="shared" si="11"/>
        <v>3.9999999999999994E-2</v>
      </c>
      <c r="L69" s="163">
        <f t="shared" si="11"/>
        <v>3.9999999999999994E-2</v>
      </c>
      <c r="M69" s="163">
        <f t="shared" si="11"/>
        <v>0.03</v>
      </c>
      <c r="N69" s="163">
        <f t="shared" si="11"/>
        <v>0.02</v>
      </c>
      <c r="O69" s="163">
        <f t="shared" si="11"/>
        <v>1.4999999999999999E-2</v>
      </c>
      <c r="P69" s="162">
        <f>SUM(D69:O69)</f>
        <v>0.29999999999999993</v>
      </c>
      <c r="Q69" s="197"/>
      <c r="R69" s="197"/>
      <c r="S69" s="194"/>
      <c r="T69" s="194"/>
      <c r="U69" s="194"/>
      <c r="V69" s="194"/>
      <c r="W69" s="194"/>
      <c r="X69" s="194"/>
      <c r="Y69" s="194"/>
      <c r="Z69" s="194"/>
      <c r="AA69" s="194"/>
      <c r="AB69" s="194"/>
      <c r="AC69" s="194"/>
      <c r="AD69" s="194"/>
    </row>
    <row r="70" spans="1:30" x14ac:dyDescent="0.3">
      <c r="A70" s="194"/>
      <c r="Q70" s="194"/>
      <c r="R70" s="194"/>
      <c r="S70" s="194"/>
      <c r="T70" s="194"/>
      <c r="U70" s="194"/>
      <c r="V70" s="194"/>
      <c r="W70" s="194"/>
      <c r="X70" s="194"/>
      <c r="Y70" s="194"/>
      <c r="Z70" s="194"/>
      <c r="AA70" s="194"/>
      <c r="AB70" s="194"/>
      <c r="AC70" s="194"/>
      <c r="AD70" s="194"/>
    </row>
    <row r="71" spans="1:30" x14ac:dyDescent="0.3">
      <c r="A71" s="194"/>
      <c r="Q71" s="194"/>
      <c r="R71" s="194"/>
      <c r="S71" s="194"/>
      <c r="T71" s="194"/>
      <c r="U71" s="194"/>
      <c r="V71" s="194"/>
      <c r="W71" s="194"/>
      <c r="X71" s="194"/>
      <c r="Y71" s="194"/>
      <c r="Z71" s="194"/>
      <c r="AA71" s="194"/>
      <c r="AB71" s="194"/>
      <c r="AC71" s="194"/>
      <c r="AD71" s="194"/>
    </row>
    <row r="72" spans="1:30" x14ac:dyDescent="0.3">
      <c r="A72" s="194"/>
      <c r="Q72" s="194"/>
      <c r="R72" s="194"/>
      <c r="S72" s="194"/>
      <c r="T72" s="194"/>
      <c r="U72" s="194"/>
      <c r="V72" s="194"/>
      <c r="W72" s="194"/>
      <c r="X72" s="194"/>
      <c r="Y72" s="194"/>
      <c r="Z72" s="194"/>
      <c r="AA72" s="194"/>
      <c r="AB72" s="194"/>
      <c r="AC72" s="194"/>
      <c r="AD72" s="194"/>
    </row>
    <row r="73" spans="1:30" x14ac:dyDescent="0.3">
      <c r="A73" s="194"/>
      <c r="Q73" s="194"/>
      <c r="R73" s="194"/>
      <c r="S73" s="194"/>
      <c r="T73" s="194"/>
      <c r="U73" s="194"/>
      <c r="V73" s="194"/>
      <c r="W73" s="194"/>
      <c r="X73" s="194"/>
      <c r="Y73" s="194"/>
      <c r="Z73" s="194"/>
      <c r="AA73" s="194"/>
      <c r="AB73" s="194"/>
      <c r="AC73" s="194"/>
      <c r="AD73" s="194"/>
    </row>
    <row r="74" spans="1:30" x14ac:dyDescent="0.3">
      <c r="A74" s="194"/>
      <c r="Q74" s="194"/>
      <c r="R74" s="194"/>
      <c r="S74" s="194"/>
      <c r="T74" s="194"/>
      <c r="U74" s="194"/>
      <c r="V74" s="194"/>
      <c r="W74" s="194"/>
      <c r="X74" s="194"/>
      <c r="Y74" s="194"/>
      <c r="Z74" s="194"/>
      <c r="AA74" s="194"/>
      <c r="AB74" s="194"/>
      <c r="AC74" s="194"/>
      <c r="AD74" s="194"/>
    </row>
    <row r="75" spans="1:30" x14ac:dyDescent="0.3">
      <c r="A75" s="194"/>
      <c r="Q75" s="194"/>
      <c r="R75" s="194"/>
      <c r="S75" s="194"/>
      <c r="T75" s="194"/>
      <c r="U75" s="194"/>
      <c r="V75" s="194"/>
      <c r="W75" s="194"/>
      <c r="X75" s="194"/>
      <c r="Y75" s="194"/>
      <c r="Z75" s="194"/>
      <c r="AA75" s="194"/>
      <c r="AB75" s="194"/>
      <c r="AC75" s="194"/>
      <c r="AD75" s="194"/>
    </row>
    <row r="76" spans="1:30" x14ac:dyDescent="0.3">
      <c r="A76" s="194"/>
      <c r="Q76" s="194"/>
      <c r="R76" s="194"/>
      <c r="S76" s="194"/>
      <c r="T76" s="194"/>
      <c r="U76" s="194"/>
      <c r="V76" s="194"/>
      <c r="W76" s="194"/>
      <c r="X76" s="194"/>
      <c r="Y76" s="194"/>
      <c r="Z76" s="194"/>
      <c r="AA76" s="194"/>
      <c r="AB76" s="194"/>
      <c r="AC76" s="194"/>
      <c r="AD76" s="194"/>
    </row>
    <row r="77" spans="1:30" x14ac:dyDescent="0.3">
      <c r="A77" s="194"/>
      <c r="Q77" s="194"/>
      <c r="R77" s="194"/>
      <c r="S77" s="194"/>
      <c r="T77" s="194"/>
      <c r="U77" s="194"/>
      <c r="V77" s="194"/>
      <c r="W77" s="194"/>
      <c r="X77" s="194"/>
      <c r="Y77" s="194"/>
      <c r="Z77" s="194"/>
      <c r="AA77" s="194"/>
      <c r="AB77" s="194"/>
      <c r="AC77" s="194"/>
      <c r="AD77" s="194"/>
    </row>
    <row r="78" spans="1:30" x14ac:dyDescent="0.3">
      <c r="A78" s="194"/>
      <c r="Q78" s="194"/>
      <c r="R78" s="194"/>
      <c r="S78" s="194"/>
      <c r="T78" s="194"/>
      <c r="U78" s="194"/>
      <c r="V78" s="194"/>
      <c r="W78" s="194"/>
      <c r="X78" s="194"/>
      <c r="Y78" s="194"/>
      <c r="Z78" s="194"/>
      <c r="AA78" s="194"/>
      <c r="AB78" s="194"/>
      <c r="AC78" s="194"/>
      <c r="AD78" s="194"/>
    </row>
    <row r="79" spans="1:30" x14ac:dyDescent="0.3">
      <c r="A79" s="194"/>
      <c r="Q79" s="194"/>
      <c r="R79" s="194"/>
      <c r="S79" s="194"/>
      <c r="T79" s="194"/>
      <c r="U79" s="194"/>
      <c r="V79" s="194"/>
      <c r="W79" s="194"/>
      <c r="X79" s="194"/>
      <c r="Y79" s="194"/>
      <c r="Z79" s="194"/>
      <c r="AA79" s="194"/>
      <c r="AB79" s="194"/>
      <c r="AC79" s="194"/>
      <c r="AD79" s="194"/>
    </row>
    <row r="80" spans="1:30" x14ac:dyDescent="0.3">
      <c r="A80" s="194"/>
      <c r="Q80" s="194"/>
      <c r="R80" s="194"/>
      <c r="S80" s="194"/>
      <c r="T80" s="194"/>
      <c r="U80" s="194"/>
      <c r="V80" s="194"/>
      <c r="W80" s="194"/>
      <c r="X80" s="194"/>
      <c r="Y80" s="194"/>
      <c r="Z80" s="194"/>
      <c r="AA80" s="194"/>
      <c r="AB80" s="194"/>
      <c r="AC80" s="194"/>
      <c r="AD80" s="194"/>
    </row>
    <row r="81" spans="1:30" x14ac:dyDescent="0.3">
      <c r="A81" s="194"/>
      <c r="Q81" s="194"/>
      <c r="R81" s="194"/>
      <c r="S81" s="194"/>
      <c r="T81" s="194"/>
      <c r="U81" s="194"/>
      <c r="V81" s="194"/>
      <c r="W81" s="194"/>
      <c r="X81" s="194"/>
      <c r="Y81" s="194"/>
      <c r="Z81" s="194"/>
      <c r="AA81" s="194"/>
      <c r="AB81" s="194"/>
      <c r="AC81" s="194"/>
      <c r="AD81" s="194"/>
    </row>
    <row r="82" spans="1:30" x14ac:dyDescent="0.3">
      <c r="A82" s="194"/>
      <c r="Q82" s="194"/>
      <c r="R82" s="194"/>
      <c r="S82" s="194"/>
      <c r="T82" s="194"/>
      <c r="U82" s="194"/>
      <c r="V82" s="194"/>
      <c r="W82" s="194"/>
      <c r="X82" s="194"/>
      <c r="Y82" s="194"/>
      <c r="Z82" s="194"/>
      <c r="AA82" s="194"/>
      <c r="AB82" s="194"/>
      <c r="AC82" s="194"/>
      <c r="AD82" s="194"/>
    </row>
    <row r="83" spans="1:30" x14ac:dyDescent="0.3">
      <c r="A83" s="194"/>
      <c r="Q83" s="194"/>
      <c r="R83" s="194"/>
      <c r="S83" s="194"/>
      <c r="T83" s="194"/>
      <c r="U83" s="194"/>
      <c r="V83" s="194"/>
      <c r="W83" s="194"/>
      <c r="X83" s="194"/>
      <c r="Y83" s="194"/>
      <c r="Z83" s="194"/>
      <c r="AA83" s="194"/>
      <c r="AB83" s="194"/>
      <c r="AC83" s="194"/>
      <c r="AD83" s="194"/>
    </row>
    <row r="84" spans="1:30" x14ac:dyDescent="0.3">
      <c r="A84" s="194"/>
      <c r="Q84" s="194"/>
      <c r="R84" s="194"/>
      <c r="S84" s="194"/>
      <c r="T84" s="194"/>
      <c r="U84" s="194"/>
      <c r="V84" s="194"/>
      <c r="W84" s="194"/>
      <c r="X84" s="194"/>
      <c r="Y84" s="194"/>
      <c r="Z84" s="194"/>
      <c r="AA84" s="194"/>
      <c r="AB84" s="194"/>
      <c r="AC84" s="194"/>
      <c r="AD84" s="194"/>
    </row>
    <row r="85" spans="1:30" x14ac:dyDescent="0.3">
      <c r="A85" s="194"/>
      <c r="Q85" s="194"/>
      <c r="R85" s="194"/>
      <c r="S85" s="194"/>
      <c r="T85" s="194"/>
      <c r="U85" s="194"/>
      <c r="V85" s="194"/>
      <c r="W85" s="194"/>
      <c r="X85" s="194"/>
      <c r="Y85" s="194"/>
      <c r="Z85" s="194"/>
      <c r="AA85" s="194"/>
      <c r="AB85" s="194"/>
      <c r="AC85" s="194"/>
      <c r="AD85" s="194"/>
    </row>
    <row r="86" spans="1:30" x14ac:dyDescent="0.3">
      <c r="A86" s="194"/>
      <c r="Q86" s="194"/>
      <c r="R86" s="194"/>
      <c r="S86" s="194"/>
      <c r="T86" s="194"/>
      <c r="U86" s="194"/>
      <c r="V86" s="194"/>
      <c r="W86" s="194"/>
      <c r="X86" s="194"/>
      <c r="Y86" s="194"/>
      <c r="Z86" s="194"/>
      <c r="AA86" s="194"/>
      <c r="AB86" s="194"/>
      <c r="AC86" s="194"/>
      <c r="AD86" s="194"/>
    </row>
    <row r="87" spans="1:30" x14ac:dyDescent="0.3">
      <c r="A87" s="194"/>
      <c r="Q87" s="194"/>
      <c r="R87" s="194"/>
      <c r="S87" s="194"/>
      <c r="T87" s="194"/>
      <c r="U87" s="194"/>
      <c r="V87" s="194"/>
      <c r="W87" s="194"/>
      <c r="X87" s="194"/>
      <c r="Y87" s="194"/>
      <c r="Z87" s="194"/>
      <c r="AA87" s="194"/>
      <c r="AB87" s="194"/>
      <c r="AC87" s="194"/>
      <c r="AD87" s="194"/>
    </row>
    <row r="88" spans="1:30" x14ac:dyDescent="0.3">
      <c r="A88" s="194"/>
      <c r="Q88" s="194"/>
      <c r="R88" s="194"/>
      <c r="S88" s="194"/>
      <c r="T88" s="194"/>
      <c r="U88" s="194"/>
      <c r="V88" s="194"/>
      <c r="W88" s="194"/>
      <c r="X88" s="194"/>
      <c r="Y88" s="194"/>
      <c r="Z88" s="194"/>
      <c r="AA88" s="194"/>
      <c r="AB88" s="194"/>
      <c r="AC88" s="194"/>
      <c r="AD88" s="194"/>
    </row>
    <row r="89" spans="1:30"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88">
    <mergeCell ref="A61:A62"/>
    <mergeCell ref="B61:B62"/>
    <mergeCell ref="A55:A56"/>
    <mergeCell ref="B55:B56"/>
    <mergeCell ref="C55:P55"/>
    <mergeCell ref="A57:A58"/>
    <mergeCell ref="B57:B58"/>
    <mergeCell ref="A59:A60"/>
    <mergeCell ref="B59:B60"/>
    <mergeCell ref="B42:B43"/>
    <mergeCell ref="A40:A41"/>
    <mergeCell ref="Q40:AD41"/>
    <mergeCell ref="A42:A43"/>
    <mergeCell ref="Q42:AD43"/>
    <mergeCell ref="B40:B41"/>
    <mergeCell ref="A38:A39"/>
    <mergeCell ref="Q38:AD39"/>
    <mergeCell ref="B38:B39"/>
    <mergeCell ref="W33:Z33"/>
    <mergeCell ref="AA33:AD33"/>
    <mergeCell ref="A34:A35"/>
    <mergeCell ref="B34:B35"/>
    <mergeCell ref="AA34:AD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phoneticPr fontId="69" type="noConversion"/>
  <dataValidations count="2">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303"/>
  <sheetViews>
    <sheetView showGridLines="0" view="pageBreakPreview" topLeftCell="P38" zoomScale="60" zoomScaleNormal="60" workbookViewId="0">
      <selection activeCell="Q38" sqref="Q38:AD39"/>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16" width="19.33203125" style="50" customWidth="1"/>
    <col min="17" max="17" width="19.44140625" style="50" customWidth="1"/>
    <col min="18"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892"/>
      <c r="B1" s="895" t="s">
        <v>0</v>
      </c>
      <c r="C1" s="896"/>
      <c r="D1" s="896"/>
      <c r="E1" s="896"/>
      <c r="F1" s="896"/>
      <c r="G1" s="896"/>
      <c r="H1" s="896"/>
      <c r="I1" s="896"/>
      <c r="J1" s="896"/>
      <c r="K1" s="896"/>
      <c r="L1" s="896"/>
      <c r="M1" s="896"/>
      <c r="N1" s="896"/>
      <c r="O1" s="896"/>
      <c r="P1" s="896"/>
      <c r="Q1" s="896"/>
      <c r="R1" s="896"/>
      <c r="S1" s="896"/>
      <c r="T1" s="896"/>
      <c r="U1" s="896"/>
      <c r="V1" s="896"/>
      <c r="W1" s="896"/>
      <c r="X1" s="896"/>
      <c r="Y1" s="896"/>
      <c r="Z1" s="896"/>
      <c r="AA1" s="897"/>
      <c r="AB1" s="898" t="s">
        <v>1</v>
      </c>
      <c r="AC1" s="899"/>
      <c r="AD1" s="900"/>
    </row>
    <row r="2" spans="1:33" ht="30.75" customHeight="1" thickBot="1" x14ac:dyDescent="0.35">
      <c r="A2" s="893"/>
      <c r="B2" s="895" t="s">
        <v>2</v>
      </c>
      <c r="C2" s="896"/>
      <c r="D2" s="896"/>
      <c r="E2" s="896"/>
      <c r="F2" s="896"/>
      <c r="G2" s="896"/>
      <c r="H2" s="896"/>
      <c r="I2" s="896"/>
      <c r="J2" s="896"/>
      <c r="K2" s="896"/>
      <c r="L2" s="896"/>
      <c r="M2" s="896"/>
      <c r="N2" s="896"/>
      <c r="O2" s="896"/>
      <c r="P2" s="896"/>
      <c r="Q2" s="896"/>
      <c r="R2" s="896"/>
      <c r="S2" s="896"/>
      <c r="T2" s="896"/>
      <c r="U2" s="896"/>
      <c r="V2" s="896"/>
      <c r="W2" s="896"/>
      <c r="X2" s="896"/>
      <c r="Y2" s="896"/>
      <c r="Z2" s="896"/>
      <c r="AA2" s="897"/>
      <c r="AB2" s="889" t="s">
        <v>3</v>
      </c>
      <c r="AC2" s="890"/>
      <c r="AD2" s="891"/>
    </row>
    <row r="3" spans="1:33" ht="24" customHeight="1" x14ac:dyDescent="0.3">
      <c r="A3" s="893"/>
      <c r="B3" s="883" t="s">
        <v>4</v>
      </c>
      <c r="C3" s="884"/>
      <c r="D3" s="884"/>
      <c r="E3" s="884"/>
      <c r="F3" s="884"/>
      <c r="G3" s="884"/>
      <c r="H3" s="884"/>
      <c r="I3" s="884"/>
      <c r="J3" s="884"/>
      <c r="K3" s="884"/>
      <c r="L3" s="884"/>
      <c r="M3" s="884"/>
      <c r="N3" s="884"/>
      <c r="O3" s="884"/>
      <c r="P3" s="884"/>
      <c r="Q3" s="884"/>
      <c r="R3" s="884"/>
      <c r="S3" s="884"/>
      <c r="T3" s="884"/>
      <c r="U3" s="884"/>
      <c r="V3" s="884"/>
      <c r="W3" s="884"/>
      <c r="X3" s="884"/>
      <c r="Y3" s="884"/>
      <c r="Z3" s="884"/>
      <c r="AA3" s="885"/>
      <c r="AB3" s="889" t="s">
        <v>5</v>
      </c>
      <c r="AC3" s="890"/>
      <c r="AD3" s="891"/>
    </row>
    <row r="4" spans="1:33" ht="21.75" customHeight="1" thickBot="1" x14ac:dyDescent="0.35">
      <c r="A4" s="894"/>
      <c r="B4" s="886"/>
      <c r="C4" s="887"/>
      <c r="D4" s="887"/>
      <c r="E4" s="887"/>
      <c r="F4" s="887"/>
      <c r="G4" s="887"/>
      <c r="H4" s="887"/>
      <c r="I4" s="887"/>
      <c r="J4" s="887"/>
      <c r="K4" s="887"/>
      <c r="L4" s="887"/>
      <c r="M4" s="887"/>
      <c r="N4" s="887"/>
      <c r="O4" s="887"/>
      <c r="P4" s="887"/>
      <c r="Q4" s="887"/>
      <c r="R4" s="887"/>
      <c r="S4" s="887"/>
      <c r="T4" s="887"/>
      <c r="U4" s="887"/>
      <c r="V4" s="887"/>
      <c r="W4" s="887"/>
      <c r="X4" s="887"/>
      <c r="Y4" s="887"/>
      <c r="Z4" s="887"/>
      <c r="AA4" s="888"/>
      <c r="AB4" s="880" t="s">
        <v>6</v>
      </c>
      <c r="AC4" s="881"/>
      <c r="AD4" s="882"/>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 customHeight="1" x14ac:dyDescent="0.3">
      <c r="A7" s="472" t="s">
        <v>7</v>
      </c>
      <c r="B7" s="473"/>
      <c r="C7" s="478" t="s">
        <v>8</v>
      </c>
      <c r="D7" s="532" t="s">
        <v>9</v>
      </c>
      <c r="E7" s="533"/>
      <c r="F7" s="533"/>
      <c r="G7" s="533"/>
      <c r="H7" s="534"/>
      <c r="I7" s="541">
        <v>45202</v>
      </c>
      <c r="J7" s="875"/>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 customHeight="1" x14ac:dyDescent="0.3">
      <c r="A8" s="474"/>
      <c r="B8" s="475"/>
      <c r="C8" s="479"/>
      <c r="D8" s="535"/>
      <c r="E8" s="536"/>
      <c r="F8" s="536"/>
      <c r="G8" s="536"/>
      <c r="H8" s="537"/>
      <c r="I8" s="876"/>
      <c r="J8" s="877"/>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5.75" customHeight="1" thickBot="1" x14ac:dyDescent="0.35">
      <c r="A9" s="476"/>
      <c r="B9" s="477"/>
      <c r="C9" s="480"/>
      <c r="D9" s="538"/>
      <c r="E9" s="539"/>
      <c r="F9" s="539"/>
      <c r="G9" s="539"/>
      <c r="H9" s="540"/>
      <c r="I9" s="878"/>
      <c r="J9" s="879"/>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7.1"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56" t="s">
        <v>20</v>
      </c>
      <c r="S15" s="457"/>
      <c r="T15" s="457"/>
      <c r="U15" s="457"/>
      <c r="V15" s="457"/>
      <c r="W15" s="457"/>
      <c r="X15" s="458"/>
      <c r="Y15" s="484" t="s">
        <v>21</v>
      </c>
      <c r="Z15" s="485"/>
      <c r="AA15" s="442" t="s">
        <v>22</v>
      </c>
      <c r="AB15" s="443"/>
      <c r="AC15" s="443"/>
      <c r="AD15" s="444"/>
    </row>
    <row r="16" spans="1:33" ht="9" customHeight="1" thickBot="1" x14ac:dyDescent="0.35">
      <c r="A16" s="248"/>
      <c r="B16" s="243"/>
      <c r="C16" s="907"/>
      <c r="D16" s="90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270"/>
      <c r="AD16" s="271"/>
    </row>
    <row r="17" spans="1:41" s="76" customFormat="1" ht="37.5" customHeight="1" thickBot="1" x14ac:dyDescent="0.35">
      <c r="A17" s="454" t="s">
        <v>23</v>
      </c>
      <c r="B17" s="455"/>
      <c r="C17" s="908" t="s">
        <v>161</v>
      </c>
      <c r="D17" s="909"/>
      <c r="E17" s="909"/>
      <c r="F17" s="909"/>
      <c r="G17" s="909"/>
      <c r="H17" s="909"/>
      <c r="I17" s="909"/>
      <c r="J17" s="909"/>
      <c r="K17" s="909"/>
      <c r="L17" s="909"/>
      <c r="M17" s="909"/>
      <c r="N17" s="909"/>
      <c r="O17" s="909"/>
      <c r="P17" s="909"/>
      <c r="Q17" s="910"/>
      <c r="R17" s="484" t="s">
        <v>25</v>
      </c>
      <c r="S17" s="488"/>
      <c r="T17" s="488"/>
      <c r="U17" s="488"/>
      <c r="V17" s="485"/>
      <c r="W17" s="486">
        <v>0.2</v>
      </c>
      <c r="X17" s="487"/>
      <c r="Y17" s="484" t="s">
        <v>26</v>
      </c>
      <c r="Z17" s="488"/>
      <c r="AA17" s="488"/>
      <c r="AB17" s="485"/>
      <c r="AC17" s="451">
        <v>0.06</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484" t="s">
        <v>28</v>
      </c>
      <c r="D20" s="488"/>
      <c r="E20" s="488"/>
      <c r="F20" s="488"/>
      <c r="G20" s="488"/>
      <c r="H20" s="488"/>
      <c r="I20" s="488"/>
      <c r="J20" s="488"/>
      <c r="K20" s="488"/>
      <c r="L20" s="488"/>
      <c r="M20" s="488"/>
      <c r="N20" s="488"/>
      <c r="O20" s="488"/>
      <c r="P20" s="485"/>
      <c r="Q20" s="484" t="s">
        <v>29</v>
      </c>
      <c r="R20" s="488"/>
      <c r="S20" s="488"/>
      <c r="T20" s="488"/>
      <c r="U20" s="488"/>
      <c r="V20" s="488"/>
      <c r="W20" s="488"/>
      <c r="X20" s="488"/>
      <c r="Y20" s="488"/>
      <c r="Z20" s="488"/>
      <c r="AA20" s="488"/>
      <c r="AB20" s="488"/>
      <c r="AC20" s="488"/>
      <c r="AD20" s="485"/>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403" t="s">
        <v>43</v>
      </c>
      <c r="B22" s="405"/>
      <c r="C22" s="279"/>
      <c r="D22" s="280"/>
      <c r="E22" s="280"/>
      <c r="F22" s="280"/>
      <c r="G22" s="280"/>
      <c r="H22" s="280"/>
      <c r="I22" s="280"/>
      <c r="J22" s="280"/>
      <c r="K22" s="280"/>
      <c r="L22" s="280"/>
      <c r="M22" s="280"/>
      <c r="N22" s="280"/>
      <c r="O22" s="280">
        <f>SUM(C22:N22)</f>
        <v>0</v>
      </c>
      <c r="P22" s="281"/>
      <c r="Q22" s="282">
        <v>229724920</v>
      </c>
      <c r="R22" s="283">
        <v>8537488</v>
      </c>
      <c r="S22" s="283">
        <v>0</v>
      </c>
      <c r="T22" s="283">
        <v>56668000</v>
      </c>
      <c r="U22" s="283">
        <v>0</v>
      </c>
      <c r="V22" s="283">
        <v>0</v>
      </c>
      <c r="W22" s="283">
        <v>0</v>
      </c>
      <c r="X22" s="331">
        <v>1424508</v>
      </c>
      <c r="Y22" s="331">
        <v>0</v>
      </c>
      <c r="Z22" s="331">
        <v>0</v>
      </c>
      <c r="AA22" s="331">
        <v>0</v>
      </c>
      <c r="AB22" s="331">
        <v>0</v>
      </c>
      <c r="AC22" s="284">
        <f>SUM(Q22:AB22)</f>
        <v>296354916</v>
      </c>
      <c r="AD22" s="285"/>
      <c r="AE22" s="3"/>
      <c r="AF22" s="3"/>
    </row>
    <row r="23" spans="1:41" ht="32.1" customHeight="1" x14ac:dyDescent="0.3">
      <c r="A23" s="938" t="s">
        <v>44</v>
      </c>
      <c r="B23" s="939"/>
      <c r="C23" s="287"/>
      <c r="D23" s="288"/>
      <c r="E23" s="288"/>
      <c r="F23" s="288"/>
      <c r="G23" s="288"/>
      <c r="H23" s="288"/>
      <c r="I23" s="288"/>
      <c r="J23" s="288"/>
      <c r="K23" s="288"/>
      <c r="L23" s="288"/>
      <c r="M23" s="288"/>
      <c r="N23" s="288"/>
      <c r="O23" s="288">
        <f>SUM(C23:N23)</f>
        <v>0</v>
      </c>
      <c r="P23" s="289" t="str">
        <f>IFERROR(O23/(SUMIF(C23:N23,"&gt;0",C22:N22))," ")</f>
        <v xml:space="preserve"> </v>
      </c>
      <c r="Q23" s="290">
        <f>181785424</f>
        <v>181785424</v>
      </c>
      <c r="R23" s="291">
        <f>227875864-Q23</f>
        <v>46090440</v>
      </c>
      <c r="S23" s="291">
        <f>226252867-Q23-R23</f>
        <v>-1622997</v>
      </c>
      <c r="T23" s="291">
        <f>224621347-Q23-R23-S23</f>
        <v>-1631520</v>
      </c>
      <c r="U23" s="291">
        <f>239686916-Q23-R23-S23-T23</f>
        <v>15065569</v>
      </c>
      <c r="V23" s="291">
        <f>239686916-Q23-R23-S23-T23-U23</f>
        <v>0</v>
      </c>
      <c r="W23" s="291">
        <f>239686916-Q23-R23-S23-T23-U23-V23</f>
        <v>0</v>
      </c>
      <c r="X23" s="332">
        <f>239686916-Q23-R23-S23-T23-U23-V23-W23</f>
        <v>0</v>
      </c>
      <c r="Y23" s="332">
        <f>247787425-Q23-R23-S23-T23-U23-V23-W23-X23</f>
        <v>8100509</v>
      </c>
      <c r="Z23" s="332"/>
      <c r="AA23" s="332"/>
      <c r="AB23" s="332"/>
      <c r="AC23" s="288">
        <f>SUM(Q23:AB23)</f>
        <v>247787425</v>
      </c>
      <c r="AD23" s="292">
        <f>AC23/AC22</f>
        <v>0.83611714070570708</v>
      </c>
      <c r="AE23" s="3"/>
      <c r="AF23" s="3"/>
    </row>
    <row r="24" spans="1:41" ht="32.1" customHeight="1" x14ac:dyDescent="0.3">
      <c r="A24" s="938" t="s">
        <v>45</v>
      </c>
      <c r="B24" s="939"/>
      <c r="C24" s="287"/>
      <c r="D24" s="288">
        <v>1214133</v>
      </c>
      <c r="E24" s="288"/>
      <c r="F24" s="288"/>
      <c r="G24" s="288"/>
      <c r="H24" s="288"/>
      <c r="I24" s="288"/>
      <c r="J24" s="288"/>
      <c r="K24" s="288"/>
      <c r="L24" s="288"/>
      <c r="M24" s="288"/>
      <c r="N24" s="288"/>
      <c r="O24" s="291">
        <f>SUM(C24:N24)</f>
        <v>1214133</v>
      </c>
      <c r="P24" s="293"/>
      <c r="Q24" s="290"/>
      <c r="R24" s="347">
        <v>11116766.16</v>
      </c>
      <c r="S24" s="346">
        <v>20815535.493333299</v>
      </c>
      <c r="T24" s="346">
        <v>20815535.493333299</v>
      </c>
      <c r="U24" s="346">
        <v>20815535.493333299</v>
      </c>
      <c r="V24" s="346">
        <v>20815535.493333299</v>
      </c>
      <c r="W24" s="347">
        <v>20815535.493333299</v>
      </c>
      <c r="X24" s="348">
        <f>32548327+284902</f>
        <v>32833229</v>
      </c>
      <c r="Y24" s="348">
        <f>32548327+284902</f>
        <v>32833229</v>
      </c>
      <c r="Z24" s="348">
        <f>32548327+284902</f>
        <v>32833229</v>
      </c>
      <c r="AA24" s="348">
        <f>32548327+284902</f>
        <v>32833229</v>
      </c>
      <c r="AB24" s="348">
        <f>49542656.6733333+284900</f>
        <v>49827556.673333302</v>
      </c>
      <c r="AC24" s="288">
        <f>SUM(Q24:AB24)</f>
        <v>296354916.29999977</v>
      </c>
      <c r="AD24" s="292"/>
      <c r="AE24" s="3"/>
      <c r="AF24" s="3"/>
    </row>
    <row r="25" spans="1:41" ht="32.1" customHeight="1" thickBot="1" x14ac:dyDescent="0.35">
      <c r="A25" s="406" t="s">
        <v>46</v>
      </c>
      <c r="B25" s="408"/>
      <c r="C25" s="297"/>
      <c r="D25" s="298">
        <v>1214133</v>
      </c>
      <c r="E25" s="298"/>
      <c r="F25" s="298"/>
      <c r="G25" s="298"/>
      <c r="H25" s="298"/>
      <c r="I25" s="298"/>
      <c r="J25" s="298"/>
      <c r="K25" s="298"/>
      <c r="L25" s="298"/>
      <c r="M25" s="298"/>
      <c r="N25" s="298"/>
      <c r="O25" s="298">
        <f>SUM(C25:N25)</f>
        <v>1214133</v>
      </c>
      <c r="P25" s="300">
        <f>IFERROR(O25/(SUMIF(C25:N25,"&gt;0",C24:N24))," ")</f>
        <v>1</v>
      </c>
      <c r="Q25" s="349"/>
      <c r="R25" s="299">
        <f>5710347</f>
        <v>5710347</v>
      </c>
      <c r="S25" s="299">
        <f>25278547-R25</f>
        <v>19568200</v>
      </c>
      <c r="T25" s="299">
        <f>45254627-R25-S25</f>
        <v>19976080</v>
      </c>
      <c r="U25" s="299">
        <f>65230707-R25-T25-S25</f>
        <v>19976080</v>
      </c>
      <c r="V25" s="299">
        <f>85206787-R25-S25-T25-U25</f>
        <v>19976080</v>
      </c>
      <c r="W25" s="299">
        <f>117869136-R25-S25-T25-U25-V25</f>
        <v>32662349</v>
      </c>
      <c r="X25" s="299">
        <f>140224516-R25-S25-T25-U25-V25-W25</f>
        <v>22355380</v>
      </c>
      <c r="Y25" s="299">
        <f>160200596-R25-S25-T25-U25-V25-W25-X25</f>
        <v>19976080</v>
      </c>
      <c r="Z25" s="299"/>
      <c r="AA25" s="299"/>
      <c r="AB25" s="299"/>
      <c r="AC25" s="298">
        <f>SUM(Q25:AB25)</f>
        <v>160200596</v>
      </c>
      <c r="AD25" s="303">
        <f>AC25/AC24</f>
        <v>0.54057006376040373</v>
      </c>
      <c r="AE25" s="3"/>
      <c r="AF25" s="3"/>
    </row>
    <row r="26" spans="1:41" ht="32.1" customHeight="1" thickBot="1" x14ac:dyDescent="0.35">
      <c r="A26" s="248"/>
      <c r="B26" s="243"/>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249"/>
      <c r="AD26" s="263"/>
    </row>
    <row r="27" spans="1:41" ht="33.75" customHeight="1" x14ac:dyDescent="0.3">
      <c r="A27" s="935" t="s">
        <v>47</v>
      </c>
      <c r="B27" s="936"/>
      <c r="C27" s="936"/>
      <c r="D27" s="936"/>
      <c r="E27" s="936"/>
      <c r="F27" s="936"/>
      <c r="G27" s="936"/>
      <c r="H27" s="936"/>
      <c r="I27" s="936"/>
      <c r="J27" s="936"/>
      <c r="K27" s="936"/>
      <c r="L27" s="936"/>
      <c r="M27" s="936"/>
      <c r="N27" s="936"/>
      <c r="O27" s="936"/>
      <c r="P27" s="936"/>
      <c r="Q27" s="936"/>
      <c r="R27" s="936"/>
      <c r="S27" s="936"/>
      <c r="T27" s="936"/>
      <c r="U27" s="936"/>
      <c r="V27" s="936"/>
      <c r="W27" s="936"/>
      <c r="X27" s="936"/>
      <c r="Y27" s="936"/>
      <c r="Z27" s="936"/>
      <c r="AA27" s="936"/>
      <c r="AB27" s="936"/>
      <c r="AC27" s="936"/>
      <c r="AD27" s="937"/>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69.75" customHeight="1" thickBot="1" x14ac:dyDescent="0.35">
      <c r="A30" s="333" t="str">
        <f>C17</f>
        <v>Implementar 1 estrategia de fortalecimiento de capacidades  para el ejercicio del derecho a la participación de las mujeres</v>
      </c>
      <c r="B30" s="778"/>
      <c r="C30" s="779"/>
      <c r="D30" s="309"/>
      <c r="E30" s="309"/>
      <c r="F30" s="309"/>
      <c r="G30" s="309"/>
      <c r="H30" s="309"/>
      <c r="I30" s="309"/>
      <c r="J30" s="309"/>
      <c r="K30" s="309"/>
      <c r="L30" s="309"/>
      <c r="M30" s="309"/>
      <c r="N30" s="309"/>
      <c r="O30" s="309"/>
      <c r="P30" s="310">
        <f>SUM(D30:O30)</f>
        <v>0</v>
      </c>
      <c r="Q30" s="903" t="s">
        <v>104</v>
      </c>
      <c r="R30" s="903"/>
      <c r="S30" s="903"/>
      <c r="T30" s="903"/>
      <c r="U30" s="903"/>
      <c r="V30" s="903"/>
      <c r="W30" s="903"/>
      <c r="X30" s="903"/>
      <c r="Y30" s="903"/>
      <c r="Z30" s="903"/>
      <c r="AA30" s="903"/>
      <c r="AB30" s="903"/>
      <c r="AC30" s="903"/>
      <c r="AD30" s="904"/>
    </row>
    <row r="31" spans="1:41" ht="45" customHeight="1" thickBot="1" x14ac:dyDescent="0.35">
      <c r="A31" s="463" t="s">
        <v>53</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838"/>
    </row>
    <row r="32" spans="1:41" ht="23.1" customHeight="1" x14ac:dyDescent="0.3">
      <c r="A32" s="397" t="s">
        <v>54</v>
      </c>
      <c r="B32" s="401" t="s">
        <v>55</v>
      </c>
      <c r="C32" s="450" t="s">
        <v>49</v>
      </c>
      <c r="D32" s="397" t="s">
        <v>56</v>
      </c>
      <c r="E32" s="401"/>
      <c r="F32" s="401"/>
      <c r="G32" s="401"/>
      <c r="H32" s="401"/>
      <c r="I32" s="401"/>
      <c r="J32" s="401"/>
      <c r="K32" s="401"/>
      <c r="L32" s="401"/>
      <c r="M32" s="401"/>
      <c r="N32" s="401"/>
      <c r="O32" s="401"/>
      <c r="P32" s="402"/>
      <c r="Q32" s="902" t="s">
        <v>57</v>
      </c>
      <c r="R32" s="401"/>
      <c r="S32" s="401"/>
      <c r="T32" s="401"/>
      <c r="U32" s="401"/>
      <c r="V32" s="401"/>
      <c r="W32" s="401"/>
      <c r="X32" s="401"/>
      <c r="Y32" s="401"/>
      <c r="Z32" s="401"/>
      <c r="AA32" s="401"/>
      <c r="AB32" s="401"/>
      <c r="AC32" s="401"/>
      <c r="AD32" s="402"/>
      <c r="AG32" s="87"/>
      <c r="AH32" s="87"/>
      <c r="AI32" s="87"/>
      <c r="AJ32" s="87"/>
      <c r="AK32" s="87"/>
      <c r="AL32" s="87"/>
      <c r="AM32" s="87"/>
      <c r="AN32" s="87"/>
      <c r="AO32" s="87"/>
    </row>
    <row r="33" spans="1:41" ht="27" customHeight="1" x14ac:dyDescent="0.3">
      <c r="A33" s="439"/>
      <c r="B33" s="429"/>
      <c r="C33" s="934"/>
      <c r="D33" s="286" t="s">
        <v>30</v>
      </c>
      <c r="E33" s="306" t="s">
        <v>31</v>
      </c>
      <c r="F33" s="306" t="s">
        <v>32</v>
      </c>
      <c r="G33" s="306" t="s">
        <v>33</v>
      </c>
      <c r="H33" s="306" t="s">
        <v>34</v>
      </c>
      <c r="I33" s="306" t="s">
        <v>35</v>
      </c>
      <c r="J33" s="306" t="s">
        <v>36</v>
      </c>
      <c r="K33" s="306" t="s">
        <v>37</v>
      </c>
      <c r="L33" s="306" t="s">
        <v>8</v>
      </c>
      <c r="M33" s="306" t="s">
        <v>38</v>
      </c>
      <c r="N33" s="306" t="s">
        <v>39</v>
      </c>
      <c r="O33" s="306" t="s">
        <v>40</v>
      </c>
      <c r="P33" s="307" t="s">
        <v>41</v>
      </c>
      <c r="Q33" s="428" t="s">
        <v>58</v>
      </c>
      <c r="R33" s="429"/>
      <c r="S33" s="429"/>
      <c r="T33" s="429" t="s">
        <v>59</v>
      </c>
      <c r="U33" s="429"/>
      <c r="V33" s="429"/>
      <c r="W33" s="431" t="s">
        <v>60</v>
      </c>
      <c r="X33" s="432"/>
      <c r="Y33" s="432"/>
      <c r="Z33" s="433"/>
      <c r="AA33" s="431" t="s">
        <v>61</v>
      </c>
      <c r="AB33" s="432"/>
      <c r="AC33" s="432"/>
      <c r="AD33" s="434"/>
      <c r="AG33" s="87"/>
      <c r="AH33" s="87"/>
      <c r="AI33" s="87"/>
      <c r="AJ33" s="87"/>
      <c r="AK33" s="87"/>
      <c r="AL33" s="87"/>
      <c r="AM33" s="87"/>
      <c r="AN33" s="87"/>
      <c r="AO33" s="87"/>
    </row>
    <row r="34" spans="1:41" ht="83.25" customHeight="1" x14ac:dyDescent="0.3">
      <c r="A34" s="901" t="str">
        <f>C17</f>
        <v>Implementar 1 estrategia de fortalecimiento de capacidades  para el ejercicio del derecho a la participación de las mujeres</v>
      </c>
      <c r="B34" s="416">
        <v>0.06</v>
      </c>
      <c r="C34" s="358" t="s">
        <v>62</v>
      </c>
      <c r="D34" s="359">
        <f>D69</f>
        <v>0</v>
      </c>
      <c r="E34" s="313">
        <f t="shared" ref="E34:O34" si="0">E69</f>
        <v>2.0000000000000011E-2</v>
      </c>
      <c r="F34" s="313">
        <f t="shared" si="0"/>
        <v>1.8000000000000002E-2</v>
      </c>
      <c r="G34" s="313">
        <f t="shared" si="0"/>
        <v>1.8000000000000002E-2</v>
      </c>
      <c r="H34" s="313">
        <f t="shared" si="0"/>
        <v>1.8000000000000002E-2</v>
      </c>
      <c r="I34" s="313">
        <f t="shared" si="0"/>
        <v>1.8000000000000002E-2</v>
      </c>
      <c r="J34" s="313">
        <f t="shared" si="0"/>
        <v>1.8000000000000002E-2</v>
      </c>
      <c r="K34" s="313">
        <f t="shared" si="0"/>
        <v>1.8000000000000002E-2</v>
      </c>
      <c r="L34" s="313">
        <f t="shared" si="0"/>
        <v>1.8000000000000002E-2</v>
      </c>
      <c r="M34" s="313">
        <f t="shared" si="0"/>
        <v>1.8000000000000002E-2</v>
      </c>
      <c r="N34" s="313">
        <f t="shared" si="0"/>
        <v>1.8000000000000002E-2</v>
      </c>
      <c r="O34" s="313">
        <f t="shared" si="0"/>
        <v>1.8000000000000002E-2</v>
      </c>
      <c r="P34" s="314">
        <f>SUM(D34:O34)</f>
        <v>0.20000000000000007</v>
      </c>
      <c r="Q34" s="928" t="s">
        <v>594</v>
      </c>
      <c r="R34" s="928"/>
      <c r="S34" s="929"/>
      <c r="T34" s="922" t="s">
        <v>595</v>
      </c>
      <c r="U34" s="923"/>
      <c r="V34" s="923"/>
      <c r="W34" s="922" t="s">
        <v>596</v>
      </c>
      <c r="X34" s="923"/>
      <c r="Y34" s="923"/>
      <c r="Z34" s="924"/>
      <c r="AA34" s="922" t="s">
        <v>162</v>
      </c>
      <c r="AB34" s="923"/>
      <c r="AC34" s="923"/>
      <c r="AD34" s="924"/>
      <c r="AG34" s="87"/>
      <c r="AH34" s="87"/>
      <c r="AI34" s="87"/>
      <c r="AJ34" s="87"/>
      <c r="AK34" s="87"/>
      <c r="AL34" s="87"/>
      <c r="AM34" s="87"/>
      <c r="AN34" s="87"/>
      <c r="AO34" s="87"/>
    </row>
    <row r="35" spans="1:41" ht="83.25" customHeight="1" thickBot="1" x14ac:dyDescent="0.35">
      <c r="A35" s="851"/>
      <c r="B35" s="417"/>
      <c r="C35" s="360" t="s">
        <v>63</v>
      </c>
      <c r="D35" s="361">
        <f>D66</f>
        <v>0</v>
      </c>
      <c r="E35" s="316">
        <f t="shared" ref="E35:O35" si="1">E66</f>
        <v>2.0000000000000011E-2</v>
      </c>
      <c r="F35" s="316">
        <f t="shared" si="1"/>
        <v>1.8000000000000002E-2</v>
      </c>
      <c r="G35" s="316">
        <f t="shared" si="1"/>
        <v>1.8000000000000002E-2</v>
      </c>
      <c r="H35" s="316">
        <f t="shared" si="1"/>
        <v>1.8000000000000002E-2</v>
      </c>
      <c r="I35" s="316">
        <f t="shared" si="1"/>
        <v>1.8000000000000002E-2</v>
      </c>
      <c r="J35" s="316">
        <f t="shared" si="1"/>
        <v>1.8000000000000002E-2</v>
      </c>
      <c r="K35" s="316">
        <f t="shared" si="1"/>
        <v>1.8000000000000002E-2</v>
      </c>
      <c r="L35" s="316">
        <f t="shared" si="1"/>
        <v>1.8000000000000002E-2</v>
      </c>
      <c r="M35" s="316">
        <f t="shared" si="1"/>
        <v>0</v>
      </c>
      <c r="N35" s="316">
        <f t="shared" si="1"/>
        <v>0</v>
      </c>
      <c r="O35" s="316">
        <f t="shared" si="1"/>
        <v>0</v>
      </c>
      <c r="P35" s="317">
        <f>SUM(D35:O35)</f>
        <v>0.14600000000000002</v>
      </c>
      <c r="Q35" s="930"/>
      <c r="R35" s="930"/>
      <c r="S35" s="931"/>
      <c r="T35" s="925"/>
      <c r="U35" s="926"/>
      <c r="V35" s="926"/>
      <c r="W35" s="925"/>
      <c r="X35" s="926"/>
      <c r="Y35" s="926"/>
      <c r="Z35" s="927"/>
      <c r="AA35" s="925"/>
      <c r="AB35" s="926"/>
      <c r="AC35" s="926"/>
      <c r="AD35" s="927"/>
      <c r="AE35" s="49"/>
      <c r="AG35" s="87"/>
      <c r="AH35" s="87"/>
      <c r="AI35" s="87"/>
      <c r="AJ35" s="87"/>
      <c r="AK35" s="87"/>
      <c r="AL35" s="87"/>
      <c r="AM35" s="87"/>
      <c r="AN35" s="87"/>
      <c r="AO35" s="87"/>
    </row>
    <row r="36" spans="1:41" ht="26.1" customHeight="1" x14ac:dyDescent="0.3">
      <c r="A36" s="911" t="s">
        <v>64</v>
      </c>
      <c r="B36" s="913" t="s">
        <v>65</v>
      </c>
      <c r="C36" s="397" t="s">
        <v>66</v>
      </c>
      <c r="D36" s="401"/>
      <c r="E36" s="401"/>
      <c r="F36" s="401"/>
      <c r="G36" s="401"/>
      <c r="H36" s="401"/>
      <c r="I36" s="401"/>
      <c r="J36" s="401"/>
      <c r="K36" s="401"/>
      <c r="L36" s="401"/>
      <c r="M36" s="401"/>
      <c r="N36" s="401"/>
      <c r="O36" s="401"/>
      <c r="P36" s="402"/>
      <c r="Q36" s="404" t="s">
        <v>67</v>
      </c>
      <c r="R36" s="404"/>
      <c r="S36" s="404"/>
      <c r="T36" s="404"/>
      <c r="U36" s="404"/>
      <c r="V36" s="404"/>
      <c r="W36" s="404"/>
      <c r="X36" s="404"/>
      <c r="Y36" s="404"/>
      <c r="Z36" s="404"/>
      <c r="AA36" s="404"/>
      <c r="AB36" s="404"/>
      <c r="AC36" s="404"/>
      <c r="AD36" s="405"/>
      <c r="AG36" s="87"/>
      <c r="AH36" s="87"/>
      <c r="AI36" s="87"/>
      <c r="AJ36" s="87"/>
      <c r="AK36" s="87"/>
      <c r="AL36" s="87"/>
      <c r="AM36" s="87"/>
      <c r="AN36" s="87"/>
      <c r="AO36" s="87"/>
    </row>
    <row r="37" spans="1:41" ht="29.25" customHeight="1" thickBot="1" x14ac:dyDescent="0.35">
      <c r="A37" s="912"/>
      <c r="B37" s="505"/>
      <c r="C37" s="286" t="s">
        <v>68</v>
      </c>
      <c r="D37" s="306" t="s">
        <v>69</v>
      </c>
      <c r="E37" s="306" t="s">
        <v>70</v>
      </c>
      <c r="F37" s="306" t="s">
        <v>71</v>
      </c>
      <c r="G37" s="306" t="s">
        <v>72</v>
      </c>
      <c r="H37" s="306" t="s">
        <v>73</v>
      </c>
      <c r="I37" s="306" t="s">
        <v>74</v>
      </c>
      <c r="J37" s="306" t="s">
        <v>75</v>
      </c>
      <c r="K37" s="306" t="s">
        <v>76</v>
      </c>
      <c r="L37" s="306" t="s">
        <v>77</v>
      </c>
      <c r="M37" s="306" t="s">
        <v>78</v>
      </c>
      <c r="N37" s="306" t="s">
        <v>79</v>
      </c>
      <c r="O37" s="306" t="s">
        <v>80</v>
      </c>
      <c r="P37" s="307" t="s">
        <v>81</v>
      </c>
      <c r="Q37" s="932" t="s">
        <v>82</v>
      </c>
      <c r="R37" s="932"/>
      <c r="S37" s="932"/>
      <c r="T37" s="932"/>
      <c r="U37" s="932"/>
      <c r="V37" s="932"/>
      <c r="W37" s="932"/>
      <c r="X37" s="932"/>
      <c r="Y37" s="932"/>
      <c r="Z37" s="932"/>
      <c r="AA37" s="932"/>
      <c r="AB37" s="932"/>
      <c r="AC37" s="932"/>
      <c r="AD37" s="933"/>
      <c r="AG37" s="94"/>
      <c r="AH37" s="94"/>
      <c r="AI37" s="94"/>
      <c r="AJ37" s="94"/>
      <c r="AK37" s="94"/>
      <c r="AL37" s="94"/>
      <c r="AM37" s="94"/>
      <c r="AN37" s="94"/>
      <c r="AO37" s="94"/>
    </row>
    <row r="38" spans="1:41" ht="243.9" customHeight="1" x14ac:dyDescent="0.3">
      <c r="A38" s="382" t="s">
        <v>163</v>
      </c>
      <c r="B38" s="914">
        <v>0.06</v>
      </c>
      <c r="C38" s="338" t="s">
        <v>62</v>
      </c>
      <c r="D38" s="326">
        <v>0</v>
      </c>
      <c r="E38" s="326">
        <v>0.1</v>
      </c>
      <c r="F38" s="326">
        <v>0.09</v>
      </c>
      <c r="G38" s="326">
        <v>0.09</v>
      </c>
      <c r="H38" s="326">
        <v>0.09</v>
      </c>
      <c r="I38" s="326">
        <v>0.09</v>
      </c>
      <c r="J38" s="326">
        <v>0.09</v>
      </c>
      <c r="K38" s="326">
        <v>0.09</v>
      </c>
      <c r="L38" s="326">
        <v>0.09</v>
      </c>
      <c r="M38" s="326">
        <v>0.09</v>
      </c>
      <c r="N38" s="326">
        <v>0.09</v>
      </c>
      <c r="O38" s="326">
        <v>0.09</v>
      </c>
      <c r="P38" s="321">
        <f>SUM(D38:O38)</f>
        <v>0.99999999999999978</v>
      </c>
      <c r="Q38" s="916" t="s">
        <v>589</v>
      </c>
      <c r="R38" s="917"/>
      <c r="S38" s="917"/>
      <c r="T38" s="917"/>
      <c r="U38" s="917"/>
      <c r="V38" s="917"/>
      <c r="W38" s="917"/>
      <c r="X38" s="917"/>
      <c r="Y38" s="917"/>
      <c r="Z38" s="917"/>
      <c r="AA38" s="917"/>
      <c r="AB38" s="917"/>
      <c r="AC38" s="917"/>
      <c r="AD38" s="918"/>
      <c r="AE38" s="97"/>
      <c r="AG38" s="98"/>
      <c r="AH38" s="98"/>
      <c r="AI38" s="98"/>
      <c r="AJ38" s="98"/>
      <c r="AK38" s="98"/>
      <c r="AL38" s="98"/>
      <c r="AM38" s="98"/>
      <c r="AN38" s="98"/>
      <c r="AO38" s="98"/>
    </row>
    <row r="39" spans="1:41" ht="243.9" customHeight="1" thickBot="1" x14ac:dyDescent="0.35">
      <c r="A39" s="754"/>
      <c r="B39" s="915"/>
      <c r="C39" s="341" t="s">
        <v>63</v>
      </c>
      <c r="D39" s="328">
        <v>0</v>
      </c>
      <c r="E39" s="328">
        <v>0.1</v>
      </c>
      <c r="F39" s="328">
        <v>0.09</v>
      </c>
      <c r="G39" s="328">
        <v>0.09</v>
      </c>
      <c r="H39" s="328">
        <v>0.09</v>
      </c>
      <c r="I39" s="328">
        <v>0.09</v>
      </c>
      <c r="J39" s="328">
        <v>0.09</v>
      </c>
      <c r="K39" s="328">
        <v>0.09</v>
      </c>
      <c r="L39" s="329">
        <v>0.09</v>
      </c>
      <c r="M39" s="329"/>
      <c r="N39" s="329"/>
      <c r="O39" s="329"/>
      <c r="P39" s="330">
        <f>SUM(D39:O39)</f>
        <v>0.72999999999999987</v>
      </c>
      <c r="Q39" s="919"/>
      <c r="R39" s="920"/>
      <c r="S39" s="920"/>
      <c r="T39" s="920"/>
      <c r="U39" s="920"/>
      <c r="V39" s="920"/>
      <c r="W39" s="920"/>
      <c r="X39" s="920"/>
      <c r="Y39" s="920"/>
      <c r="Z39" s="920"/>
      <c r="AA39" s="920"/>
      <c r="AB39" s="920"/>
      <c r="AC39" s="920"/>
      <c r="AD39" s="921"/>
      <c r="AE39" s="97"/>
    </row>
    <row r="40" spans="1:41" x14ac:dyDescent="0.3">
      <c r="A40" s="194" t="s">
        <v>89</v>
      </c>
      <c r="Q40" s="194"/>
      <c r="R40" s="194"/>
      <c r="S40" s="194"/>
      <c r="T40" s="194"/>
      <c r="U40" s="194"/>
      <c r="V40" s="194"/>
      <c r="W40" s="194"/>
      <c r="X40" s="194"/>
      <c r="Y40" s="194"/>
      <c r="Z40" s="194"/>
      <c r="AA40" s="194"/>
      <c r="AB40" s="194"/>
      <c r="AC40" s="194"/>
      <c r="AD40" s="194"/>
    </row>
    <row r="41" spans="1:41" x14ac:dyDescent="0.3">
      <c r="A41" s="194"/>
      <c r="Q41" s="194"/>
      <c r="R41" s="194"/>
      <c r="S41" s="194"/>
      <c r="T41" s="194"/>
      <c r="U41" s="194"/>
      <c r="V41" s="194"/>
      <c r="W41" s="194"/>
      <c r="X41" s="194"/>
      <c r="Y41" s="194"/>
      <c r="Z41" s="194"/>
      <c r="AA41" s="194"/>
      <c r="AB41" s="194"/>
      <c r="AC41" s="194"/>
      <c r="AD41" s="194"/>
    </row>
    <row r="42" spans="1:41" x14ac:dyDescent="0.3">
      <c r="A42" s="194"/>
      <c r="Q42" s="194"/>
      <c r="R42" s="194"/>
      <c r="S42" s="194"/>
      <c r="T42" s="194"/>
      <c r="U42" s="194"/>
      <c r="V42" s="194"/>
      <c r="W42" s="194"/>
      <c r="X42" s="194"/>
      <c r="Y42" s="194"/>
      <c r="Z42" s="194"/>
      <c r="AA42" s="194"/>
      <c r="AB42" s="194"/>
      <c r="AC42" s="194"/>
      <c r="AD42" s="194"/>
    </row>
    <row r="43" spans="1:41" x14ac:dyDescent="0.3">
      <c r="A43" s="194"/>
      <c r="Q43" s="194"/>
      <c r="R43" s="194"/>
      <c r="S43" s="194"/>
      <c r="T43" s="194"/>
      <c r="U43" s="194"/>
      <c r="V43" s="194"/>
      <c r="W43" s="194"/>
      <c r="X43" s="194"/>
      <c r="Y43" s="194"/>
      <c r="Z43" s="194"/>
      <c r="AA43" s="194"/>
      <c r="AB43" s="194"/>
      <c r="AC43" s="194"/>
      <c r="AD43" s="194"/>
    </row>
    <row r="44" spans="1:41" x14ac:dyDescent="0.3">
      <c r="A44" s="194"/>
      <c r="Q44" s="194"/>
      <c r="R44" s="194"/>
      <c r="S44" s="194"/>
      <c r="T44" s="194"/>
      <c r="U44" s="194"/>
      <c r="V44" s="194"/>
      <c r="W44" s="194"/>
      <c r="X44" s="194"/>
      <c r="Y44" s="194"/>
      <c r="Z44" s="194"/>
      <c r="AA44" s="194"/>
      <c r="AB44" s="194"/>
      <c r="AC44" s="194"/>
      <c r="AD44" s="194"/>
    </row>
    <row r="45" spans="1:41" x14ac:dyDescent="0.3">
      <c r="A45" s="194"/>
      <c r="Q45" s="194"/>
      <c r="R45" s="194"/>
      <c r="S45" s="194"/>
      <c r="T45" s="194"/>
      <c r="U45" s="194"/>
      <c r="V45" s="194"/>
      <c r="W45" s="194"/>
      <c r="X45" s="194"/>
      <c r="Y45" s="194"/>
      <c r="Z45" s="194"/>
      <c r="AA45" s="194"/>
      <c r="AB45" s="194"/>
      <c r="AC45" s="194"/>
      <c r="AD45" s="194"/>
    </row>
    <row r="46" spans="1:41" x14ac:dyDescent="0.3">
      <c r="A46" s="194"/>
      <c r="Q46" s="194"/>
      <c r="R46" s="194"/>
      <c r="S46" s="194"/>
      <c r="T46" s="194"/>
      <c r="U46" s="194"/>
      <c r="V46" s="194"/>
      <c r="W46" s="194"/>
      <c r="X46" s="194"/>
      <c r="Y46" s="194"/>
      <c r="Z46" s="194"/>
      <c r="AA46" s="194"/>
      <c r="AB46" s="194"/>
      <c r="AC46" s="194"/>
      <c r="AD46" s="194"/>
    </row>
    <row r="47" spans="1:41" x14ac:dyDescent="0.3">
      <c r="A47" s="194"/>
      <c r="Q47" s="194"/>
      <c r="R47" s="194"/>
      <c r="S47" s="194"/>
      <c r="T47" s="194"/>
      <c r="U47" s="194"/>
      <c r="V47" s="194"/>
      <c r="W47" s="194"/>
      <c r="X47" s="194"/>
      <c r="Y47" s="194"/>
      <c r="Z47" s="194"/>
      <c r="AA47" s="194"/>
      <c r="AB47" s="194"/>
      <c r="AC47" s="194"/>
      <c r="AD47" s="194"/>
    </row>
    <row r="48" spans="1:41" x14ac:dyDescent="0.3">
      <c r="A48" s="194"/>
      <c r="Q48" s="194"/>
      <c r="R48" s="194"/>
      <c r="S48" s="194"/>
      <c r="T48" s="194"/>
      <c r="U48" s="194"/>
      <c r="V48" s="194"/>
      <c r="W48" s="194"/>
      <c r="X48" s="194"/>
      <c r="Y48" s="194"/>
      <c r="Z48" s="194"/>
      <c r="AA48" s="194"/>
      <c r="AB48" s="194"/>
      <c r="AC48" s="194"/>
      <c r="AD48" s="194"/>
    </row>
    <row r="49" spans="1:30" x14ac:dyDescent="0.3">
      <c r="A49" s="194"/>
      <c r="Q49" s="194"/>
      <c r="R49" s="194"/>
      <c r="S49" s="194"/>
      <c r="T49" s="194"/>
      <c r="U49" s="194"/>
      <c r="V49" s="194"/>
      <c r="W49" s="194"/>
      <c r="X49" s="194"/>
      <c r="Y49" s="194"/>
      <c r="Z49" s="194"/>
      <c r="AA49" s="194"/>
      <c r="AB49" s="194"/>
      <c r="AC49" s="194"/>
      <c r="AD49" s="194"/>
    </row>
    <row r="50" spans="1:30" hidden="1" x14ac:dyDescent="0.3">
      <c r="A50" s="194"/>
      <c r="Q50" s="194"/>
      <c r="R50" s="194"/>
      <c r="S50" s="194"/>
      <c r="T50" s="194"/>
      <c r="U50" s="194"/>
      <c r="V50" s="194"/>
      <c r="W50" s="194"/>
      <c r="X50" s="194"/>
      <c r="Y50" s="194"/>
      <c r="Z50" s="194"/>
      <c r="AA50" s="194"/>
      <c r="AB50" s="194"/>
      <c r="AC50" s="194"/>
      <c r="AD50" s="194"/>
    </row>
    <row r="51" spans="1:30" hidden="1" x14ac:dyDescent="0.3">
      <c r="A51" s="194"/>
      <c r="Q51" s="194"/>
      <c r="R51" s="194"/>
      <c r="S51" s="194"/>
      <c r="T51" s="194"/>
      <c r="U51" s="194"/>
      <c r="V51" s="194"/>
      <c r="W51" s="194"/>
      <c r="X51" s="194"/>
      <c r="Y51" s="194"/>
      <c r="Z51" s="194"/>
      <c r="AA51" s="194"/>
      <c r="AB51" s="194"/>
      <c r="AC51" s="194"/>
      <c r="AD51" s="194"/>
    </row>
    <row r="52" spans="1:30" hidden="1" x14ac:dyDescent="0.3">
      <c r="A52" s="194"/>
      <c r="Q52" s="194"/>
      <c r="R52" s="194"/>
      <c r="S52" s="194"/>
      <c r="T52" s="194"/>
      <c r="U52" s="194"/>
      <c r="V52" s="194"/>
      <c r="W52" s="194"/>
      <c r="X52" s="194"/>
      <c r="Y52" s="194"/>
      <c r="Z52" s="194"/>
      <c r="AA52" s="194"/>
      <c r="AB52" s="194"/>
      <c r="AC52" s="194"/>
      <c r="AD52" s="194"/>
    </row>
    <row r="53" spans="1:30" hidden="1" x14ac:dyDescent="0.3">
      <c r="A53" s="194"/>
      <c r="Q53" s="194"/>
      <c r="R53" s="194"/>
      <c r="S53" s="194"/>
      <c r="T53" s="194"/>
      <c r="U53" s="194"/>
      <c r="V53" s="194"/>
      <c r="W53" s="194"/>
      <c r="X53" s="194"/>
      <c r="Y53" s="194"/>
      <c r="Z53" s="194"/>
      <c r="AA53" s="194"/>
      <c r="AB53" s="194"/>
      <c r="AC53" s="194"/>
      <c r="AD53" s="194"/>
    </row>
    <row r="54" spans="1:30" hidden="1" x14ac:dyDescent="0.3">
      <c r="A54" s="194"/>
      <c r="Q54" s="194"/>
      <c r="R54" s="194"/>
      <c r="S54" s="194"/>
      <c r="T54" s="194"/>
      <c r="U54" s="194"/>
      <c r="V54" s="194"/>
      <c r="W54" s="194"/>
      <c r="X54" s="194"/>
      <c r="Y54" s="194"/>
      <c r="Z54" s="194"/>
      <c r="AA54" s="194"/>
      <c r="AB54" s="194"/>
      <c r="AC54" s="194"/>
      <c r="AD54" s="194"/>
    </row>
    <row r="55" spans="1:30" ht="15" hidden="1" customHeight="1" x14ac:dyDescent="0.3">
      <c r="A55" s="563" t="s">
        <v>90</v>
      </c>
      <c r="B55" s="565" t="s">
        <v>65</v>
      </c>
      <c r="C55" s="567" t="s">
        <v>66</v>
      </c>
      <c r="D55" s="568"/>
      <c r="E55" s="568"/>
      <c r="F55" s="568"/>
      <c r="G55" s="568"/>
      <c r="H55" s="568"/>
      <c r="I55" s="568"/>
      <c r="J55" s="568"/>
      <c r="K55" s="568"/>
      <c r="L55" s="568"/>
      <c r="M55" s="568"/>
      <c r="N55" s="568"/>
      <c r="O55" s="568"/>
      <c r="P55" s="569"/>
      <c r="Q55" s="195"/>
      <c r="R55" s="195"/>
      <c r="S55" s="194"/>
      <c r="T55" s="194"/>
      <c r="U55" s="194"/>
      <c r="V55" s="194"/>
      <c r="W55" s="194"/>
      <c r="X55" s="194"/>
      <c r="Y55" s="194"/>
      <c r="Z55" s="194"/>
      <c r="AA55" s="194"/>
      <c r="AB55" s="194"/>
      <c r="AC55" s="194"/>
      <c r="AD55" s="194"/>
    </row>
    <row r="56" spans="1:30" hidden="1" x14ac:dyDescent="0.3">
      <c r="A56" s="564"/>
      <c r="B56" s="566"/>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ht="15" hidden="1" customHeight="1" x14ac:dyDescent="0.3">
      <c r="A57" s="551" t="str">
        <f>A38</f>
        <v>24. Realizar la implementación de la estrategia de fortalecimiento de capacidades para el ejercicio del derecho a la participación de las mujeres en el Distrito.</v>
      </c>
      <c r="B57" s="570">
        <f>B38</f>
        <v>0.06</v>
      </c>
      <c r="C57" s="176" t="s">
        <v>62</v>
      </c>
      <c r="D57" s="175">
        <f>D38*$B$38/$P$38</f>
        <v>0</v>
      </c>
      <c r="E57" s="175">
        <f t="shared" ref="D57:O58" si="2">E38*$B$38/$P$38</f>
        <v>6.0000000000000019E-3</v>
      </c>
      <c r="F57" s="175">
        <f t="shared" si="2"/>
        <v>5.4000000000000003E-3</v>
      </c>
      <c r="G57" s="175">
        <f t="shared" si="2"/>
        <v>5.4000000000000003E-3</v>
      </c>
      <c r="H57" s="175">
        <f t="shared" si="2"/>
        <v>5.4000000000000003E-3</v>
      </c>
      <c r="I57" s="175">
        <f t="shared" si="2"/>
        <v>5.4000000000000003E-3</v>
      </c>
      <c r="J57" s="175">
        <f t="shared" si="2"/>
        <v>5.4000000000000003E-3</v>
      </c>
      <c r="K57" s="175">
        <f t="shared" si="2"/>
        <v>5.4000000000000003E-3</v>
      </c>
      <c r="L57" s="175">
        <f t="shared" si="2"/>
        <v>5.4000000000000003E-3</v>
      </c>
      <c r="M57" s="175">
        <f t="shared" si="2"/>
        <v>5.4000000000000003E-3</v>
      </c>
      <c r="N57" s="175">
        <f t="shared" si="2"/>
        <v>5.4000000000000003E-3</v>
      </c>
      <c r="O57" s="175">
        <f t="shared" si="2"/>
        <v>5.4000000000000003E-3</v>
      </c>
      <c r="P57" s="174">
        <f>SUM(D57:O57)</f>
        <v>6.0000000000000019E-2</v>
      </c>
      <c r="Q57" s="197">
        <v>0.05</v>
      </c>
      <c r="R57" s="198">
        <f>+P57-Q57</f>
        <v>1.0000000000000016E-2</v>
      </c>
      <c r="S57" s="194"/>
      <c r="T57" s="194"/>
      <c r="U57" s="194"/>
      <c r="V57" s="194"/>
      <c r="W57" s="194"/>
      <c r="X57" s="194"/>
      <c r="Y57" s="194"/>
      <c r="Z57" s="194"/>
      <c r="AA57" s="194"/>
      <c r="AB57" s="194"/>
      <c r="AC57" s="194"/>
      <c r="AD57" s="194"/>
    </row>
    <row r="58" spans="1:30" hidden="1" x14ac:dyDescent="0.3">
      <c r="A58" s="552"/>
      <c r="B58" s="571"/>
      <c r="C58" s="181" t="s">
        <v>63</v>
      </c>
      <c r="D58" s="172">
        <f t="shared" si="2"/>
        <v>0</v>
      </c>
      <c r="E58" s="172">
        <f t="shared" si="2"/>
        <v>6.0000000000000019E-3</v>
      </c>
      <c r="F58" s="172">
        <f t="shared" si="2"/>
        <v>5.4000000000000003E-3</v>
      </c>
      <c r="G58" s="172">
        <f t="shared" si="2"/>
        <v>5.4000000000000003E-3</v>
      </c>
      <c r="H58" s="172">
        <f t="shared" si="2"/>
        <v>5.4000000000000003E-3</v>
      </c>
      <c r="I58" s="172">
        <f t="shared" si="2"/>
        <v>5.4000000000000003E-3</v>
      </c>
      <c r="J58" s="172">
        <f t="shared" si="2"/>
        <v>5.4000000000000003E-3</v>
      </c>
      <c r="K58" s="172">
        <f t="shared" si="2"/>
        <v>5.4000000000000003E-3</v>
      </c>
      <c r="L58" s="172">
        <f t="shared" si="2"/>
        <v>5.4000000000000003E-3</v>
      </c>
      <c r="M58" s="172">
        <f t="shared" si="2"/>
        <v>0</v>
      </c>
      <c r="N58" s="172">
        <f t="shared" si="2"/>
        <v>0</v>
      </c>
      <c r="O58" s="172">
        <f t="shared" si="2"/>
        <v>0</v>
      </c>
      <c r="P58" s="171">
        <f>SUM(D58:O58)</f>
        <v>4.3800000000000013E-2</v>
      </c>
      <c r="Q58" s="199">
        <f>+P58</f>
        <v>4.3800000000000013E-2</v>
      </c>
      <c r="R58" s="198">
        <f>+P58-Q58</f>
        <v>0</v>
      </c>
      <c r="S58" s="194"/>
      <c r="T58" s="194"/>
      <c r="U58" s="194"/>
      <c r="V58" s="194"/>
      <c r="W58" s="194"/>
      <c r="X58" s="194"/>
      <c r="Y58" s="194"/>
      <c r="Z58" s="194"/>
      <c r="AA58" s="194"/>
      <c r="AB58" s="194"/>
      <c r="AC58" s="194"/>
      <c r="AD58" s="194"/>
    </row>
    <row r="59" spans="1:30" hidden="1" x14ac:dyDescent="0.3">
      <c r="A59" s="905"/>
      <c r="B59" s="906"/>
      <c r="C59" s="184"/>
      <c r="D59" s="175"/>
      <c r="E59" s="175"/>
      <c r="F59" s="175"/>
      <c r="G59" s="175"/>
      <c r="H59" s="175"/>
      <c r="I59" s="175"/>
      <c r="J59" s="175"/>
      <c r="K59" s="175"/>
      <c r="L59" s="175"/>
      <c r="M59" s="175"/>
      <c r="N59" s="175"/>
      <c r="O59" s="175"/>
      <c r="P59" s="185"/>
      <c r="Q59" s="197"/>
      <c r="R59" s="198"/>
      <c r="S59" s="194"/>
      <c r="T59" s="194"/>
      <c r="U59" s="194"/>
      <c r="V59" s="194"/>
      <c r="W59" s="194"/>
      <c r="X59" s="194"/>
      <c r="Y59" s="194"/>
      <c r="Z59" s="194"/>
      <c r="AA59" s="194"/>
      <c r="AB59" s="194"/>
      <c r="AC59" s="194"/>
      <c r="AD59" s="194"/>
    </row>
    <row r="60" spans="1:30" hidden="1" x14ac:dyDescent="0.3">
      <c r="A60" s="555"/>
      <c r="B60" s="556"/>
      <c r="C60" s="184"/>
      <c r="D60" s="168"/>
      <c r="E60" s="168"/>
      <c r="F60" s="168"/>
      <c r="G60" s="168"/>
      <c r="H60" s="168"/>
      <c r="I60" s="168"/>
      <c r="J60" s="168"/>
      <c r="K60" s="168"/>
      <c r="L60" s="168"/>
      <c r="M60" s="168"/>
      <c r="N60" s="168"/>
      <c r="O60" s="168"/>
      <c r="P60" s="185"/>
      <c r="Q60" s="199"/>
      <c r="R60" s="198"/>
      <c r="S60" s="194"/>
      <c r="T60" s="194"/>
      <c r="U60" s="194"/>
      <c r="V60" s="194"/>
      <c r="W60" s="194"/>
      <c r="X60" s="194"/>
      <c r="Y60" s="194"/>
      <c r="Z60" s="194"/>
      <c r="AA60" s="194"/>
      <c r="AB60" s="194"/>
      <c r="AC60" s="194"/>
      <c r="AD60" s="194"/>
    </row>
    <row r="61" spans="1:30" hidden="1" x14ac:dyDescent="0.3">
      <c r="A61" s="555"/>
      <c r="B61" s="556"/>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hidden="1" x14ac:dyDescent="0.3">
      <c r="A62" s="555"/>
      <c r="B62" s="556"/>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hidden="1" x14ac:dyDescent="0.3">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hidden="1" x14ac:dyDescent="0.3">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hidden="1" x14ac:dyDescent="0.3">
      <c r="A65" s="195"/>
      <c r="B65" s="169"/>
      <c r="C65" s="170"/>
      <c r="D65" s="165">
        <f>D58</f>
        <v>0</v>
      </c>
      <c r="E65" s="165">
        <f t="shared" ref="E65:O65" si="3">E58</f>
        <v>6.0000000000000019E-3</v>
      </c>
      <c r="F65" s="165">
        <f t="shared" si="3"/>
        <v>5.4000000000000003E-3</v>
      </c>
      <c r="G65" s="165">
        <f t="shared" si="3"/>
        <v>5.4000000000000003E-3</v>
      </c>
      <c r="H65" s="165">
        <f t="shared" si="3"/>
        <v>5.4000000000000003E-3</v>
      </c>
      <c r="I65" s="165">
        <f t="shared" si="3"/>
        <v>5.4000000000000003E-3</v>
      </c>
      <c r="J65" s="165">
        <f t="shared" si="3"/>
        <v>5.4000000000000003E-3</v>
      </c>
      <c r="K65" s="165">
        <f t="shared" si="3"/>
        <v>5.4000000000000003E-3</v>
      </c>
      <c r="L65" s="165">
        <f t="shared" si="3"/>
        <v>5.4000000000000003E-3</v>
      </c>
      <c r="M65" s="165">
        <f t="shared" si="3"/>
        <v>0</v>
      </c>
      <c r="N65" s="165">
        <f t="shared" si="3"/>
        <v>0</v>
      </c>
      <c r="O65" s="165">
        <f t="shared" si="3"/>
        <v>0</v>
      </c>
      <c r="P65" s="165">
        <f>P58+P60+P62</f>
        <v>4.3800000000000013E-2</v>
      </c>
      <c r="Q65" s="195"/>
      <c r="R65" s="198">
        <f>+P65-Q65</f>
        <v>4.3800000000000013E-2</v>
      </c>
      <c r="S65" s="194"/>
      <c r="T65" s="194"/>
      <c r="U65" s="194"/>
      <c r="V65" s="194"/>
      <c r="W65" s="194"/>
      <c r="X65" s="194"/>
      <c r="Y65" s="194"/>
      <c r="Z65" s="194"/>
      <c r="AA65" s="194"/>
      <c r="AB65" s="194"/>
      <c r="AC65" s="194"/>
      <c r="AD65" s="194"/>
    </row>
    <row r="66" spans="1:30" hidden="1" x14ac:dyDescent="0.3">
      <c r="A66" s="195"/>
      <c r="B66" s="167"/>
      <c r="C66" s="164" t="s">
        <v>63</v>
      </c>
      <c r="D66" s="163">
        <f>D65*$W$17/$B$34</f>
        <v>0</v>
      </c>
      <c r="E66" s="163">
        <f t="shared" ref="E66:O66" si="4">E65*$W$17/$B$34</f>
        <v>2.0000000000000011E-2</v>
      </c>
      <c r="F66" s="163">
        <f t="shared" si="4"/>
        <v>1.8000000000000002E-2</v>
      </c>
      <c r="G66" s="163">
        <f t="shared" si="4"/>
        <v>1.8000000000000002E-2</v>
      </c>
      <c r="H66" s="163">
        <f t="shared" si="4"/>
        <v>1.8000000000000002E-2</v>
      </c>
      <c r="I66" s="163">
        <f t="shared" si="4"/>
        <v>1.8000000000000002E-2</v>
      </c>
      <c r="J66" s="163">
        <f t="shared" si="4"/>
        <v>1.8000000000000002E-2</v>
      </c>
      <c r="K66" s="163">
        <f t="shared" si="4"/>
        <v>1.8000000000000002E-2</v>
      </c>
      <c r="L66" s="163">
        <f t="shared" si="4"/>
        <v>1.8000000000000002E-2</v>
      </c>
      <c r="M66" s="163">
        <f t="shared" si="4"/>
        <v>0</v>
      </c>
      <c r="N66" s="163">
        <f t="shared" si="4"/>
        <v>0</v>
      </c>
      <c r="O66" s="163">
        <f t="shared" si="4"/>
        <v>0</v>
      </c>
      <c r="P66" s="162">
        <f>SUM(D66:O66)</f>
        <v>0.14600000000000002</v>
      </c>
      <c r="Q66" s="196"/>
      <c r="R66" s="195"/>
      <c r="S66" s="194"/>
      <c r="T66" s="194"/>
      <c r="U66" s="194"/>
      <c r="V66" s="194"/>
      <c r="W66" s="194"/>
      <c r="X66" s="194"/>
      <c r="Y66" s="194"/>
      <c r="Z66" s="194"/>
      <c r="AA66" s="194"/>
      <c r="AB66" s="194"/>
      <c r="AC66" s="194"/>
      <c r="AD66" s="194"/>
    </row>
    <row r="67" spans="1:30" hidden="1" x14ac:dyDescent="0.3">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hidden="1" x14ac:dyDescent="0.3">
      <c r="A68" s="197"/>
      <c r="B68" s="108"/>
      <c r="C68" s="108"/>
      <c r="D68" s="165">
        <f>+D57</f>
        <v>0</v>
      </c>
      <c r="E68" s="165">
        <f t="shared" ref="E68:O68" si="5">+E57</f>
        <v>6.0000000000000019E-3</v>
      </c>
      <c r="F68" s="165">
        <f t="shared" si="5"/>
        <v>5.4000000000000003E-3</v>
      </c>
      <c r="G68" s="165">
        <f t="shared" si="5"/>
        <v>5.4000000000000003E-3</v>
      </c>
      <c r="H68" s="165">
        <f t="shared" si="5"/>
        <v>5.4000000000000003E-3</v>
      </c>
      <c r="I68" s="165">
        <f t="shared" si="5"/>
        <v>5.4000000000000003E-3</v>
      </c>
      <c r="J68" s="165">
        <f t="shared" si="5"/>
        <v>5.4000000000000003E-3</v>
      </c>
      <c r="K68" s="165">
        <f t="shared" si="5"/>
        <v>5.4000000000000003E-3</v>
      </c>
      <c r="L68" s="165">
        <f t="shared" si="5"/>
        <v>5.4000000000000003E-3</v>
      </c>
      <c r="M68" s="165">
        <f t="shared" si="5"/>
        <v>5.4000000000000003E-3</v>
      </c>
      <c r="N68" s="165">
        <f t="shared" si="5"/>
        <v>5.4000000000000003E-3</v>
      </c>
      <c r="O68" s="165">
        <f t="shared" si="5"/>
        <v>5.4000000000000003E-3</v>
      </c>
      <c r="P68" s="165">
        <f>+P57+P59+P61</f>
        <v>6.0000000000000019E-2</v>
      </c>
      <c r="Q68" s="197"/>
      <c r="R68" s="197"/>
      <c r="S68" s="194"/>
      <c r="T68" s="194"/>
      <c r="U68" s="194"/>
      <c r="V68" s="194"/>
      <c r="W68" s="194"/>
      <c r="X68" s="194"/>
      <c r="Y68" s="194"/>
      <c r="Z68" s="194"/>
      <c r="AA68" s="194"/>
      <c r="AB68" s="194"/>
      <c r="AC68" s="194"/>
      <c r="AD68" s="194"/>
    </row>
    <row r="69" spans="1:30" hidden="1" x14ac:dyDescent="0.3">
      <c r="A69" s="197"/>
      <c r="B69" s="108"/>
      <c r="C69" s="164" t="s">
        <v>62</v>
      </c>
      <c r="D69" s="163">
        <f t="shared" ref="D69:O69" si="6">D68*$W$17/$B$34</f>
        <v>0</v>
      </c>
      <c r="E69" s="163">
        <f t="shared" si="6"/>
        <v>2.0000000000000011E-2</v>
      </c>
      <c r="F69" s="163">
        <f t="shared" si="6"/>
        <v>1.8000000000000002E-2</v>
      </c>
      <c r="G69" s="163">
        <f t="shared" si="6"/>
        <v>1.8000000000000002E-2</v>
      </c>
      <c r="H69" s="163">
        <f t="shared" si="6"/>
        <v>1.8000000000000002E-2</v>
      </c>
      <c r="I69" s="163">
        <f t="shared" si="6"/>
        <v>1.8000000000000002E-2</v>
      </c>
      <c r="J69" s="163">
        <f t="shared" si="6"/>
        <v>1.8000000000000002E-2</v>
      </c>
      <c r="K69" s="163">
        <f t="shared" si="6"/>
        <v>1.8000000000000002E-2</v>
      </c>
      <c r="L69" s="163">
        <f t="shared" si="6"/>
        <v>1.8000000000000002E-2</v>
      </c>
      <c r="M69" s="163">
        <f t="shared" si="6"/>
        <v>1.8000000000000002E-2</v>
      </c>
      <c r="N69" s="163">
        <f t="shared" si="6"/>
        <v>1.8000000000000002E-2</v>
      </c>
      <c r="O69" s="163">
        <f t="shared" si="6"/>
        <v>1.8000000000000002E-2</v>
      </c>
      <c r="P69" s="162">
        <f>SUM(D69:O69)</f>
        <v>0.20000000000000007</v>
      </c>
      <c r="Q69" s="197"/>
      <c r="R69" s="197"/>
      <c r="S69" s="194"/>
      <c r="T69" s="194"/>
      <c r="U69" s="194"/>
      <c r="V69" s="194"/>
      <c r="W69" s="194"/>
      <c r="X69" s="194"/>
      <c r="Y69" s="194"/>
      <c r="Z69" s="194"/>
      <c r="AA69" s="194"/>
      <c r="AB69" s="194"/>
      <c r="AC69" s="194"/>
      <c r="AD69" s="194"/>
    </row>
    <row r="70" spans="1:30" hidden="1" x14ac:dyDescent="0.3">
      <c r="A70" s="194"/>
      <c r="Q70" s="194"/>
      <c r="R70" s="194"/>
      <c r="S70" s="194"/>
      <c r="T70" s="194"/>
      <c r="U70" s="194"/>
      <c r="V70" s="194"/>
      <c r="W70" s="194"/>
      <c r="X70" s="194"/>
      <c r="Y70" s="194"/>
      <c r="Z70" s="194"/>
      <c r="AA70" s="194"/>
      <c r="AB70" s="194"/>
      <c r="AC70" s="194"/>
      <c r="AD70" s="194"/>
    </row>
    <row r="71" spans="1:30" hidden="1" x14ac:dyDescent="0.3">
      <c r="A71" s="194"/>
      <c r="Q71" s="194"/>
      <c r="R71" s="194"/>
      <c r="S71" s="194"/>
      <c r="T71" s="194"/>
      <c r="U71" s="194"/>
      <c r="V71" s="194"/>
      <c r="W71" s="194"/>
      <c r="X71" s="194"/>
      <c r="Y71" s="194"/>
      <c r="Z71" s="194"/>
      <c r="AA71" s="194"/>
      <c r="AB71" s="194"/>
      <c r="AC71" s="194"/>
      <c r="AD71" s="194"/>
    </row>
    <row r="72" spans="1:30" hidden="1" x14ac:dyDescent="0.3">
      <c r="A72" s="194"/>
      <c r="Q72" s="194"/>
      <c r="R72" s="194"/>
      <c r="S72" s="194"/>
      <c r="T72" s="194"/>
      <c r="U72" s="194"/>
      <c r="V72" s="194"/>
      <c r="W72" s="194"/>
      <c r="X72" s="194"/>
      <c r="Y72" s="194"/>
      <c r="Z72" s="194"/>
      <c r="AA72" s="194"/>
      <c r="AB72" s="194"/>
      <c r="AC72" s="194"/>
      <c r="AD72" s="194"/>
    </row>
    <row r="73" spans="1:30" x14ac:dyDescent="0.3">
      <c r="A73" s="194"/>
      <c r="Q73" s="194"/>
      <c r="R73" s="194"/>
      <c r="S73" s="194"/>
      <c r="T73" s="194"/>
      <c r="U73" s="194"/>
      <c r="V73" s="194"/>
      <c r="W73" s="194"/>
      <c r="X73" s="194"/>
      <c r="Y73" s="194"/>
      <c r="Z73" s="194"/>
      <c r="AA73" s="194"/>
      <c r="AB73" s="194"/>
      <c r="AC73" s="194"/>
      <c r="AD73" s="194"/>
    </row>
    <row r="74" spans="1:30" x14ac:dyDescent="0.3">
      <c r="A74" s="194"/>
      <c r="Q74" s="194"/>
      <c r="R74" s="194"/>
      <c r="S74" s="194"/>
      <c r="T74" s="194"/>
      <c r="U74" s="194"/>
      <c r="V74" s="194"/>
      <c r="W74" s="194"/>
      <c r="X74" s="194"/>
      <c r="Y74" s="194"/>
      <c r="Z74" s="194"/>
      <c r="AA74" s="194"/>
      <c r="AB74" s="194"/>
      <c r="AC74" s="194"/>
      <c r="AD74" s="194"/>
    </row>
    <row r="75" spans="1:30" x14ac:dyDescent="0.3">
      <c r="A75" s="194"/>
      <c r="Q75" s="194"/>
      <c r="R75" s="194"/>
      <c r="S75" s="194"/>
      <c r="T75" s="194"/>
      <c r="U75" s="194"/>
      <c r="V75" s="194"/>
      <c r="W75" s="194"/>
      <c r="X75" s="194"/>
      <c r="Y75" s="194"/>
      <c r="Z75" s="194"/>
      <c r="AA75" s="194"/>
      <c r="AB75" s="194"/>
      <c r="AC75" s="194"/>
      <c r="AD75" s="194"/>
    </row>
    <row r="76" spans="1:30" x14ac:dyDescent="0.3">
      <c r="A76" s="194"/>
      <c r="Q76" s="194"/>
      <c r="R76" s="194"/>
      <c r="S76" s="194"/>
      <c r="T76" s="194"/>
      <c r="U76" s="194"/>
      <c r="V76" s="194"/>
      <c r="W76" s="194"/>
      <c r="X76" s="194"/>
      <c r="Y76" s="194"/>
      <c r="Z76" s="194"/>
      <c r="AA76" s="194"/>
      <c r="AB76" s="194"/>
      <c r="AC76" s="194"/>
      <c r="AD76" s="194"/>
    </row>
    <row r="77" spans="1:30" x14ac:dyDescent="0.3">
      <c r="A77" s="194"/>
      <c r="Q77" s="194"/>
      <c r="R77" s="194"/>
      <c r="S77" s="194"/>
      <c r="T77" s="194"/>
      <c r="U77" s="194"/>
      <c r="V77" s="194"/>
      <c r="W77" s="194"/>
      <c r="X77" s="194"/>
      <c r="Y77" s="194"/>
      <c r="Z77" s="194"/>
      <c r="AA77" s="194"/>
      <c r="AB77" s="194"/>
      <c r="AC77" s="194"/>
      <c r="AD77" s="194"/>
    </row>
    <row r="78" spans="1:30" x14ac:dyDescent="0.3">
      <c r="A78" s="194"/>
      <c r="Q78" s="194"/>
      <c r="R78" s="194"/>
      <c r="S78" s="194"/>
      <c r="T78" s="194"/>
      <c r="U78" s="194"/>
      <c r="V78" s="194"/>
      <c r="W78" s="194"/>
      <c r="X78" s="194"/>
      <c r="Y78" s="194"/>
      <c r="Z78" s="194"/>
      <c r="AA78" s="194"/>
      <c r="AB78" s="194"/>
      <c r="AC78" s="194"/>
      <c r="AD78" s="194"/>
    </row>
    <row r="79" spans="1:30" x14ac:dyDescent="0.3">
      <c r="A79" s="194"/>
      <c r="Q79" s="194"/>
      <c r="R79" s="194"/>
      <c r="S79" s="194"/>
      <c r="T79" s="194"/>
      <c r="U79" s="194"/>
      <c r="V79" s="194"/>
      <c r="W79" s="194"/>
      <c r="X79" s="194"/>
      <c r="Y79" s="194"/>
      <c r="Z79" s="194"/>
      <c r="AA79" s="194"/>
      <c r="AB79" s="194"/>
      <c r="AC79" s="194"/>
      <c r="AD79" s="194"/>
    </row>
    <row r="80" spans="1:30" x14ac:dyDescent="0.3">
      <c r="A80" s="194"/>
      <c r="Q80" s="194"/>
      <c r="R80" s="194"/>
      <c r="S80" s="194"/>
      <c r="T80" s="194"/>
      <c r="U80" s="194"/>
      <c r="V80" s="194"/>
      <c r="W80" s="194"/>
      <c r="X80" s="194"/>
      <c r="Y80" s="194"/>
      <c r="Z80" s="194"/>
      <c r="AA80" s="194"/>
      <c r="AB80" s="194"/>
      <c r="AC80" s="194"/>
      <c r="AD80" s="194"/>
    </row>
    <row r="81" spans="1:30" x14ac:dyDescent="0.3">
      <c r="A81" s="194"/>
      <c r="Q81" s="194"/>
      <c r="R81" s="194"/>
      <c r="S81" s="194"/>
      <c r="T81" s="194"/>
      <c r="U81" s="194"/>
      <c r="V81" s="194"/>
      <c r="W81" s="194"/>
      <c r="X81" s="194"/>
      <c r="Y81" s="194"/>
      <c r="Z81" s="194"/>
      <c r="AA81" s="194"/>
      <c r="AB81" s="194"/>
      <c r="AC81" s="194"/>
      <c r="AD81" s="194"/>
    </row>
    <row r="82" spans="1:30" x14ac:dyDescent="0.3">
      <c r="A82" s="194"/>
      <c r="Q82" s="194"/>
      <c r="R82" s="194"/>
      <c r="S82" s="194"/>
      <c r="T82" s="194"/>
      <c r="U82" s="194"/>
      <c r="V82" s="194"/>
      <c r="W82" s="194"/>
      <c r="X82" s="194"/>
      <c r="Y82" s="194"/>
      <c r="Z82" s="194"/>
      <c r="AA82" s="194"/>
      <c r="AB82" s="194"/>
      <c r="AC82" s="194"/>
      <c r="AD82" s="194"/>
    </row>
    <row r="83" spans="1:30" x14ac:dyDescent="0.3">
      <c r="A83" s="194"/>
      <c r="Q83" s="194"/>
      <c r="R83" s="194"/>
      <c r="S83" s="194"/>
      <c r="T83" s="194"/>
      <c r="U83" s="194"/>
      <c r="V83" s="194"/>
      <c r="W83" s="194"/>
      <c r="X83" s="194"/>
      <c r="Y83" s="194"/>
      <c r="Z83" s="194"/>
      <c r="AA83" s="194"/>
      <c r="AB83" s="194"/>
      <c r="AC83" s="194"/>
      <c r="AD83" s="194"/>
    </row>
    <row r="84" spans="1:30" x14ac:dyDescent="0.3">
      <c r="A84" s="194"/>
      <c r="Q84" s="194"/>
      <c r="R84" s="194"/>
      <c r="S84" s="194"/>
      <c r="T84" s="194"/>
      <c r="U84" s="194"/>
      <c r="V84" s="194"/>
      <c r="W84" s="194"/>
      <c r="X84" s="194"/>
      <c r="Y84" s="194"/>
      <c r="Z84" s="194"/>
      <c r="AA84" s="194"/>
      <c r="AB84" s="194"/>
      <c r="AC84" s="194"/>
      <c r="AD84" s="194"/>
    </row>
    <row r="85" spans="1:30" x14ac:dyDescent="0.3">
      <c r="A85" s="194"/>
      <c r="Q85" s="194"/>
      <c r="R85" s="194"/>
      <c r="S85" s="194"/>
      <c r="T85" s="194"/>
      <c r="U85" s="194"/>
      <c r="V85" s="194"/>
      <c r="W85" s="194"/>
      <c r="X85" s="194"/>
      <c r="Y85" s="194"/>
      <c r="Z85" s="194"/>
      <c r="AA85" s="194"/>
      <c r="AB85" s="194"/>
      <c r="AC85" s="194"/>
      <c r="AD85" s="194"/>
    </row>
    <row r="86" spans="1:30" x14ac:dyDescent="0.3">
      <c r="A86" s="194"/>
      <c r="Q86" s="194"/>
      <c r="R86" s="194"/>
      <c r="S86" s="194"/>
      <c r="T86" s="194"/>
      <c r="U86" s="194"/>
      <c r="V86" s="194"/>
      <c r="W86" s="194"/>
      <c r="X86" s="194"/>
      <c r="Y86" s="194"/>
      <c r="Z86" s="194"/>
      <c r="AA86" s="194"/>
      <c r="AB86" s="194"/>
      <c r="AC86" s="194"/>
      <c r="AD86" s="194"/>
    </row>
    <row r="87" spans="1:30" x14ac:dyDescent="0.3">
      <c r="A87" s="194"/>
      <c r="Q87" s="194"/>
      <c r="R87" s="194"/>
      <c r="S87" s="194"/>
      <c r="T87" s="194"/>
      <c r="U87" s="194"/>
      <c r="V87" s="194"/>
      <c r="W87" s="194"/>
      <c r="X87" s="194"/>
      <c r="Y87" s="194"/>
      <c r="Z87" s="194"/>
      <c r="AA87" s="194"/>
      <c r="AB87" s="194"/>
      <c r="AC87" s="194"/>
      <c r="AD87" s="194"/>
    </row>
    <row r="88" spans="1:30" x14ac:dyDescent="0.3">
      <c r="A88" s="194"/>
      <c r="Q88" s="194"/>
      <c r="R88" s="194"/>
      <c r="S88" s="194"/>
      <c r="T88" s="194"/>
      <c r="U88" s="194"/>
      <c r="V88" s="194"/>
      <c r="W88" s="194"/>
      <c r="X88" s="194"/>
      <c r="Y88" s="194"/>
      <c r="Z88" s="194"/>
      <c r="AA88" s="194"/>
      <c r="AB88" s="194"/>
      <c r="AC88" s="194"/>
      <c r="AD88" s="194"/>
    </row>
    <row r="89" spans="1:30"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82">
    <mergeCell ref="C32:C33"/>
    <mergeCell ref="L15:Q15"/>
    <mergeCell ref="K7:L9"/>
    <mergeCell ref="M7:N7"/>
    <mergeCell ref="A25:B25"/>
    <mergeCell ref="A27:AD27"/>
    <mergeCell ref="AA15:AD15"/>
    <mergeCell ref="R17:V17"/>
    <mergeCell ref="W17:X17"/>
    <mergeCell ref="Y17:AB17"/>
    <mergeCell ref="A19:AD19"/>
    <mergeCell ref="C20:P20"/>
    <mergeCell ref="A22:B22"/>
    <mergeCell ref="A23:B23"/>
    <mergeCell ref="A24:B24"/>
    <mergeCell ref="AC17:AD17"/>
    <mergeCell ref="Q38:AD39"/>
    <mergeCell ref="W33:Z33"/>
    <mergeCell ref="AA34:AD35"/>
    <mergeCell ref="Q34:S35"/>
    <mergeCell ref="T34:V35"/>
    <mergeCell ref="W34:Z35"/>
    <mergeCell ref="Q36:AD36"/>
    <mergeCell ref="Q37:AD37"/>
    <mergeCell ref="A36:A37"/>
    <mergeCell ref="B36:B37"/>
    <mergeCell ref="C36:P36"/>
    <mergeCell ref="A38:A39"/>
    <mergeCell ref="B38:B39"/>
    <mergeCell ref="A15:B15"/>
    <mergeCell ref="C16:AB16"/>
    <mergeCell ref="Q28:AD29"/>
    <mergeCell ref="R15:X15"/>
    <mergeCell ref="Y15:Z15"/>
    <mergeCell ref="Q20:AD20"/>
    <mergeCell ref="C15:K15"/>
    <mergeCell ref="A17:B17"/>
    <mergeCell ref="C17:Q17"/>
    <mergeCell ref="A61:A62"/>
    <mergeCell ref="B61:B62"/>
    <mergeCell ref="A55:A56"/>
    <mergeCell ref="B55:B56"/>
    <mergeCell ref="C55:P55"/>
    <mergeCell ref="A57:A58"/>
    <mergeCell ref="B57:B58"/>
    <mergeCell ref="A59:A60"/>
    <mergeCell ref="B59:B60"/>
    <mergeCell ref="A34:A35"/>
    <mergeCell ref="A28:A29"/>
    <mergeCell ref="B28:C29"/>
    <mergeCell ref="D28:O28"/>
    <mergeCell ref="P28:P29"/>
    <mergeCell ref="A32:A33"/>
    <mergeCell ref="A31:AD31"/>
    <mergeCell ref="D32:P32"/>
    <mergeCell ref="Q32:AD32"/>
    <mergeCell ref="Q33:S33"/>
    <mergeCell ref="T33:V33"/>
    <mergeCell ref="AA33:AD33"/>
    <mergeCell ref="B30:C30"/>
    <mergeCell ref="Q30:AD30"/>
    <mergeCell ref="B34:B35"/>
    <mergeCell ref="B32:B33"/>
    <mergeCell ref="AB4:AD4"/>
    <mergeCell ref="B3:AA4"/>
    <mergeCell ref="AB3:AD3"/>
    <mergeCell ref="A1:A4"/>
    <mergeCell ref="B1:AA1"/>
    <mergeCell ref="AB1:AD1"/>
    <mergeCell ref="B2:AA2"/>
    <mergeCell ref="AB2:AD2"/>
    <mergeCell ref="C11:AD13"/>
    <mergeCell ref="A7:B9"/>
    <mergeCell ref="C7:C9"/>
    <mergeCell ref="D7:H9"/>
    <mergeCell ref="I7:J9"/>
    <mergeCell ref="O7:P7"/>
    <mergeCell ref="M8:N8"/>
    <mergeCell ref="O8:P8"/>
    <mergeCell ref="M9:N9"/>
    <mergeCell ref="O9:P9"/>
    <mergeCell ref="A11:B13"/>
  </mergeCells>
  <phoneticPr fontId="69" type="noConversion"/>
  <dataValidations count="4">
    <dataValidation type="textLength" operator="lessThanOrEqual" allowBlank="1" showInputMessage="1" showErrorMessage="1" errorTitle="Máximo 2.000 caracteres" error="Máximo 2.000 caracteres" sqref="Q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38:AD39" xr:uid="{00000000-0002-0000-0500-000003000000}">
      <formula1>20000</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303"/>
  <sheetViews>
    <sheetView showGridLines="0" view="pageBreakPreview" topLeftCell="M35" zoomScale="60" zoomScaleNormal="60" workbookViewId="0">
      <selection activeCell="Q38" sqref="Q38:AD51"/>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16" width="18.109375" style="50" customWidth="1"/>
    <col min="17" max="17" width="20.33203125" style="50" customWidth="1"/>
    <col min="18"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769" t="s">
        <v>4</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517" t="s">
        <v>5</v>
      </c>
      <c r="AC3" s="518"/>
      <c r="AD3" s="519"/>
    </row>
    <row r="4" spans="1:33" ht="21.75" customHeight="1" thickBot="1" x14ac:dyDescent="0.35">
      <c r="A4" s="510"/>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16</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3.35"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22</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908" t="s">
        <v>164</v>
      </c>
      <c r="D17" s="909"/>
      <c r="E17" s="909"/>
      <c r="F17" s="909"/>
      <c r="G17" s="909"/>
      <c r="H17" s="909"/>
      <c r="I17" s="909"/>
      <c r="J17" s="909"/>
      <c r="K17" s="909"/>
      <c r="L17" s="909"/>
      <c r="M17" s="909"/>
      <c r="N17" s="909"/>
      <c r="O17" s="909"/>
      <c r="P17" s="909"/>
      <c r="Q17" s="910"/>
      <c r="R17" s="484" t="s">
        <v>25</v>
      </c>
      <c r="S17" s="488"/>
      <c r="T17" s="488"/>
      <c r="U17" s="488"/>
      <c r="V17" s="485"/>
      <c r="W17" s="955">
        <v>4</v>
      </c>
      <c r="X17" s="956"/>
      <c r="Y17" s="488" t="s">
        <v>26</v>
      </c>
      <c r="Z17" s="488"/>
      <c r="AA17" s="488"/>
      <c r="AB17" s="485"/>
      <c r="AC17" s="451">
        <v>0.05</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362">
        <v>251556520</v>
      </c>
      <c r="R22" s="363">
        <v>0</v>
      </c>
      <c r="S22" s="363">
        <v>0</v>
      </c>
      <c r="T22" s="363">
        <v>0</v>
      </c>
      <c r="U22" s="363">
        <v>0</v>
      </c>
      <c r="V22" s="363">
        <v>0</v>
      </c>
      <c r="W22" s="363">
        <v>0</v>
      </c>
      <c r="X22" s="363">
        <v>0</v>
      </c>
      <c r="Y22" s="363">
        <v>0</v>
      </c>
      <c r="Z22" s="363">
        <v>0</v>
      </c>
      <c r="AA22" s="363">
        <v>0</v>
      </c>
      <c r="AB22" s="363">
        <v>0</v>
      </c>
      <c r="AC22" s="280">
        <f>SUM(Q22:AB22)</f>
        <v>251556520</v>
      </c>
      <c r="AD22" s="364"/>
      <c r="AE22" s="3"/>
      <c r="AF22" s="3"/>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290">
        <f>203617024</f>
        <v>203617024</v>
      </c>
      <c r="R23" s="291">
        <f>249707464-Q23</f>
        <v>46090440</v>
      </c>
      <c r="S23" s="291">
        <f>247957907-Q23-R23</f>
        <v>-1749557</v>
      </c>
      <c r="T23" s="291">
        <f>246326387-Q23-R23-S23</f>
        <v>-1631520</v>
      </c>
      <c r="U23" s="291">
        <f>246326387-Q23-R23-S23-T23</f>
        <v>0</v>
      </c>
      <c r="V23" s="291">
        <f>246326387-Q23-R23-S23-T23</f>
        <v>0</v>
      </c>
      <c r="W23" s="291">
        <f>246326387-Q23-R23-S23-U23-T23-V23</f>
        <v>0</v>
      </c>
      <c r="X23" s="291">
        <f>246326387-Q23-R23-S23-T23-U23-V23-W23</f>
        <v>0</v>
      </c>
      <c r="Y23" s="291">
        <f>246326387-Q23-R23-S23-T23-U23-V23-W23-X23</f>
        <v>0</v>
      </c>
      <c r="Z23" s="291"/>
      <c r="AA23" s="291"/>
      <c r="AB23" s="291"/>
      <c r="AC23" s="288">
        <f>SUM(Q23:AB23)</f>
        <v>246326387</v>
      </c>
      <c r="AD23" s="292">
        <f>AC23/AC22</f>
        <v>0.97920891495875362</v>
      </c>
      <c r="AE23" s="3"/>
      <c r="AF23" s="3"/>
    </row>
    <row r="24" spans="1:41" ht="32.1" customHeight="1" x14ac:dyDescent="0.3">
      <c r="A24" s="439" t="s">
        <v>45</v>
      </c>
      <c r="B24" s="440"/>
      <c r="C24" s="287"/>
      <c r="D24" s="288">
        <v>1214133</v>
      </c>
      <c r="E24" s="288"/>
      <c r="F24" s="288"/>
      <c r="G24" s="288"/>
      <c r="H24" s="288"/>
      <c r="I24" s="288"/>
      <c r="J24" s="288"/>
      <c r="K24" s="288"/>
      <c r="L24" s="288"/>
      <c r="M24" s="288"/>
      <c r="N24" s="288"/>
      <c r="O24" s="291">
        <f>SUM(C24:N24)</f>
        <v>1214133</v>
      </c>
      <c r="P24" s="293"/>
      <c r="Q24" s="290"/>
      <c r="R24" s="347">
        <v>11708059</v>
      </c>
      <c r="S24" s="346">
        <v>22229470</v>
      </c>
      <c r="T24" s="346">
        <v>22229470</v>
      </c>
      <c r="U24" s="346">
        <v>22229470</v>
      </c>
      <c r="V24" s="346">
        <v>22229470</v>
      </c>
      <c r="W24" s="347">
        <v>22229470</v>
      </c>
      <c r="X24" s="347">
        <v>22229470</v>
      </c>
      <c r="Y24" s="347">
        <v>22229470</v>
      </c>
      <c r="Z24" s="347">
        <v>22229470</v>
      </c>
      <c r="AA24" s="347">
        <v>22229470</v>
      </c>
      <c r="AB24" s="347">
        <v>39783231</v>
      </c>
      <c r="AC24" s="288">
        <f>SUM(Q24:AB24)</f>
        <v>251556520</v>
      </c>
      <c r="AD24" s="292"/>
      <c r="AE24" s="3"/>
      <c r="AF24" s="3"/>
    </row>
    <row r="25" spans="1:41" ht="32.1" customHeight="1" thickBot="1" x14ac:dyDescent="0.35">
      <c r="A25" s="398" t="s">
        <v>46</v>
      </c>
      <c r="B25" s="441"/>
      <c r="C25" s="297"/>
      <c r="D25" s="298">
        <v>1214133</v>
      </c>
      <c r="E25" s="298"/>
      <c r="F25" s="298"/>
      <c r="G25" s="298"/>
      <c r="H25" s="298"/>
      <c r="I25" s="298"/>
      <c r="J25" s="298"/>
      <c r="K25" s="298"/>
      <c r="L25" s="298"/>
      <c r="M25" s="298"/>
      <c r="N25" s="298"/>
      <c r="O25" s="298">
        <f>SUM(C25:N25)</f>
        <v>1214133</v>
      </c>
      <c r="P25" s="300">
        <f>IFERROR(O25/(SUMIF(C25:N25,"&gt;0",C24:N24))," ")</f>
        <v>1</v>
      </c>
      <c r="Q25" s="349"/>
      <c r="R25" s="299">
        <f>6532988</f>
        <v>6532988</v>
      </c>
      <c r="S25" s="299">
        <f>27999588-R25</f>
        <v>21466600</v>
      </c>
      <c r="T25" s="299">
        <f>49874067-R25-S25</f>
        <v>21874479</v>
      </c>
      <c r="U25" s="299">
        <f>71748548-R25-S25-T25</f>
        <v>21874481</v>
      </c>
      <c r="V25" s="299">
        <f>93623027-R25-S25-T25-U25</f>
        <v>21874479</v>
      </c>
      <c r="W25" s="299">
        <f>113118207-R25-S25-T25-U25-V25</f>
        <v>19495180</v>
      </c>
      <c r="X25" s="299">
        <f>137371987-R25-S25-T25-U25-V25-W25</f>
        <v>24253780</v>
      </c>
      <c r="Y25" s="299">
        <f>159246467-R25-S25-T25-U25-V25-W25-X25</f>
        <v>21874480</v>
      </c>
      <c r="Z25" s="299"/>
      <c r="AA25" s="299"/>
      <c r="AB25" s="299"/>
      <c r="AC25" s="298">
        <f>SUM(Q25:AB25)</f>
        <v>159246467</v>
      </c>
      <c r="AD25" s="303">
        <f>AC25/AC24</f>
        <v>0.63304448240896316</v>
      </c>
      <c r="AE25" s="3"/>
      <c r="AF25" s="3"/>
    </row>
    <row r="26" spans="1:41" ht="32.1" customHeight="1" thickBot="1" x14ac:dyDescent="0.35">
      <c r="A26" s="248"/>
      <c r="B26" s="243"/>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249"/>
      <c r="AD26" s="263"/>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79.5" customHeight="1" thickBot="1" x14ac:dyDescent="0.35">
      <c r="A30" s="333" t="str">
        <f>C17</f>
        <v xml:space="preserve">Acompañar técnicamente 4 instancias de participación y representación de las mujeres  para fortalecer sus capacidades de liderazgo	</v>
      </c>
      <c r="B30" s="778"/>
      <c r="C30" s="779"/>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thickBot="1" x14ac:dyDescent="0.35">
      <c r="A31" s="463" t="s">
        <v>53</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838"/>
    </row>
    <row r="32" spans="1:41" ht="23.1" customHeight="1" x14ac:dyDescent="0.3">
      <c r="A32" s="397" t="s">
        <v>54</v>
      </c>
      <c r="B32" s="401" t="s">
        <v>55</v>
      </c>
      <c r="C32" s="953" t="s">
        <v>49</v>
      </c>
      <c r="D32" s="403" t="s">
        <v>56</v>
      </c>
      <c r="E32" s="404"/>
      <c r="F32" s="404"/>
      <c r="G32" s="404"/>
      <c r="H32" s="404"/>
      <c r="I32" s="404"/>
      <c r="J32" s="404"/>
      <c r="K32" s="404"/>
      <c r="L32" s="404"/>
      <c r="M32" s="404"/>
      <c r="N32" s="404"/>
      <c r="O32" s="404"/>
      <c r="P32" s="405"/>
      <c r="Q32" s="902" t="s">
        <v>57</v>
      </c>
      <c r="R32" s="401"/>
      <c r="S32" s="401"/>
      <c r="T32" s="401"/>
      <c r="U32" s="401"/>
      <c r="V32" s="401"/>
      <c r="W32" s="401"/>
      <c r="X32" s="401"/>
      <c r="Y32" s="401"/>
      <c r="Z32" s="401"/>
      <c r="AA32" s="401"/>
      <c r="AB32" s="401"/>
      <c r="AC32" s="401"/>
      <c r="AD32" s="402"/>
      <c r="AG32" s="87"/>
      <c r="AH32" s="87"/>
      <c r="AI32" s="87"/>
      <c r="AJ32" s="87"/>
      <c r="AK32" s="87"/>
      <c r="AL32" s="87"/>
      <c r="AM32" s="87"/>
      <c r="AN32" s="87"/>
      <c r="AO32" s="87"/>
    </row>
    <row r="33" spans="1:41" ht="27" customHeight="1" x14ac:dyDescent="0.3">
      <c r="A33" s="439"/>
      <c r="B33" s="429"/>
      <c r="C33" s="954"/>
      <c r="D33" s="286" t="s">
        <v>30</v>
      </c>
      <c r="E33" s="306" t="s">
        <v>31</v>
      </c>
      <c r="F33" s="306" t="s">
        <v>32</v>
      </c>
      <c r="G33" s="306" t="s">
        <v>33</v>
      </c>
      <c r="H33" s="306" t="s">
        <v>34</v>
      </c>
      <c r="I33" s="306" t="s">
        <v>35</v>
      </c>
      <c r="J33" s="306" t="s">
        <v>36</v>
      </c>
      <c r="K33" s="306" t="s">
        <v>37</v>
      </c>
      <c r="L33" s="306" t="s">
        <v>8</v>
      </c>
      <c r="M33" s="306" t="s">
        <v>38</v>
      </c>
      <c r="N33" s="306" t="s">
        <v>39</v>
      </c>
      <c r="O33" s="306" t="s">
        <v>40</v>
      </c>
      <c r="P33" s="307" t="s">
        <v>41</v>
      </c>
      <c r="Q33" s="428" t="s">
        <v>58</v>
      </c>
      <c r="R33" s="429"/>
      <c r="S33" s="429"/>
      <c r="T33" s="429" t="s">
        <v>59</v>
      </c>
      <c r="U33" s="429"/>
      <c r="V33" s="429"/>
      <c r="W33" s="431" t="s">
        <v>60</v>
      </c>
      <c r="X33" s="432"/>
      <c r="Y33" s="432"/>
      <c r="Z33" s="433"/>
      <c r="AA33" s="431" t="s">
        <v>61</v>
      </c>
      <c r="AB33" s="432"/>
      <c r="AC33" s="432"/>
      <c r="AD33" s="434"/>
      <c r="AG33" s="87"/>
      <c r="AH33" s="87"/>
      <c r="AI33" s="87"/>
      <c r="AJ33" s="87"/>
      <c r="AK33" s="87"/>
      <c r="AL33" s="87"/>
      <c r="AM33" s="87"/>
      <c r="AN33" s="87"/>
      <c r="AO33" s="87"/>
    </row>
    <row r="34" spans="1:41" ht="111.75" customHeight="1" x14ac:dyDescent="0.3">
      <c r="A34" s="901" t="s">
        <v>164</v>
      </c>
      <c r="B34" s="416">
        <v>0.05</v>
      </c>
      <c r="C34" s="358" t="s">
        <v>62</v>
      </c>
      <c r="D34" s="359">
        <f>D75</f>
        <v>4.0000000000000008E-2</v>
      </c>
      <c r="E34" s="313">
        <f t="shared" ref="E34:O34" si="0">E75</f>
        <v>0.27600000000000002</v>
      </c>
      <c r="F34" s="313">
        <f t="shared" si="0"/>
        <v>0.37600000000000006</v>
      </c>
      <c r="G34" s="313">
        <f t="shared" si="0"/>
        <v>0.34800000000000009</v>
      </c>
      <c r="H34" s="313">
        <f t="shared" si="0"/>
        <v>0.37600000000000006</v>
      </c>
      <c r="I34" s="313">
        <f t="shared" si="0"/>
        <v>0.33600000000000008</v>
      </c>
      <c r="J34" s="313">
        <f t="shared" si="0"/>
        <v>0.38800000000000007</v>
      </c>
      <c r="K34" s="313">
        <f t="shared" si="0"/>
        <v>0.38800000000000007</v>
      </c>
      <c r="L34" s="313">
        <f t="shared" si="0"/>
        <v>0.37200000000000011</v>
      </c>
      <c r="M34" s="313">
        <f t="shared" si="0"/>
        <v>0.38800000000000007</v>
      </c>
      <c r="N34" s="313">
        <f t="shared" si="0"/>
        <v>0.40800000000000008</v>
      </c>
      <c r="O34" s="313">
        <f t="shared" si="0"/>
        <v>0.30399999999999999</v>
      </c>
      <c r="P34" s="314">
        <f>SUM(D34:O34)</f>
        <v>4</v>
      </c>
      <c r="Q34" s="928" t="s">
        <v>598</v>
      </c>
      <c r="R34" s="928"/>
      <c r="S34" s="929"/>
      <c r="T34" s="928" t="s">
        <v>165</v>
      </c>
      <c r="U34" s="928"/>
      <c r="V34" s="929"/>
      <c r="W34" s="947" t="s">
        <v>597</v>
      </c>
      <c r="X34" s="948"/>
      <c r="Y34" s="948"/>
      <c r="Z34" s="949"/>
      <c r="AA34" s="947" t="s">
        <v>166</v>
      </c>
      <c r="AB34" s="948"/>
      <c r="AC34" s="948"/>
      <c r="AD34" s="949"/>
      <c r="AG34" s="87"/>
      <c r="AH34" s="87"/>
      <c r="AI34" s="87"/>
      <c r="AJ34" s="87"/>
      <c r="AK34" s="87"/>
      <c r="AL34" s="87"/>
      <c r="AM34" s="87"/>
      <c r="AN34" s="87"/>
      <c r="AO34" s="87"/>
    </row>
    <row r="35" spans="1:41" ht="111.75" customHeight="1" thickBot="1" x14ac:dyDescent="0.35">
      <c r="A35" s="851"/>
      <c r="B35" s="417"/>
      <c r="C35" s="360" t="s">
        <v>63</v>
      </c>
      <c r="D35" s="361">
        <f>D72</f>
        <v>4.0000000000000008E-2</v>
      </c>
      <c r="E35" s="316">
        <f t="shared" ref="E35:O35" si="1">E72</f>
        <v>0.27600000000000002</v>
      </c>
      <c r="F35" s="316">
        <f t="shared" si="1"/>
        <v>0.37600000000000006</v>
      </c>
      <c r="G35" s="316">
        <f t="shared" si="1"/>
        <v>0.34800000000000009</v>
      </c>
      <c r="H35" s="316">
        <f t="shared" si="1"/>
        <v>0.37600000000000006</v>
      </c>
      <c r="I35" s="316">
        <f t="shared" si="1"/>
        <v>0.33600000000000008</v>
      </c>
      <c r="J35" s="316">
        <f t="shared" si="1"/>
        <v>0.38800000000000007</v>
      </c>
      <c r="K35" s="316">
        <f t="shared" si="1"/>
        <v>0.38800000000000007</v>
      </c>
      <c r="L35" s="316">
        <f t="shared" si="1"/>
        <v>0.37200000000000011</v>
      </c>
      <c r="M35" s="316">
        <f t="shared" si="1"/>
        <v>0</v>
      </c>
      <c r="N35" s="316">
        <f t="shared" si="1"/>
        <v>0</v>
      </c>
      <c r="O35" s="316">
        <f t="shared" si="1"/>
        <v>0</v>
      </c>
      <c r="P35" s="317">
        <f>SUM(D35:O35)</f>
        <v>2.9000000000000004</v>
      </c>
      <c r="Q35" s="930"/>
      <c r="R35" s="930"/>
      <c r="S35" s="931"/>
      <c r="T35" s="930"/>
      <c r="U35" s="930"/>
      <c r="V35" s="931"/>
      <c r="W35" s="950"/>
      <c r="X35" s="951"/>
      <c r="Y35" s="951"/>
      <c r="Z35" s="952"/>
      <c r="AA35" s="950"/>
      <c r="AB35" s="951"/>
      <c r="AC35" s="951"/>
      <c r="AD35" s="952"/>
      <c r="AE35" s="49"/>
      <c r="AG35" s="87"/>
      <c r="AH35" s="87"/>
      <c r="AI35" s="87"/>
      <c r="AJ35" s="87"/>
      <c r="AK35" s="87"/>
      <c r="AL35" s="87"/>
      <c r="AM35" s="87"/>
      <c r="AN35" s="87"/>
      <c r="AO35" s="87"/>
    </row>
    <row r="36" spans="1:41" ht="26.1" customHeight="1" x14ac:dyDescent="0.3">
      <c r="A36" s="402" t="s">
        <v>64</v>
      </c>
      <c r="B36" s="402" t="s">
        <v>65</v>
      </c>
      <c r="C36" s="397" t="s">
        <v>66</v>
      </c>
      <c r="D36" s="401"/>
      <c r="E36" s="401"/>
      <c r="F36" s="401"/>
      <c r="G36" s="401"/>
      <c r="H36" s="401"/>
      <c r="I36" s="401"/>
      <c r="J36" s="401"/>
      <c r="K36" s="401"/>
      <c r="L36" s="401"/>
      <c r="M36" s="401"/>
      <c r="N36" s="401"/>
      <c r="O36" s="401"/>
      <c r="P36" s="402"/>
      <c r="Q36" s="403" t="s">
        <v>67</v>
      </c>
      <c r="R36" s="404"/>
      <c r="S36" s="404"/>
      <c r="T36" s="404"/>
      <c r="U36" s="404"/>
      <c r="V36" s="404"/>
      <c r="W36" s="404"/>
      <c r="X36" s="404"/>
      <c r="Y36" s="404"/>
      <c r="Z36" s="404"/>
      <c r="AA36" s="404"/>
      <c r="AB36" s="404"/>
      <c r="AC36" s="404"/>
      <c r="AD36" s="405"/>
      <c r="AG36" s="87"/>
      <c r="AH36" s="87"/>
      <c r="AI36" s="87"/>
      <c r="AJ36" s="87"/>
      <c r="AK36" s="87"/>
      <c r="AL36" s="87"/>
      <c r="AM36" s="87"/>
      <c r="AN36" s="87"/>
      <c r="AO36" s="87"/>
    </row>
    <row r="37" spans="1:41" ht="26.1" customHeight="1" x14ac:dyDescent="0.3">
      <c r="A37" s="430"/>
      <c r="B37" s="430"/>
      <c r="C37" s="286" t="s">
        <v>68</v>
      </c>
      <c r="D37" s="306" t="s">
        <v>69</v>
      </c>
      <c r="E37" s="306" t="s">
        <v>70</v>
      </c>
      <c r="F37" s="306" t="s">
        <v>71</v>
      </c>
      <c r="G37" s="306" t="s">
        <v>72</v>
      </c>
      <c r="H37" s="306" t="s">
        <v>73</v>
      </c>
      <c r="I37" s="306" t="s">
        <v>74</v>
      </c>
      <c r="J37" s="306" t="s">
        <v>75</v>
      </c>
      <c r="K37" s="306" t="s">
        <v>76</v>
      </c>
      <c r="L37" s="306" t="s">
        <v>77</v>
      </c>
      <c r="M37" s="306" t="s">
        <v>78</v>
      </c>
      <c r="N37" s="306" t="s">
        <v>79</v>
      </c>
      <c r="O37" s="306" t="s">
        <v>80</v>
      </c>
      <c r="P37" s="307" t="s">
        <v>81</v>
      </c>
      <c r="Q37" s="938" t="s">
        <v>82</v>
      </c>
      <c r="R37" s="449"/>
      <c r="S37" s="449"/>
      <c r="T37" s="449"/>
      <c r="U37" s="449"/>
      <c r="V37" s="449"/>
      <c r="W37" s="449"/>
      <c r="X37" s="449"/>
      <c r="Y37" s="449"/>
      <c r="Z37" s="449"/>
      <c r="AA37" s="449"/>
      <c r="AB37" s="449"/>
      <c r="AC37" s="449"/>
      <c r="AD37" s="939"/>
      <c r="AG37" s="94"/>
      <c r="AH37" s="94"/>
      <c r="AI37" s="94"/>
      <c r="AJ37" s="94"/>
      <c r="AK37" s="94"/>
      <c r="AL37" s="94"/>
      <c r="AM37" s="94"/>
      <c r="AN37" s="94"/>
      <c r="AO37" s="94"/>
    </row>
    <row r="38" spans="1:41" ht="185.4" customHeight="1" x14ac:dyDescent="0.3">
      <c r="A38" s="382" t="s">
        <v>167</v>
      </c>
      <c r="B38" s="946">
        <v>0.01</v>
      </c>
      <c r="C38" s="338" t="s">
        <v>62</v>
      </c>
      <c r="D38" s="326">
        <v>0.05</v>
      </c>
      <c r="E38" s="326">
        <v>0.09</v>
      </c>
      <c r="F38" s="326">
        <v>0.09</v>
      </c>
      <c r="G38" s="326">
        <v>0.09</v>
      </c>
      <c r="H38" s="326">
        <v>0.09</v>
      </c>
      <c r="I38" s="326">
        <v>0.09</v>
      </c>
      <c r="J38" s="326">
        <v>0.09</v>
      </c>
      <c r="K38" s="326">
        <v>0.09</v>
      </c>
      <c r="L38" s="326">
        <v>0.09</v>
      </c>
      <c r="M38" s="326">
        <v>0.09</v>
      </c>
      <c r="N38" s="326">
        <v>0.09</v>
      </c>
      <c r="O38" s="326">
        <v>0.05</v>
      </c>
      <c r="P38" s="321">
        <f t="shared" ref="P38:P51" si="2">SUM(D38:O38)</f>
        <v>0.99999999999999989</v>
      </c>
      <c r="Q38" s="940" t="s">
        <v>586</v>
      </c>
      <c r="R38" s="941"/>
      <c r="S38" s="941"/>
      <c r="T38" s="941"/>
      <c r="U38" s="941"/>
      <c r="V38" s="941"/>
      <c r="W38" s="941"/>
      <c r="X38" s="941"/>
      <c r="Y38" s="941"/>
      <c r="Z38" s="941"/>
      <c r="AA38" s="941"/>
      <c r="AB38" s="941"/>
      <c r="AC38" s="941"/>
      <c r="AD38" s="942"/>
      <c r="AE38" s="97"/>
      <c r="AG38" s="98"/>
      <c r="AH38" s="98"/>
      <c r="AI38" s="98"/>
      <c r="AJ38" s="98"/>
      <c r="AK38" s="98"/>
      <c r="AL38" s="98"/>
      <c r="AM38" s="98"/>
      <c r="AN38" s="98"/>
      <c r="AO38" s="98"/>
    </row>
    <row r="39" spans="1:41" ht="185.4" customHeight="1" x14ac:dyDescent="0.3">
      <c r="A39" s="382"/>
      <c r="B39" s="946"/>
      <c r="C39" s="336" t="s">
        <v>63</v>
      </c>
      <c r="D39" s="323">
        <v>0.05</v>
      </c>
      <c r="E39" s="323">
        <v>0.09</v>
      </c>
      <c r="F39" s="323">
        <v>0.09</v>
      </c>
      <c r="G39" s="323">
        <v>0.09</v>
      </c>
      <c r="H39" s="323">
        <v>0.09</v>
      </c>
      <c r="I39" s="323">
        <v>0.09</v>
      </c>
      <c r="J39" s="323">
        <v>0.09</v>
      </c>
      <c r="K39" s="323">
        <v>0.09</v>
      </c>
      <c r="L39" s="323">
        <v>0.09</v>
      </c>
      <c r="M39" s="323"/>
      <c r="N39" s="323"/>
      <c r="O39" s="323"/>
      <c r="P39" s="324">
        <f t="shared" si="2"/>
        <v>0.76999999999999991</v>
      </c>
      <c r="Q39" s="943"/>
      <c r="R39" s="944"/>
      <c r="S39" s="944"/>
      <c r="T39" s="944"/>
      <c r="U39" s="944"/>
      <c r="V39" s="944"/>
      <c r="W39" s="944"/>
      <c r="X39" s="944"/>
      <c r="Y39" s="944"/>
      <c r="Z39" s="944"/>
      <c r="AA39" s="944"/>
      <c r="AB39" s="944"/>
      <c r="AC39" s="944"/>
      <c r="AD39" s="945"/>
      <c r="AE39" s="97"/>
    </row>
    <row r="40" spans="1:41" ht="167.1" customHeight="1" x14ac:dyDescent="0.3">
      <c r="A40" s="382" t="s">
        <v>168</v>
      </c>
      <c r="B40" s="946">
        <v>5.0000000000000001E-3</v>
      </c>
      <c r="C40" s="338" t="s">
        <v>62</v>
      </c>
      <c r="D40" s="326">
        <v>0</v>
      </c>
      <c r="E40" s="326">
        <v>0.09</v>
      </c>
      <c r="F40" s="326">
        <v>0.09</v>
      </c>
      <c r="G40" s="326">
        <v>0.09</v>
      </c>
      <c r="H40" s="326">
        <v>0.09</v>
      </c>
      <c r="I40" s="326">
        <v>0.09</v>
      </c>
      <c r="J40" s="326">
        <v>0.09</v>
      </c>
      <c r="K40" s="326">
        <v>0.09</v>
      </c>
      <c r="L40" s="326">
        <v>0.09</v>
      </c>
      <c r="M40" s="326">
        <v>0.09</v>
      </c>
      <c r="N40" s="326">
        <v>0.09</v>
      </c>
      <c r="O40" s="326">
        <v>0.1</v>
      </c>
      <c r="P40" s="324">
        <f t="shared" si="2"/>
        <v>0.99999999999999978</v>
      </c>
      <c r="Q40" s="940" t="s">
        <v>587</v>
      </c>
      <c r="R40" s="941"/>
      <c r="S40" s="941"/>
      <c r="T40" s="941"/>
      <c r="U40" s="941"/>
      <c r="V40" s="941"/>
      <c r="W40" s="941"/>
      <c r="X40" s="941"/>
      <c r="Y40" s="941"/>
      <c r="Z40" s="941"/>
      <c r="AA40" s="941"/>
      <c r="AB40" s="941"/>
      <c r="AC40" s="941"/>
      <c r="AD40" s="942"/>
      <c r="AE40" s="97"/>
    </row>
    <row r="41" spans="1:41" ht="167.1" customHeight="1" x14ac:dyDescent="0.3">
      <c r="A41" s="382"/>
      <c r="B41" s="946"/>
      <c r="C41" s="336" t="s">
        <v>63</v>
      </c>
      <c r="D41" s="323">
        <v>0</v>
      </c>
      <c r="E41" s="323">
        <v>0.09</v>
      </c>
      <c r="F41" s="323">
        <v>0.09</v>
      </c>
      <c r="G41" s="323">
        <v>0.09</v>
      </c>
      <c r="H41" s="323">
        <v>0.09</v>
      </c>
      <c r="I41" s="323">
        <v>0.09</v>
      </c>
      <c r="J41" s="323">
        <v>0.09</v>
      </c>
      <c r="K41" s="323">
        <v>0.09</v>
      </c>
      <c r="L41" s="323">
        <v>0.09</v>
      </c>
      <c r="M41" s="323"/>
      <c r="N41" s="323"/>
      <c r="O41" s="323"/>
      <c r="P41" s="324">
        <f t="shared" si="2"/>
        <v>0.71999999999999986</v>
      </c>
      <c r="Q41" s="943"/>
      <c r="R41" s="944"/>
      <c r="S41" s="944"/>
      <c r="T41" s="944"/>
      <c r="U41" s="944"/>
      <c r="V41" s="944"/>
      <c r="W41" s="944"/>
      <c r="X41" s="944"/>
      <c r="Y41" s="944"/>
      <c r="Z41" s="944"/>
      <c r="AA41" s="944"/>
      <c r="AB41" s="944"/>
      <c r="AC41" s="944"/>
      <c r="AD41" s="945"/>
      <c r="AE41" s="97"/>
    </row>
    <row r="42" spans="1:41" ht="99.9" customHeight="1" x14ac:dyDescent="0.3">
      <c r="A42" s="382" t="s">
        <v>169</v>
      </c>
      <c r="B42" s="946">
        <v>0.01</v>
      </c>
      <c r="C42" s="338" t="s">
        <v>62</v>
      </c>
      <c r="D42" s="326">
        <v>0</v>
      </c>
      <c r="E42" s="326">
        <v>0.05</v>
      </c>
      <c r="F42" s="326">
        <v>0.1</v>
      </c>
      <c r="G42" s="326">
        <v>0.1</v>
      </c>
      <c r="H42" s="326">
        <v>0.1</v>
      </c>
      <c r="I42" s="326">
        <v>0.1</v>
      </c>
      <c r="J42" s="326">
        <v>0.1</v>
      </c>
      <c r="K42" s="326">
        <v>0.1</v>
      </c>
      <c r="L42" s="326">
        <v>0.1</v>
      </c>
      <c r="M42" s="326">
        <v>0.1</v>
      </c>
      <c r="N42" s="326">
        <v>0.1</v>
      </c>
      <c r="O42" s="326">
        <v>0.05</v>
      </c>
      <c r="P42" s="324">
        <f t="shared" si="2"/>
        <v>0.99999999999999989</v>
      </c>
      <c r="Q42" s="940" t="s">
        <v>588</v>
      </c>
      <c r="R42" s="941"/>
      <c r="S42" s="941"/>
      <c r="T42" s="941"/>
      <c r="U42" s="941"/>
      <c r="V42" s="941"/>
      <c r="W42" s="941"/>
      <c r="X42" s="941"/>
      <c r="Y42" s="941"/>
      <c r="Z42" s="941"/>
      <c r="AA42" s="941"/>
      <c r="AB42" s="941"/>
      <c r="AC42" s="941"/>
      <c r="AD42" s="942"/>
      <c r="AE42" s="97"/>
    </row>
    <row r="43" spans="1:41" ht="99.9" customHeight="1" x14ac:dyDescent="0.3">
      <c r="A43" s="382"/>
      <c r="B43" s="946"/>
      <c r="C43" s="336" t="s">
        <v>63</v>
      </c>
      <c r="D43" s="323">
        <v>0</v>
      </c>
      <c r="E43" s="323">
        <v>0.05</v>
      </c>
      <c r="F43" s="323">
        <v>0.1</v>
      </c>
      <c r="G43" s="323">
        <v>0.1</v>
      </c>
      <c r="H43" s="323">
        <v>0.1</v>
      </c>
      <c r="I43" s="323">
        <v>0.1</v>
      </c>
      <c r="J43" s="323">
        <v>0.1</v>
      </c>
      <c r="K43" s="323">
        <v>0.1</v>
      </c>
      <c r="L43" s="323">
        <v>0.1</v>
      </c>
      <c r="M43" s="323"/>
      <c r="N43" s="323"/>
      <c r="O43" s="323"/>
      <c r="P43" s="324">
        <f t="shared" si="2"/>
        <v>0.74999999999999989</v>
      </c>
      <c r="Q43" s="943"/>
      <c r="R43" s="944"/>
      <c r="S43" s="944"/>
      <c r="T43" s="944"/>
      <c r="U43" s="944"/>
      <c r="V43" s="944"/>
      <c r="W43" s="944"/>
      <c r="X43" s="944"/>
      <c r="Y43" s="944"/>
      <c r="Z43" s="944"/>
      <c r="AA43" s="944"/>
      <c r="AB43" s="944"/>
      <c r="AC43" s="944"/>
      <c r="AD43" s="945"/>
      <c r="AE43" s="97"/>
    </row>
    <row r="44" spans="1:41" ht="129" customHeight="1" x14ac:dyDescent="0.3">
      <c r="A44" s="382" t="s">
        <v>170</v>
      </c>
      <c r="B44" s="946">
        <v>0.01</v>
      </c>
      <c r="C44" s="338" t="s">
        <v>62</v>
      </c>
      <c r="D44" s="326">
        <v>0</v>
      </c>
      <c r="E44" s="326">
        <v>0.08</v>
      </c>
      <c r="F44" s="326">
        <v>0.08</v>
      </c>
      <c r="G44" s="326">
        <v>0.08</v>
      </c>
      <c r="H44" s="326">
        <v>0.08</v>
      </c>
      <c r="I44" s="326">
        <v>0.08</v>
      </c>
      <c r="J44" s="326">
        <v>0.1</v>
      </c>
      <c r="K44" s="326">
        <v>0.1</v>
      </c>
      <c r="L44" s="326">
        <v>0.1</v>
      </c>
      <c r="M44" s="326">
        <v>0.1</v>
      </c>
      <c r="N44" s="326">
        <v>0.1</v>
      </c>
      <c r="O44" s="326">
        <v>0.1</v>
      </c>
      <c r="P44" s="324">
        <f t="shared" si="2"/>
        <v>0.99999999999999989</v>
      </c>
      <c r="Q44" s="391" t="s">
        <v>599</v>
      </c>
      <c r="R44" s="392"/>
      <c r="S44" s="392"/>
      <c r="T44" s="392"/>
      <c r="U44" s="392"/>
      <c r="V44" s="392"/>
      <c r="W44" s="392"/>
      <c r="X44" s="392"/>
      <c r="Y44" s="392"/>
      <c r="Z44" s="392"/>
      <c r="AA44" s="392"/>
      <c r="AB44" s="392"/>
      <c r="AC44" s="392"/>
      <c r="AD44" s="393"/>
      <c r="AE44" s="97"/>
    </row>
    <row r="45" spans="1:41" ht="129" customHeight="1" thickBot="1" x14ac:dyDescent="0.35">
      <c r="A45" s="382"/>
      <c r="B45" s="946"/>
      <c r="C45" s="336" t="s">
        <v>63</v>
      </c>
      <c r="D45" s="323">
        <v>0</v>
      </c>
      <c r="E45" s="323">
        <v>0.08</v>
      </c>
      <c r="F45" s="323">
        <v>0.08</v>
      </c>
      <c r="G45" s="323">
        <v>0.08</v>
      </c>
      <c r="H45" s="323">
        <v>0.08</v>
      </c>
      <c r="I45" s="323">
        <v>0.08</v>
      </c>
      <c r="J45" s="323">
        <v>0.1</v>
      </c>
      <c r="K45" s="323">
        <v>0.1</v>
      </c>
      <c r="L45" s="323">
        <v>0.1</v>
      </c>
      <c r="M45" s="323"/>
      <c r="N45" s="323"/>
      <c r="O45" s="323"/>
      <c r="P45" s="324">
        <f t="shared" si="2"/>
        <v>0.7</v>
      </c>
      <c r="Q45" s="919"/>
      <c r="R45" s="920"/>
      <c r="S45" s="920"/>
      <c r="T45" s="920"/>
      <c r="U45" s="920"/>
      <c r="V45" s="920"/>
      <c r="W45" s="920"/>
      <c r="X45" s="920"/>
      <c r="Y45" s="920"/>
      <c r="Z45" s="920"/>
      <c r="AA45" s="920"/>
      <c r="AB45" s="920"/>
      <c r="AC45" s="920"/>
      <c r="AD45" s="921"/>
      <c r="AE45" s="97"/>
    </row>
    <row r="46" spans="1:41" ht="204.6" customHeight="1" x14ac:dyDescent="0.3">
      <c r="A46" s="382" t="s">
        <v>171</v>
      </c>
      <c r="B46" s="946">
        <v>5.0000000000000001E-3</v>
      </c>
      <c r="C46" s="338" t="s">
        <v>62</v>
      </c>
      <c r="D46" s="326">
        <v>0</v>
      </c>
      <c r="E46" s="326">
        <v>0.08</v>
      </c>
      <c r="F46" s="326">
        <v>0.08</v>
      </c>
      <c r="G46" s="326">
        <v>0.08</v>
      </c>
      <c r="H46" s="326">
        <v>0.08</v>
      </c>
      <c r="I46" s="326">
        <v>0.08</v>
      </c>
      <c r="J46" s="326">
        <v>0.1</v>
      </c>
      <c r="K46" s="326">
        <v>0.1</v>
      </c>
      <c r="L46" s="326">
        <v>0.1</v>
      </c>
      <c r="M46" s="326">
        <v>0.1</v>
      </c>
      <c r="N46" s="326">
        <v>0.1</v>
      </c>
      <c r="O46" s="326">
        <v>0.1</v>
      </c>
      <c r="P46" s="324">
        <f t="shared" si="2"/>
        <v>0.99999999999999989</v>
      </c>
      <c r="Q46" s="391" t="s">
        <v>581</v>
      </c>
      <c r="R46" s="392"/>
      <c r="S46" s="392"/>
      <c r="T46" s="392"/>
      <c r="U46" s="392"/>
      <c r="V46" s="392"/>
      <c r="W46" s="392"/>
      <c r="X46" s="392"/>
      <c r="Y46" s="392"/>
      <c r="Z46" s="392"/>
      <c r="AA46" s="392"/>
      <c r="AB46" s="392"/>
      <c r="AC46" s="392"/>
      <c r="AD46" s="393"/>
      <c r="AE46" s="97"/>
    </row>
    <row r="47" spans="1:41" ht="204.6" customHeight="1" thickBot="1" x14ac:dyDescent="0.35">
      <c r="A47" s="382"/>
      <c r="B47" s="946"/>
      <c r="C47" s="336" t="s">
        <v>63</v>
      </c>
      <c r="D47" s="323">
        <v>0</v>
      </c>
      <c r="E47" s="323">
        <v>0.08</v>
      </c>
      <c r="F47" s="323">
        <v>0.08</v>
      </c>
      <c r="G47" s="323">
        <v>0.08</v>
      </c>
      <c r="H47" s="323">
        <v>0.08</v>
      </c>
      <c r="I47" s="323">
        <v>0.08</v>
      </c>
      <c r="J47" s="323">
        <v>0.1</v>
      </c>
      <c r="K47" s="323">
        <v>0.1</v>
      </c>
      <c r="L47" s="323">
        <v>0.1</v>
      </c>
      <c r="M47" s="323"/>
      <c r="N47" s="323"/>
      <c r="O47" s="323"/>
      <c r="P47" s="324">
        <f t="shared" si="2"/>
        <v>0.7</v>
      </c>
      <c r="Q47" s="919"/>
      <c r="R47" s="920"/>
      <c r="S47" s="920"/>
      <c r="T47" s="920"/>
      <c r="U47" s="920"/>
      <c r="V47" s="920"/>
      <c r="W47" s="920"/>
      <c r="X47" s="920"/>
      <c r="Y47" s="920"/>
      <c r="Z47" s="920"/>
      <c r="AA47" s="920"/>
      <c r="AB47" s="920"/>
      <c r="AC47" s="920"/>
      <c r="AD47" s="921"/>
      <c r="AE47" s="97"/>
    </row>
    <row r="48" spans="1:41" ht="116.1" customHeight="1" x14ac:dyDescent="0.3">
      <c r="A48" s="382" t="s">
        <v>172</v>
      </c>
      <c r="B48" s="946">
        <v>5.0000000000000001E-3</v>
      </c>
      <c r="C48" s="338" t="s">
        <v>62</v>
      </c>
      <c r="D48" s="326">
        <v>0</v>
      </c>
      <c r="E48" s="326">
        <v>0</v>
      </c>
      <c r="F48" s="326">
        <v>0.15</v>
      </c>
      <c r="G48" s="326">
        <v>0.08</v>
      </c>
      <c r="H48" s="326">
        <v>0.15</v>
      </c>
      <c r="I48" s="326">
        <v>0.05</v>
      </c>
      <c r="J48" s="326">
        <v>0.1</v>
      </c>
      <c r="K48" s="326">
        <v>0.1</v>
      </c>
      <c r="L48" s="326">
        <v>0.06</v>
      </c>
      <c r="M48" s="326">
        <v>0.1</v>
      </c>
      <c r="N48" s="326">
        <v>0.15</v>
      </c>
      <c r="O48" s="326">
        <v>0.06</v>
      </c>
      <c r="P48" s="324">
        <f t="shared" si="2"/>
        <v>1</v>
      </c>
      <c r="Q48" s="391" t="s">
        <v>582</v>
      </c>
      <c r="R48" s="392"/>
      <c r="S48" s="392"/>
      <c r="T48" s="392"/>
      <c r="U48" s="392"/>
      <c r="V48" s="392"/>
      <c r="W48" s="392"/>
      <c r="X48" s="392"/>
      <c r="Y48" s="392"/>
      <c r="Z48" s="392"/>
      <c r="AA48" s="392"/>
      <c r="AB48" s="392"/>
      <c r="AC48" s="392"/>
      <c r="AD48" s="393"/>
      <c r="AE48" s="97"/>
    </row>
    <row r="49" spans="1:31" ht="116.1" customHeight="1" thickBot="1" x14ac:dyDescent="0.35">
      <c r="A49" s="382"/>
      <c r="B49" s="946"/>
      <c r="C49" s="336" t="s">
        <v>63</v>
      </c>
      <c r="D49" s="323">
        <v>0</v>
      </c>
      <c r="E49" s="323">
        <v>0</v>
      </c>
      <c r="F49" s="323">
        <v>0.15</v>
      </c>
      <c r="G49" s="323">
        <v>0.08</v>
      </c>
      <c r="H49" s="323">
        <v>0.15</v>
      </c>
      <c r="I49" s="323">
        <v>0.05</v>
      </c>
      <c r="J49" s="323">
        <v>0.1</v>
      </c>
      <c r="K49" s="323">
        <v>0.1</v>
      </c>
      <c r="L49" s="323">
        <v>0.06</v>
      </c>
      <c r="M49" s="323"/>
      <c r="N49" s="323"/>
      <c r="O49" s="323"/>
      <c r="P49" s="324">
        <f t="shared" si="2"/>
        <v>0.69</v>
      </c>
      <c r="Q49" s="919"/>
      <c r="R49" s="920"/>
      <c r="S49" s="920"/>
      <c r="T49" s="920"/>
      <c r="U49" s="920"/>
      <c r="V49" s="920"/>
      <c r="W49" s="920"/>
      <c r="X49" s="920"/>
      <c r="Y49" s="920"/>
      <c r="Z49" s="920"/>
      <c r="AA49" s="920"/>
      <c r="AB49" s="920"/>
      <c r="AC49" s="920"/>
      <c r="AD49" s="921"/>
      <c r="AE49" s="97"/>
    </row>
    <row r="50" spans="1:31" ht="196.5" customHeight="1" x14ac:dyDescent="0.3">
      <c r="A50" s="382" t="s">
        <v>173</v>
      </c>
      <c r="B50" s="946">
        <v>5.0000000000000001E-3</v>
      </c>
      <c r="C50" s="338" t="s">
        <v>62</v>
      </c>
      <c r="D50" s="326">
        <v>0</v>
      </c>
      <c r="E50" s="326">
        <v>0.08</v>
      </c>
      <c r="F50" s="326">
        <v>0.08</v>
      </c>
      <c r="G50" s="326">
        <v>0.08</v>
      </c>
      <c r="H50" s="326">
        <v>0.08</v>
      </c>
      <c r="I50" s="326">
        <v>0.08</v>
      </c>
      <c r="J50" s="326">
        <v>0.1</v>
      </c>
      <c r="K50" s="326">
        <v>0.1</v>
      </c>
      <c r="L50" s="326">
        <v>0.1</v>
      </c>
      <c r="M50" s="326">
        <v>0.1</v>
      </c>
      <c r="N50" s="326">
        <v>0.1</v>
      </c>
      <c r="O50" s="326">
        <v>0.1</v>
      </c>
      <c r="P50" s="324">
        <f t="shared" si="2"/>
        <v>0.99999999999999989</v>
      </c>
      <c r="Q50" s="391" t="s">
        <v>584</v>
      </c>
      <c r="R50" s="392"/>
      <c r="S50" s="392"/>
      <c r="T50" s="392"/>
      <c r="U50" s="392"/>
      <c r="V50" s="392"/>
      <c r="W50" s="392"/>
      <c r="X50" s="392"/>
      <c r="Y50" s="392"/>
      <c r="Z50" s="392"/>
      <c r="AA50" s="392"/>
      <c r="AB50" s="392"/>
      <c r="AC50" s="392"/>
      <c r="AD50" s="393"/>
      <c r="AE50" s="97"/>
    </row>
    <row r="51" spans="1:31" ht="196.5" customHeight="1" thickBot="1" x14ac:dyDescent="0.35">
      <c r="A51" s="754"/>
      <c r="B51" s="957"/>
      <c r="C51" s="341" t="s">
        <v>63</v>
      </c>
      <c r="D51" s="328">
        <v>0</v>
      </c>
      <c r="E51" s="328">
        <v>0.08</v>
      </c>
      <c r="F51" s="328">
        <v>0.08</v>
      </c>
      <c r="G51" s="328">
        <v>0.08</v>
      </c>
      <c r="H51" s="328">
        <v>0.08</v>
      </c>
      <c r="I51" s="328">
        <v>0.08</v>
      </c>
      <c r="J51" s="328">
        <v>0.1</v>
      </c>
      <c r="K51" s="328">
        <v>0.1</v>
      </c>
      <c r="L51" s="328">
        <v>0.1</v>
      </c>
      <c r="M51" s="328"/>
      <c r="N51" s="328"/>
      <c r="O51" s="328"/>
      <c r="P51" s="330">
        <f t="shared" si="2"/>
        <v>0.7</v>
      </c>
      <c r="Q51" s="919"/>
      <c r="R51" s="920"/>
      <c r="S51" s="920"/>
      <c r="T51" s="920"/>
      <c r="U51" s="920"/>
      <c r="V51" s="920"/>
      <c r="W51" s="920"/>
      <c r="X51" s="920"/>
      <c r="Y51" s="920"/>
      <c r="Z51" s="920"/>
      <c r="AA51" s="920"/>
      <c r="AB51" s="920"/>
      <c r="AC51" s="920"/>
      <c r="AD51" s="921"/>
      <c r="AE51" s="97"/>
    </row>
    <row r="52" spans="1:31" x14ac:dyDescent="0.3">
      <c r="A52" s="194" t="s">
        <v>89</v>
      </c>
      <c r="Q52" s="194"/>
      <c r="R52" s="194"/>
      <c r="S52" s="194"/>
      <c r="T52" s="194"/>
      <c r="U52" s="194"/>
      <c r="V52" s="194"/>
      <c r="W52" s="194"/>
      <c r="X52" s="194"/>
      <c r="Y52" s="194"/>
      <c r="Z52" s="194"/>
      <c r="AA52" s="194"/>
      <c r="AB52" s="194"/>
      <c r="AC52" s="194"/>
      <c r="AD52" s="194"/>
    </row>
    <row r="53" spans="1:31" x14ac:dyDescent="0.3">
      <c r="A53" s="194"/>
      <c r="Q53" s="194"/>
      <c r="R53" s="194"/>
      <c r="S53" s="194"/>
      <c r="T53" s="194"/>
      <c r="U53" s="194"/>
      <c r="V53" s="194"/>
      <c r="W53" s="194"/>
      <c r="X53" s="194"/>
      <c r="Y53" s="194"/>
      <c r="Z53" s="194"/>
      <c r="AA53" s="194"/>
      <c r="AB53" s="194"/>
      <c r="AC53" s="194"/>
      <c r="AD53" s="194"/>
    </row>
    <row r="54" spans="1:31" x14ac:dyDescent="0.3">
      <c r="A54" s="194"/>
      <c r="Q54" s="194"/>
      <c r="R54" s="194"/>
      <c r="S54" s="194"/>
      <c r="T54" s="194"/>
      <c r="U54" s="194"/>
      <c r="V54" s="194"/>
      <c r="W54" s="194"/>
      <c r="X54" s="194"/>
      <c r="Y54" s="194"/>
      <c r="Z54" s="194"/>
      <c r="AA54" s="194"/>
      <c r="AB54" s="194"/>
      <c r="AC54" s="194"/>
      <c r="AD54" s="194"/>
    </row>
    <row r="55" spans="1:31" hidden="1" x14ac:dyDescent="0.3">
      <c r="A55" s="563" t="s">
        <v>90</v>
      </c>
      <c r="B55" s="565" t="s">
        <v>65</v>
      </c>
      <c r="C55" s="567" t="s">
        <v>66</v>
      </c>
      <c r="D55" s="802"/>
      <c r="E55" s="802"/>
      <c r="F55" s="802"/>
      <c r="G55" s="802"/>
      <c r="H55" s="802"/>
      <c r="I55" s="802"/>
      <c r="J55" s="802"/>
      <c r="K55" s="802"/>
      <c r="L55" s="802"/>
      <c r="M55" s="802"/>
      <c r="N55" s="802"/>
      <c r="O55" s="802"/>
      <c r="P55" s="803"/>
      <c r="Q55" s="195"/>
      <c r="R55" s="195"/>
      <c r="S55" s="194"/>
      <c r="T55" s="194"/>
      <c r="U55" s="194"/>
      <c r="V55" s="194"/>
      <c r="W55" s="194"/>
      <c r="X55" s="194"/>
      <c r="Y55" s="194"/>
      <c r="Z55" s="194"/>
      <c r="AA55" s="194"/>
      <c r="AB55" s="194"/>
      <c r="AC55" s="194"/>
      <c r="AD55" s="194"/>
    </row>
    <row r="56" spans="1:31" hidden="1" x14ac:dyDescent="0.3">
      <c r="A56" s="800"/>
      <c r="B56" s="801"/>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idden="1" x14ac:dyDescent="0.3">
      <c r="A57" s="551" t="str">
        <f>A38</f>
        <v>25. Acompañar técnica y operativamente el desarrollo de la Mesa coordinadora y el Espacio Ampliado y cuando se solicite por parte del CCM la plenaria del espacio autónomo.</v>
      </c>
      <c r="B57" s="570">
        <f>B38</f>
        <v>0.01</v>
      </c>
      <c r="C57" s="176" t="s">
        <v>62</v>
      </c>
      <c r="D57" s="175">
        <f t="shared" ref="D57:O58" si="3">D38*$B$38/$P$38</f>
        <v>5.0000000000000012E-4</v>
      </c>
      <c r="E57" s="175">
        <f t="shared" si="3"/>
        <v>9.0000000000000008E-4</v>
      </c>
      <c r="F57" s="175">
        <f t="shared" si="3"/>
        <v>9.0000000000000008E-4</v>
      </c>
      <c r="G57" s="175">
        <f t="shared" si="3"/>
        <v>9.0000000000000008E-4</v>
      </c>
      <c r="H57" s="175">
        <f t="shared" si="3"/>
        <v>9.0000000000000008E-4</v>
      </c>
      <c r="I57" s="175">
        <f t="shared" si="3"/>
        <v>9.0000000000000008E-4</v>
      </c>
      <c r="J57" s="175">
        <f t="shared" si="3"/>
        <v>9.0000000000000008E-4</v>
      </c>
      <c r="K57" s="175">
        <f t="shared" si="3"/>
        <v>9.0000000000000008E-4</v>
      </c>
      <c r="L57" s="175">
        <f t="shared" si="3"/>
        <v>9.0000000000000008E-4</v>
      </c>
      <c r="M57" s="175">
        <f t="shared" si="3"/>
        <v>9.0000000000000008E-4</v>
      </c>
      <c r="N57" s="175">
        <f t="shared" si="3"/>
        <v>9.0000000000000008E-4</v>
      </c>
      <c r="O57" s="175">
        <f t="shared" si="3"/>
        <v>5.0000000000000012E-4</v>
      </c>
      <c r="P57" s="174">
        <f t="shared" ref="P57:P70" si="4">SUM(D57:O57)</f>
        <v>0.01</v>
      </c>
      <c r="Q57" s="197">
        <v>0.05</v>
      </c>
      <c r="R57" s="198">
        <f t="shared" ref="R57:R71" si="5">+P57-Q57</f>
        <v>-0.04</v>
      </c>
      <c r="S57" s="194"/>
      <c r="T57" s="194"/>
      <c r="U57" s="194"/>
      <c r="V57" s="194"/>
      <c r="W57" s="194"/>
      <c r="X57" s="194"/>
      <c r="Y57" s="194"/>
      <c r="Z57" s="194"/>
      <c r="AA57" s="194"/>
      <c r="AB57" s="194"/>
      <c r="AC57" s="194"/>
      <c r="AD57" s="194"/>
    </row>
    <row r="58" spans="1:31" hidden="1" x14ac:dyDescent="0.3">
      <c r="A58" s="552"/>
      <c r="B58" s="831"/>
      <c r="C58" s="173" t="s">
        <v>63</v>
      </c>
      <c r="D58" s="172">
        <f t="shared" si="3"/>
        <v>5.0000000000000012E-4</v>
      </c>
      <c r="E58" s="172">
        <f t="shared" si="3"/>
        <v>9.0000000000000008E-4</v>
      </c>
      <c r="F58" s="172">
        <f t="shared" si="3"/>
        <v>9.0000000000000008E-4</v>
      </c>
      <c r="G58" s="172">
        <f t="shared" si="3"/>
        <v>9.0000000000000008E-4</v>
      </c>
      <c r="H58" s="172">
        <f t="shared" si="3"/>
        <v>9.0000000000000008E-4</v>
      </c>
      <c r="I58" s="172">
        <f t="shared" si="3"/>
        <v>9.0000000000000008E-4</v>
      </c>
      <c r="J58" s="172">
        <f t="shared" si="3"/>
        <v>9.0000000000000008E-4</v>
      </c>
      <c r="K58" s="172">
        <f t="shared" si="3"/>
        <v>9.0000000000000008E-4</v>
      </c>
      <c r="L58" s="172">
        <f t="shared" si="3"/>
        <v>9.0000000000000008E-4</v>
      </c>
      <c r="M58" s="172">
        <f t="shared" si="3"/>
        <v>0</v>
      </c>
      <c r="N58" s="172">
        <f t="shared" si="3"/>
        <v>0</v>
      </c>
      <c r="O58" s="172">
        <f t="shared" si="3"/>
        <v>0</v>
      </c>
      <c r="P58" s="171">
        <f t="shared" si="4"/>
        <v>7.6999999999999994E-3</v>
      </c>
      <c r="Q58" s="199">
        <f>+P58</f>
        <v>7.6999999999999994E-3</v>
      </c>
      <c r="R58" s="198">
        <f t="shared" si="5"/>
        <v>0</v>
      </c>
      <c r="S58" s="194"/>
      <c r="T58" s="194"/>
      <c r="U58" s="194"/>
      <c r="V58" s="194"/>
      <c r="W58" s="194"/>
      <c r="X58" s="194"/>
      <c r="Y58" s="194"/>
      <c r="Z58" s="194"/>
      <c r="AA58" s="194"/>
      <c r="AB58" s="194"/>
      <c r="AC58" s="194"/>
      <c r="AD58" s="194"/>
    </row>
    <row r="59" spans="1:31" hidden="1" x14ac:dyDescent="0.3">
      <c r="A59" s="551" t="str">
        <f>A40</f>
        <v>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v>
      </c>
      <c r="B59" s="553">
        <f>B40</f>
        <v>5.0000000000000001E-3</v>
      </c>
      <c r="C59" s="176" t="s">
        <v>62</v>
      </c>
      <c r="D59" s="175">
        <f t="shared" ref="D59:O60" si="6">D40*$B$40/$P$40</f>
        <v>0</v>
      </c>
      <c r="E59" s="175">
        <f t="shared" si="6"/>
        <v>4.500000000000001E-4</v>
      </c>
      <c r="F59" s="175">
        <f t="shared" si="6"/>
        <v>4.500000000000001E-4</v>
      </c>
      <c r="G59" s="175">
        <f t="shared" si="6"/>
        <v>4.500000000000001E-4</v>
      </c>
      <c r="H59" s="175">
        <f t="shared" si="6"/>
        <v>4.500000000000001E-4</v>
      </c>
      <c r="I59" s="175">
        <f t="shared" si="6"/>
        <v>4.500000000000001E-4</v>
      </c>
      <c r="J59" s="175">
        <f t="shared" si="6"/>
        <v>4.500000000000001E-4</v>
      </c>
      <c r="K59" s="175">
        <f t="shared" si="6"/>
        <v>4.500000000000001E-4</v>
      </c>
      <c r="L59" s="175">
        <f t="shared" si="6"/>
        <v>4.500000000000001E-4</v>
      </c>
      <c r="M59" s="175">
        <f t="shared" si="6"/>
        <v>4.500000000000001E-4</v>
      </c>
      <c r="N59" s="175">
        <f t="shared" si="6"/>
        <v>4.500000000000001E-4</v>
      </c>
      <c r="O59" s="175">
        <f t="shared" si="6"/>
        <v>5.0000000000000012E-4</v>
      </c>
      <c r="P59" s="174">
        <f t="shared" si="4"/>
        <v>5.0000000000000001E-3</v>
      </c>
      <c r="Q59" s="197">
        <v>2.5000000000000001E-2</v>
      </c>
      <c r="R59" s="198">
        <f t="shared" si="5"/>
        <v>-0.02</v>
      </c>
      <c r="S59" s="194"/>
      <c r="T59" s="194"/>
      <c r="U59" s="194"/>
      <c r="V59" s="194"/>
      <c r="W59" s="194"/>
      <c r="X59" s="194"/>
      <c r="Y59" s="194"/>
      <c r="Z59" s="194"/>
      <c r="AA59" s="194"/>
      <c r="AB59" s="194"/>
      <c r="AC59" s="194"/>
      <c r="AD59" s="194"/>
    </row>
    <row r="60" spans="1:31" hidden="1" x14ac:dyDescent="0.3">
      <c r="A60" s="874"/>
      <c r="B60" s="835"/>
      <c r="C60" s="173" t="s">
        <v>63</v>
      </c>
      <c r="D60" s="172">
        <f t="shared" si="6"/>
        <v>0</v>
      </c>
      <c r="E60" s="172">
        <f t="shared" si="6"/>
        <v>4.500000000000001E-4</v>
      </c>
      <c r="F60" s="172">
        <f t="shared" si="6"/>
        <v>4.500000000000001E-4</v>
      </c>
      <c r="G60" s="172">
        <f t="shared" si="6"/>
        <v>4.500000000000001E-4</v>
      </c>
      <c r="H60" s="172">
        <f t="shared" si="6"/>
        <v>4.500000000000001E-4</v>
      </c>
      <c r="I60" s="172">
        <f t="shared" si="6"/>
        <v>4.500000000000001E-4</v>
      </c>
      <c r="J60" s="172">
        <f t="shared" si="6"/>
        <v>4.500000000000001E-4</v>
      </c>
      <c r="K60" s="172">
        <f t="shared" si="6"/>
        <v>4.500000000000001E-4</v>
      </c>
      <c r="L60" s="172">
        <f t="shared" si="6"/>
        <v>4.500000000000001E-4</v>
      </c>
      <c r="M60" s="172">
        <f t="shared" si="6"/>
        <v>0</v>
      </c>
      <c r="N60" s="172">
        <f t="shared" si="6"/>
        <v>0</v>
      </c>
      <c r="O60" s="172">
        <f t="shared" si="6"/>
        <v>0</v>
      </c>
      <c r="P60" s="171">
        <f t="shared" si="4"/>
        <v>3.5999999999999999E-3</v>
      </c>
      <c r="Q60" s="199">
        <f>+P60</f>
        <v>3.5999999999999999E-3</v>
      </c>
      <c r="R60" s="198">
        <f t="shared" si="5"/>
        <v>0</v>
      </c>
      <c r="S60" s="194"/>
      <c r="T60" s="194"/>
      <c r="U60" s="194"/>
      <c r="V60" s="194"/>
      <c r="W60" s="194"/>
      <c r="X60" s="194"/>
      <c r="Y60" s="194"/>
      <c r="Z60" s="194"/>
      <c r="AA60" s="194"/>
      <c r="AB60" s="194"/>
      <c r="AC60" s="194"/>
      <c r="AD60" s="194"/>
    </row>
    <row r="61" spans="1:31" hidden="1" x14ac:dyDescent="0.3">
      <c r="A61" s="551" t="str">
        <f>A42</f>
        <v>27. Acompañar técnicamente el desarrollo de comisiones de trabajo del Espacio Autónomo del Consejo Consultivo de Mujeres.</v>
      </c>
      <c r="B61" s="553">
        <f>B42</f>
        <v>0.01</v>
      </c>
      <c r="C61" s="176" t="s">
        <v>62</v>
      </c>
      <c r="D61" s="175">
        <f t="shared" ref="D61:O62" si="7">D42*$B$42/$P$42</f>
        <v>0</v>
      </c>
      <c r="E61" s="175">
        <f t="shared" si="7"/>
        <v>5.0000000000000012E-4</v>
      </c>
      <c r="F61" s="175">
        <f t="shared" si="7"/>
        <v>1.0000000000000002E-3</v>
      </c>
      <c r="G61" s="175">
        <f t="shared" si="7"/>
        <v>1.0000000000000002E-3</v>
      </c>
      <c r="H61" s="175">
        <f t="shared" si="7"/>
        <v>1.0000000000000002E-3</v>
      </c>
      <c r="I61" s="175">
        <f t="shared" si="7"/>
        <v>1.0000000000000002E-3</v>
      </c>
      <c r="J61" s="175">
        <f t="shared" si="7"/>
        <v>1.0000000000000002E-3</v>
      </c>
      <c r="K61" s="175">
        <f t="shared" si="7"/>
        <v>1.0000000000000002E-3</v>
      </c>
      <c r="L61" s="175">
        <f t="shared" si="7"/>
        <v>1.0000000000000002E-3</v>
      </c>
      <c r="M61" s="175">
        <f t="shared" si="7"/>
        <v>1.0000000000000002E-3</v>
      </c>
      <c r="N61" s="175">
        <f t="shared" si="7"/>
        <v>1.0000000000000002E-3</v>
      </c>
      <c r="O61" s="175">
        <f t="shared" si="7"/>
        <v>5.0000000000000012E-4</v>
      </c>
      <c r="P61" s="174">
        <f t="shared" si="4"/>
        <v>1.0000000000000002E-2</v>
      </c>
      <c r="Q61" s="197">
        <v>2.5000000000000001E-2</v>
      </c>
      <c r="R61" s="198">
        <f t="shared" si="5"/>
        <v>-1.4999999999999999E-2</v>
      </c>
      <c r="S61" s="194"/>
      <c r="T61" s="194"/>
      <c r="U61" s="194"/>
      <c r="V61" s="194"/>
      <c r="W61" s="194"/>
      <c r="X61" s="194"/>
      <c r="Y61" s="194"/>
      <c r="Z61" s="194"/>
      <c r="AA61" s="194"/>
      <c r="AB61" s="194"/>
      <c r="AC61" s="194"/>
      <c r="AD61" s="194"/>
    </row>
    <row r="62" spans="1:31" hidden="1" x14ac:dyDescent="0.3">
      <c r="A62" s="874"/>
      <c r="B62" s="835"/>
      <c r="C62" s="173" t="s">
        <v>63</v>
      </c>
      <c r="D62" s="172">
        <f t="shared" si="7"/>
        <v>0</v>
      </c>
      <c r="E62" s="172">
        <f t="shared" si="7"/>
        <v>5.0000000000000012E-4</v>
      </c>
      <c r="F62" s="172">
        <f t="shared" si="7"/>
        <v>1.0000000000000002E-3</v>
      </c>
      <c r="G62" s="172">
        <f t="shared" si="7"/>
        <v>1.0000000000000002E-3</v>
      </c>
      <c r="H62" s="172">
        <f t="shared" si="7"/>
        <v>1.0000000000000002E-3</v>
      </c>
      <c r="I62" s="172">
        <f t="shared" si="7"/>
        <v>1.0000000000000002E-3</v>
      </c>
      <c r="J62" s="172">
        <f t="shared" si="7"/>
        <v>1.0000000000000002E-3</v>
      </c>
      <c r="K62" s="172">
        <f t="shared" si="7"/>
        <v>1.0000000000000002E-3</v>
      </c>
      <c r="L62" s="172">
        <f t="shared" si="7"/>
        <v>1.0000000000000002E-3</v>
      </c>
      <c r="M62" s="172">
        <f t="shared" si="7"/>
        <v>0</v>
      </c>
      <c r="N62" s="172">
        <f t="shared" si="7"/>
        <v>0</v>
      </c>
      <c r="O62" s="172">
        <f t="shared" si="7"/>
        <v>0</v>
      </c>
      <c r="P62" s="171">
        <f t="shared" si="4"/>
        <v>7.5000000000000006E-3</v>
      </c>
      <c r="Q62" s="199">
        <f>+P62</f>
        <v>7.5000000000000006E-3</v>
      </c>
      <c r="R62" s="198">
        <f t="shared" si="5"/>
        <v>0</v>
      </c>
      <c r="S62" s="194"/>
      <c r="T62" s="194"/>
      <c r="U62" s="194"/>
      <c r="V62" s="194"/>
      <c r="W62" s="194"/>
      <c r="X62" s="194"/>
      <c r="Y62" s="194"/>
      <c r="Z62" s="194"/>
      <c r="AA62" s="194"/>
      <c r="AB62" s="194"/>
      <c r="AC62" s="194"/>
      <c r="AD62" s="194"/>
    </row>
    <row r="63" spans="1:31" hidden="1" x14ac:dyDescent="0.3">
      <c r="A63" s="551" t="str">
        <f>A44</f>
        <v>28. Acompañar técnicamente la transversalización del enfoque de género en el Concejo de Bogotá, con énfasis en las bancadas de mujeres de este órgano</v>
      </c>
      <c r="B63" s="553">
        <f>B44</f>
        <v>0.01</v>
      </c>
      <c r="C63" s="176" t="s">
        <v>62</v>
      </c>
      <c r="D63" s="175">
        <f t="shared" ref="D63:O64" si="8">D44*$B$44/$P$44</f>
        <v>0</v>
      </c>
      <c r="E63" s="175">
        <f t="shared" si="8"/>
        <v>8.0000000000000015E-4</v>
      </c>
      <c r="F63" s="175">
        <f t="shared" si="8"/>
        <v>8.0000000000000015E-4</v>
      </c>
      <c r="G63" s="175">
        <f t="shared" si="8"/>
        <v>8.0000000000000015E-4</v>
      </c>
      <c r="H63" s="175">
        <f t="shared" si="8"/>
        <v>8.0000000000000015E-4</v>
      </c>
      <c r="I63" s="175">
        <f t="shared" si="8"/>
        <v>8.0000000000000015E-4</v>
      </c>
      <c r="J63" s="175">
        <f t="shared" si="8"/>
        <v>1.0000000000000002E-3</v>
      </c>
      <c r="K63" s="175">
        <f t="shared" si="8"/>
        <v>1.0000000000000002E-3</v>
      </c>
      <c r="L63" s="175">
        <f t="shared" si="8"/>
        <v>1.0000000000000002E-3</v>
      </c>
      <c r="M63" s="175">
        <f t="shared" si="8"/>
        <v>1.0000000000000002E-3</v>
      </c>
      <c r="N63" s="175">
        <f t="shared" si="8"/>
        <v>1.0000000000000002E-3</v>
      </c>
      <c r="O63" s="175">
        <f t="shared" si="8"/>
        <v>1.0000000000000002E-3</v>
      </c>
      <c r="P63" s="174">
        <f t="shared" si="4"/>
        <v>1.0000000000000004E-2</v>
      </c>
      <c r="Q63" s="197">
        <v>0.02</v>
      </c>
      <c r="R63" s="198">
        <f t="shared" si="5"/>
        <v>-9.9999999999999967E-3</v>
      </c>
      <c r="S63" s="194"/>
      <c r="T63" s="194"/>
      <c r="U63" s="194"/>
      <c r="V63" s="194"/>
      <c r="W63" s="194"/>
      <c r="X63" s="194"/>
      <c r="Y63" s="194"/>
      <c r="Z63" s="194"/>
      <c r="AA63" s="194"/>
      <c r="AB63" s="194"/>
      <c r="AC63" s="194"/>
      <c r="AD63" s="194"/>
    </row>
    <row r="64" spans="1:31" hidden="1" x14ac:dyDescent="0.3">
      <c r="A64" s="874"/>
      <c r="B64" s="835"/>
      <c r="C64" s="173" t="s">
        <v>63</v>
      </c>
      <c r="D64" s="172">
        <f t="shared" si="8"/>
        <v>0</v>
      </c>
      <c r="E64" s="172">
        <f t="shared" si="8"/>
        <v>8.0000000000000015E-4</v>
      </c>
      <c r="F64" s="172">
        <f t="shared" si="8"/>
        <v>8.0000000000000015E-4</v>
      </c>
      <c r="G64" s="172">
        <f t="shared" si="8"/>
        <v>8.0000000000000015E-4</v>
      </c>
      <c r="H64" s="172">
        <f t="shared" si="8"/>
        <v>8.0000000000000015E-4</v>
      </c>
      <c r="I64" s="172">
        <f t="shared" si="8"/>
        <v>8.0000000000000015E-4</v>
      </c>
      <c r="J64" s="172">
        <f t="shared" si="8"/>
        <v>1.0000000000000002E-3</v>
      </c>
      <c r="K64" s="172">
        <f t="shared" si="8"/>
        <v>1.0000000000000002E-3</v>
      </c>
      <c r="L64" s="172">
        <f t="shared" si="8"/>
        <v>1.0000000000000002E-3</v>
      </c>
      <c r="M64" s="172">
        <f t="shared" si="8"/>
        <v>0</v>
      </c>
      <c r="N64" s="172">
        <f t="shared" si="8"/>
        <v>0</v>
      </c>
      <c r="O64" s="172">
        <f t="shared" si="8"/>
        <v>0</v>
      </c>
      <c r="P64" s="171">
        <f t="shared" si="4"/>
        <v>7.000000000000001E-3</v>
      </c>
      <c r="Q64" s="199">
        <f>+P64</f>
        <v>7.000000000000001E-3</v>
      </c>
      <c r="R64" s="198">
        <f t="shared" si="5"/>
        <v>0</v>
      </c>
      <c r="S64" s="194"/>
      <c r="T64" s="194"/>
      <c r="U64" s="194"/>
      <c r="V64" s="194"/>
      <c r="W64" s="194"/>
      <c r="X64" s="194"/>
      <c r="Y64" s="194"/>
      <c r="Z64" s="194"/>
      <c r="AA64" s="194"/>
      <c r="AB64" s="194"/>
      <c r="AC64" s="194"/>
      <c r="AD64" s="194"/>
    </row>
    <row r="65" spans="1:30" hidden="1" x14ac:dyDescent="0.3">
      <c r="A65" s="551" t="str">
        <f>A46</f>
        <v>29. Acompañar técnicamente, gestionar y coordinar las reuniones con la Submesa para la garantía y seguimiento de los derechos de las mujeres, diversidades, disidencias sexuales y de Género.</v>
      </c>
      <c r="B65" s="553">
        <f>B46</f>
        <v>5.0000000000000001E-3</v>
      </c>
      <c r="C65" s="176" t="s">
        <v>62</v>
      </c>
      <c r="D65" s="175">
        <f t="shared" ref="D65:O66" si="9">D46*$B$46/$P$46</f>
        <v>0</v>
      </c>
      <c r="E65" s="175">
        <f t="shared" si="9"/>
        <v>4.0000000000000007E-4</v>
      </c>
      <c r="F65" s="175">
        <f t="shared" si="9"/>
        <v>4.0000000000000007E-4</v>
      </c>
      <c r="G65" s="175">
        <f t="shared" si="9"/>
        <v>4.0000000000000007E-4</v>
      </c>
      <c r="H65" s="175">
        <f t="shared" si="9"/>
        <v>4.0000000000000007E-4</v>
      </c>
      <c r="I65" s="175">
        <f t="shared" si="9"/>
        <v>4.0000000000000007E-4</v>
      </c>
      <c r="J65" s="175">
        <f t="shared" si="9"/>
        <v>5.0000000000000012E-4</v>
      </c>
      <c r="K65" s="175">
        <f t="shared" si="9"/>
        <v>5.0000000000000012E-4</v>
      </c>
      <c r="L65" s="175">
        <f t="shared" si="9"/>
        <v>5.0000000000000012E-4</v>
      </c>
      <c r="M65" s="175">
        <f t="shared" si="9"/>
        <v>5.0000000000000012E-4</v>
      </c>
      <c r="N65" s="175">
        <f t="shared" si="9"/>
        <v>5.0000000000000012E-4</v>
      </c>
      <c r="O65" s="175">
        <f t="shared" si="9"/>
        <v>5.0000000000000012E-4</v>
      </c>
      <c r="P65" s="174">
        <f t="shared" si="4"/>
        <v>5.0000000000000018E-3</v>
      </c>
      <c r="Q65" s="197">
        <v>0.02</v>
      </c>
      <c r="R65" s="198">
        <f t="shared" si="5"/>
        <v>-1.4999999999999999E-2</v>
      </c>
      <c r="S65" s="194"/>
      <c r="T65" s="194"/>
      <c r="U65" s="194"/>
      <c r="V65" s="194"/>
      <c r="W65" s="194"/>
      <c r="X65" s="194"/>
      <c r="Y65" s="194"/>
      <c r="Z65" s="194"/>
      <c r="AA65" s="194"/>
      <c r="AB65" s="194"/>
      <c r="AC65" s="194"/>
      <c r="AD65" s="194"/>
    </row>
    <row r="66" spans="1:30" hidden="1" x14ac:dyDescent="0.3">
      <c r="A66" s="874"/>
      <c r="B66" s="835"/>
      <c r="C66" s="173" t="s">
        <v>63</v>
      </c>
      <c r="D66" s="172">
        <f t="shared" si="9"/>
        <v>0</v>
      </c>
      <c r="E66" s="172">
        <f t="shared" si="9"/>
        <v>4.0000000000000007E-4</v>
      </c>
      <c r="F66" s="172">
        <f t="shared" si="9"/>
        <v>4.0000000000000007E-4</v>
      </c>
      <c r="G66" s="172">
        <f t="shared" si="9"/>
        <v>4.0000000000000007E-4</v>
      </c>
      <c r="H66" s="172">
        <f t="shared" si="9"/>
        <v>4.0000000000000007E-4</v>
      </c>
      <c r="I66" s="172">
        <f t="shared" si="9"/>
        <v>4.0000000000000007E-4</v>
      </c>
      <c r="J66" s="172">
        <f t="shared" si="9"/>
        <v>5.0000000000000012E-4</v>
      </c>
      <c r="K66" s="172">
        <f t="shared" si="9"/>
        <v>5.0000000000000012E-4</v>
      </c>
      <c r="L66" s="172">
        <f t="shared" si="9"/>
        <v>5.0000000000000012E-4</v>
      </c>
      <c r="M66" s="172">
        <f t="shared" si="9"/>
        <v>0</v>
      </c>
      <c r="N66" s="172">
        <f t="shared" si="9"/>
        <v>0</v>
      </c>
      <c r="O66" s="172">
        <f t="shared" si="9"/>
        <v>0</v>
      </c>
      <c r="P66" s="171">
        <f t="shared" si="4"/>
        <v>3.5000000000000005E-3</v>
      </c>
      <c r="Q66" s="199">
        <f>+P66</f>
        <v>3.5000000000000005E-3</v>
      </c>
      <c r="R66" s="198">
        <f t="shared" si="5"/>
        <v>0</v>
      </c>
      <c r="S66" s="194"/>
      <c r="T66" s="194"/>
      <c r="U66" s="194"/>
      <c r="V66" s="194"/>
      <c r="W66" s="194"/>
      <c r="X66" s="194"/>
      <c r="Y66" s="194"/>
      <c r="Z66" s="194"/>
      <c r="AA66" s="194"/>
      <c r="AB66" s="194"/>
      <c r="AC66" s="194"/>
      <c r="AD66" s="194"/>
    </row>
    <row r="67" spans="1:30" hidden="1" x14ac:dyDescent="0.3">
      <c r="A67" s="551" t="str">
        <f>A48</f>
        <v>30. Realizar Acompañamiento técnico al Puesto de mando Unificado (PMU) durante las movilizaciones y protesta social que se realicen y a las cuales se convoque a la SDMujer.</v>
      </c>
      <c r="B67" s="553">
        <f>B48</f>
        <v>5.0000000000000001E-3</v>
      </c>
      <c r="C67" s="176" t="s">
        <v>62</v>
      </c>
      <c r="D67" s="175">
        <f t="shared" ref="D67:O68" si="10">D48*$B$48/$P$48</f>
        <v>0</v>
      </c>
      <c r="E67" s="175">
        <f t="shared" si="10"/>
        <v>0</v>
      </c>
      <c r="F67" s="175">
        <f t="shared" si="10"/>
        <v>7.5000000000000002E-4</v>
      </c>
      <c r="G67" s="175">
        <f t="shared" si="10"/>
        <v>4.0000000000000002E-4</v>
      </c>
      <c r="H67" s="175">
        <f t="shared" si="10"/>
        <v>7.5000000000000002E-4</v>
      </c>
      <c r="I67" s="175">
        <f t="shared" si="10"/>
        <v>2.5000000000000001E-4</v>
      </c>
      <c r="J67" s="175">
        <f t="shared" si="10"/>
        <v>5.0000000000000001E-4</v>
      </c>
      <c r="K67" s="175">
        <f t="shared" si="10"/>
        <v>5.0000000000000001E-4</v>
      </c>
      <c r="L67" s="175">
        <f t="shared" si="10"/>
        <v>2.9999999999999997E-4</v>
      </c>
      <c r="M67" s="175">
        <f t="shared" si="10"/>
        <v>5.0000000000000001E-4</v>
      </c>
      <c r="N67" s="175">
        <f t="shared" si="10"/>
        <v>7.5000000000000002E-4</v>
      </c>
      <c r="O67" s="175">
        <f t="shared" si="10"/>
        <v>2.9999999999999997E-4</v>
      </c>
      <c r="P67" s="174">
        <f t="shared" si="4"/>
        <v>5.0000000000000001E-3</v>
      </c>
      <c r="Q67" s="197">
        <v>0.02</v>
      </c>
      <c r="R67" s="198">
        <f t="shared" si="5"/>
        <v>-1.4999999999999999E-2</v>
      </c>
      <c r="S67" s="194"/>
      <c r="T67" s="194"/>
      <c r="U67" s="194"/>
      <c r="V67" s="194"/>
      <c r="W67" s="194"/>
      <c r="X67" s="194"/>
      <c r="Y67" s="194"/>
      <c r="Z67" s="194"/>
      <c r="AA67" s="194"/>
      <c r="AB67" s="194"/>
      <c r="AC67" s="194"/>
      <c r="AD67" s="194"/>
    </row>
    <row r="68" spans="1:30" hidden="1" x14ac:dyDescent="0.3">
      <c r="A68" s="874"/>
      <c r="B68" s="835"/>
      <c r="C68" s="173" t="s">
        <v>63</v>
      </c>
      <c r="D68" s="172">
        <f t="shared" si="10"/>
        <v>0</v>
      </c>
      <c r="E68" s="172">
        <f t="shared" si="10"/>
        <v>0</v>
      </c>
      <c r="F68" s="172">
        <f t="shared" si="10"/>
        <v>7.5000000000000002E-4</v>
      </c>
      <c r="G68" s="172">
        <f t="shared" si="10"/>
        <v>4.0000000000000002E-4</v>
      </c>
      <c r="H68" s="172">
        <f t="shared" si="10"/>
        <v>7.5000000000000002E-4</v>
      </c>
      <c r="I68" s="172">
        <f t="shared" si="10"/>
        <v>2.5000000000000001E-4</v>
      </c>
      <c r="J68" s="172">
        <f t="shared" si="10"/>
        <v>5.0000000000000001E-4</v>
      </c>
      <c r="K68" s="172">
        <f t="shared" si="10"/>
        <v>5.0000000000000001E-4</v>
      </c>
      <c r="L68" s="172">
        <f t="shared" si="10"/>
        <v>2.9999999999999997E-4</v>
      </c>
      <c r="M68" s="172">
        <f t="shared" si="10"/>
        <v>0</v>
      </c>
      <c r="N68" s="172">
        <f t="shared" si="10"/>
        <v>0</v>
      </c>
      <c r="O68" s="172">
        <f t="shared" si="10"/>
        <v>0</v>
      </c>
      <c r="P68" s="171">
        <f t="shared" si="4"/>
        <v>3.4499999999999999E-3</v>
      </c>
      <c r="Q68" s="199">
        <f>+P68</f>
        <v>3.4499999999999999E-3</v>
      </c>
      <c r="R68" s="198">
        <f t="shared" si="5"/>
        <v>0</v>
      </c>
      <c r="S68" s="194"/>
      <c r="T68" s="194"/>
      <c r="U68" s="194"/>
      <c r="V68" s="194"/>
      <c r="W68" s="194"/>
      <c r="X68" s="194"/>
      <c r="Y68" s="194"/>
      <c r="Z68" s="194"/>
      <c r="AA68" s="194"/>
      <c r="AB68" s="194"/>
      <c r="AC68" s="194"/>
      <c r="AD68" s="194"/>
    </row>
    <row r="69" spans="1:30" hidden="1" x14ac:dyDescent="0.3">
      <c r="A69" s="551" t="str">
        <f>A50</f>
        <v>31. Acompañar técnicamente a las consejeras del sector mujeres del Consejo Distrital de jóvenes</v>
      </c>
      <c r="B69" s="553">
        <f>B50</f>
        <v>5.0000000000000001E-3</v>
      </c>
      <c r="C69" s="176" t="s">
        <v>62</v>
      </c>
      <c r="D69" s="175">
        <f t="shared" ref="D69:O70" si="11">D50*$B$50/$P$50</f>
        <v>0</v>
      </c>
      <c r="E69" s="175">
        <f t="shared" si="11"/>
        <v>4.0000000000000007E-4</v>
      </c>
      <c r="F69" s="175">
        <f t="shared" si="11"/>
        <v>4.0000000000000007E-4</v>
      </c>
      <c r="G69" s="175">
        <f t="shared" si="11"/>
        <v>4.0000000000000007E-4</v>
      </c>
      <c r="H69" s="175">
        <f t="shared" si="11"/>
        <v>4.0000000000000007E-4</v>
      </c>
      <c r="I69" s="175">
        <f t="shared" si="11"/>
        <v>4.0000000000000007E-4</v>
      </c>
      <c r="J69" s="175">
        <f t="shared" si="11"/>
        <v>5.0000000000000012E-4</v>
      </c>
      <c r="K69" s="175">
        <f t="shared" si="11"/>
        <v>5.0000000000000012E-4</v>
      </c>
      <c r="L69" s="175">
        <f t="shared" si="11"/>
        <v>5.0000000000000012E-4</v>
      </c>
      <c r="M69" s="175">
        <f t="shared" si="11"/>
        <v>5.0000000000000012E-4</v>
      </c>
      <c r="N69" s="175">
        <f t="shared" si="11"/>
        <v>5.0000000000000012E-4</v>
      </c>
      <c r="O69" s="175">
        <f t="shared" si="11"/>
        <v>5.0000000000000012E-4</v>
      </c>
      <c r="P69" s="174">
        <f t="shared" si="4"/>
        <v>5.0000000000000018E-3</v>
      </c>
      <c r="Q69" s="197">
        <v>0.02</v>
      </c>
      <c r="R69" s="198">
        <f t="shared" si="5"/>
        <v>-1.4999999999999999E-2</v>
      </c>
      <c r="S69" s="194"/>
      <c r="T69" s="194"/>
      <c r="U69" s="194"/>
      <c r="V69" s="194"/>
      <c r="W69" s="194"/>
      <c r="X69" s="194"/>
      <c r="Y69" s="194"/>
      <c r="Z69" s="194"/>
      <c r="AA69" s="194"/>
      <c r="AB69" s="194"/>
      <c r="AC69" s="194"/>
      <c r="AD69" s="194"/>
    </row>
    <row r="70" spans="1:30" hidden="1" x14ac:dyDescent="0.3">
      <c r="A70" s="874"/>
      <c r="B70" s="835"/>
      <c r="C70" s="173" t="s">
        <v>63</v>
      </c>
      <c r="D70" s="172">
        <f t="shared" si="11"/>
        <v>0</v>
      </c>
      <c r="E70" s="172">
        <f t="shared" si="11"/>
        <v>4.0000000000000007E-4</v>
      </c>
      <c r="F70" s="172">
        <f t="shared" si="11"/>
        <v>4.0000000000000007E-4</v>
      </c>
      <c r="G70" s="172">
        <f t="shared" si="11"/>
        <v>4.0000000000000007E-4</v>
      </c>
      <c r="H70" s="172">
        <f t="shared" si="11"/>
        <v>4.0000000000000007E-4</v>
      </c>
      <c r="I70" s="172">
        <f t="shared" si="11"/>
        <v>4.0000000000000007E-4</v>
      </c>
      <c r="J70" s="172">
        <f t="shared" si="11"/>
        <v>5.0000000000000012E-4</v>
      </c>
      <c r="K70" s="172">
        <f t="shared" si="11"/>
        <v>5.0000000000000012E-4</v>
      </c>
      <c r="L70" s="172">
        <f t="shared" si="11"/>
        <v>5.0000000000000012E-4</v>
      </c>
      <c r="M70" s="172">
        <f t="shared" si="11"/>
        <v>0</v>
      </c>
      <c r="N70" s="172">
        <f t="shared" si="11"/>
        <v>0</v>
      </c>
      <c r="O70" s="172">
        <f t="shared" si="11"/>
        <v>0</v>
      </c>
      <c r="P70" s="171">
        <f t="shared" si="4"/>
        <v>3.5000000000000005E-3</v>
      </c>
      <c r="Q70" s="199">
        <f>+P70</f>
        <v>3.5000000000000005E-3</v>
      </c>
      <c r="R70" s="198">
        <f t="shared" si="5"/>
        <v>0</v>
      </c>
      <c r="S70" s="194"/>
      <c r="T70" s="194"/>
      <c r="U70" s="194"/>
      <c r="V70" s="194"/>
      <c r="W70" s="194"/>
      <c r="X70" s="194"/>
      <c r="Y70" s="194"/>
      <c r="Z70" s="194"/>
      <c r="AA70" s="194"/>
      <c r="AB70" s="194"/>
      <c r="AC70" s="194"/>
      <c r="AD70" s="194"/>
    </row>
    <row r="71" spans="1:30" hidden="1" x14ac:dyDescent="0.3">
      <c r="A71" s="195"/>
      <c r="B71" s="169"/>
      <c r="C71" s="170"/>
      <c r="D71" s="165">
        <f t="shared" ref="D71:P71" si="12">D58+D60+D62+D64+D66+D68+D70</f>
        <v>5.0000000000000012E-4</v>
      </c>
      <c r="E71" s="165">
        <f t="shared" si="12"/>
        <v>3.4500000000000008E-3</v>
      </c>
      <c r="F71" s="165">
        <f t="shared" si="12"/>
        <v>4.7000000000000011E-3</v>
      </c>
      <c r="G71" s="165">
        <f t="shared" si="12"/>
        <v>4.3500000000000014E-3</v>
      </c>
      <c r="H71" s="165">
        <f t="shared" si="12"/>
        <v>4.7000000000000011E-3</v>
      </c>
      <c r="I71" s="165">
        <f t="shared" si="12"/>
        <v>4.2000000000000015E-3</v>
      </c>
      <c r="J71" s="165">
        <f t="shared" si="12"/>
        <v>4.850000000000001E-3</v>
      </c>
      <c r="K71" s="165">
        <f t="shared" si="12"/>
        <v>4.850000000000001E-3</v>
      </c>
      <c r="L71" s="165">
        <f t="shared" si="12"/>
        <v>4.6500000000000014E-3</v>
      </c>
      <c r="M71" s="165">
        <f t="shared" si="12"/>
        <v>0</v>
      </c>
      <c r="N71" s="165">
        <f t="shared" si="12"/>
        <v>0</v>
      </c>
      <c r="O71" s="165">
        <f t="shared" si="12"/>
        <v>0</v>
      </c>
      <c r="P71" s="165">
        <f t="shared" si="12"/>
        <v>3.6250000000000004E-2</v>
      </c>
      <c r="Q71" s="195"/>
      <c r="R71" s="198">
        <f t="shared" si="5"/>
        <v>3.6250000000000004E-2</v>
      </c>
      <c r="S71" s="194"/>
      <c r="T71" s="194"/>
      <c r="U71" s="194"/>
      <c r="V71" s="194"/>
      <c r="W71" s="194"/>
      <c r="X71" s="194"/>
      <c r="Y71" s="194"/>
      <c r="Z71" s="194"/>
      <c r="AA71" s="194"/>
      <c r="AB71" s="194"/>
      <c r="AC71" s="194"/>
      <c r="AD71" s="194"/>
    </row>
    <row r="72" spans="1:30" hidden="1" x14ac:dyDescent="0.3">
      <c r="A72" s="195"/>
      <c r="B72" s="167"/>
      <c r="C72" s="164" t="s">
        <v>63</v>
      </c>
      <c r="D72" s="163">
        <f t="shared" ref="D72:O72" si="13">D71*$W$17/$B$34</f>
        <v>4.0000000000000008E-2</v>
      </c>
      <c r="E72" s="163">
        <f t="shared" si="13"/>
        <v>0.27600000000000002</v>
      </c>
      <c r="F72" s="163">
        <f t="shared" si="13"/>
        <v>0.37600000000000006</v>
      </c>
      <c r="G72" s="163">
        <f t="shared" si="13"/>
        <v>0.34800000000000009</v>
      </c>
      <c r="H72" s="163">
        <f t="shared" si="13"/>
        <v>0.37600000000000006</v>
      </c>
      <c r="I72" s="163">
        <f t="shared" si="13"/>
        <v>0.33600000000000008</v>
      </c>
      <c r="J72" s="163">
        <f t="shared" si="13"/>
        <v>0.38800000000000007</v>
      </c>
      <c r="K72" s="163">
        <f t="shared" si="13"/>
        <v>0.38800000000000007</v>
      </c>
      <c r="L72" s="163">
        <f t="shared" si="13"/>
        <v>0.37200000000000011</v>
      </c>
      <c r="M72" s="163">
        <f t="shared" si="13"/>
        <v>0</v>
      </c>
      <c r="N72" s="163">
        <f t="shared" si="13"/>
        <v>0</v>
      </c>
      <c r="O72" s="163">
        <f t="shared" si="13"/>
        <v>0</v>
      </c>
      <c r="P72" s="162">
        <f>SUM(D72:O72)</f>
        <v>2.9000000000000004</v>
      </c>
      <c r="Q72" s="196"/>
      <c r="R72" s="195"/>
      <c r="S72" s="194"/>
      <c r="T72" s="194"/>
      <c r="U72" s="194"/>
      <c r="V72" s="194"/>
      <c r="W72" s="194"/>
      <c r="X72" s="194"/>
      <c r="Y72" s="194"/>
      <c r="Z72" s="194"/>
      <c r="AA72" s="194"/>
      <c r="AB72" s="194"/>
      <c r="AC72" s="194"/>
      <c r="AD72" s="194"/>
    </row>
    <row r="73" spans="1:30" hidden="1" x14ac:dyDescent="0.3">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3">
      <c r="A74" s="197"/>
      <c r="B74" s="108"/>
      <c r="C74" s="108"/>
      <c r="D74" s="165">
        <f t="shared" ref="D74:O74" si="14">+D57+D59+D61+D63+D65+D67+D69</f>
        <v>5.0000000000000012E-4</v>
      </c>
      <c r="E74" s="165">
        <f t="shared" si="14"/>
        <v>3.4500000000000008E-3</v>
      </c>
      <c r="F74" s="165">
        <f t="shared" si="14"/>
        <v>4.7000000000000011E-3</v>
      </c>
      <c r="G74" s="165">
        <f t="shared" si="14"/>
        <v>4.3500000000000014E-3</v>
      </c>
      <c r="H74" s="165">
        <f t="shared" si="14"/>
        <v>4.7000000000000011E-3</v>
      </c>
      <c r="I74" s="165">
        <f t="shared" si="14"/>
        <v>4.2000000000000015E-3</v>
      </c>
      <c r="J74" s="165">
        <f t="shared" si="14"/>
        <v>4.850000000000001E-3</v>
      </c>
      <c r="K74" s="165">
        <f t="shared" si="14"/>
        <v>4.850000000000001E-3</v>
      </c>
      <c r="L74" s="165">
        <f t="shared" si="14"/>
        <v>4.6500000000000014E-3</v>
      </c>
      <c r="M74" s="165">
        <f t="shared" si="14"/>
        <v>4.850000000000001E-3</v>
      </c>
      <c r="N74" s="165">
        <f t="shared" si="14"/>
        <v>5.1000000000000012E-3</v>
      </c>
      <c r="O74" s="165">
        <f t="shared" si="14"/>
        <v>3.8000000000000004E-3</v>
      </c>
      <c r="P74" s="165">
        <f>SUM(D74:O74)</f>
        <v>5.000000000000001E-2</v>
      </c>
      <c r="Q74" s="197"/>
      <c r="R74" s="197"/>
      <c r="S74" s="194"/>
      <c r="T74" s="194"/>
      <c r="U74" s="194"/>
      <c r="V74" s="194"/>
      <c r="W74" s="194"/>
      <c r="X74" s="194"/>
      <c r="Y74" s="194"/>
      <c r="Z74" s="194"/>
      <c r="AA74" s="194"/>
      <c r="AB74" s="194"/>
      <c r="AC74" s="194"/>
      <c r="AD74" s="194"/>
    </row>
    <row r="75" spans="1:30" hidden="1" x14ac:dyDescent="0.3">
      <c r="A75" s="197"/>
      <c r="B75" s="108"/>
      <c r="C75" s="164" t="s">
        <v>62</v>
      </c>
      <c r="D75" s="163">
        <f t="shared" ref="D75:O75" si="15">D74*$W$17/$B$34</f>
        <v>4.0000000000000008E-2</v>
      </c>
      <c r="E75" s="163">
        <f t="shared" si="15"/>
        <v>0.27600000000000002</v>
      </c>
      <c r="F75" s="163">
        <f t="shared" si="15"/>
        <v>0.37600000000000006</v>
      </c>
      <c r="G75" s="163">
        <f t="shared" si="15"/>
        <v>0.34800000000000009</v>
      </c>
      <c r="H75" s="163">
        <f t="shared" si="15"/>
        <v>0.37600000000000006</v>
      </c>
      <c r="I75" s="163">
        <f t="shared" si="15"/>
        <v>0.33600000000000008</v>
      </c>
      <c r="J75" s="163">
        <f t="shared" si="15"/>
        <v>0.38800000000000007</v>
      </c>
      <c r="K75" s="163">
        <f t="shared" si="15"/>
        <v>0.38800000000000007</v>
      </c>
      <c r="L75" s="163">
        <f t="shared" si="15"/>
        <v>0.37200000000000011</v>
      </c>
      <c r="M75" s="163">
        <f t="shared" si="15"/>
        <v>0.38800000000000007</v>
      </c>
      <c r="N75" s="163">
        <f t="shared" si="15"/>
        <v>0.40800000000000008</v>
      </c>
      <c r="O75" s="163">
        <f t="shared" si="15"/>
        <v>0.30399999999999999</v>
      </c>
      <c r="P75" s="162">
        <f>SUM(D75:O75)</f>
        <v>4</v>
      </c>
      <c r="Q75" s="197"/>
      <c r="R75" s="197"/>
      <c r="S75" s="194"/>
      <c r="T75" s="194"/>
      <c r="U75" s="194"/>
      <c r="V75" s="194"/>
      <c r="W75" s="194"/>
      <c r="X75" s="194"/>
      <c r="Y75" s="194"/>
      <c r="Z75" s="194"/>
      <c r="AA75" s="194"/>
      <c r="AB75" s="194"/>
      <c r="AC75" s="194"/>
      <c r="AD75" s="194"/>
    </row>
    <row r="76" spans="1:30" hidden="1" x14ac:dyDescent="0.3">
      <c r="A76" s="194"/>
      <c r="Q76" s="194"/>
      <c r="R76" s="194"/>
      <c r="S76" s="194"/>
      <c r="T76" s="194"/>
      <c r="U76" s="194"/>
      <c r="V76" s="194"/>
      <c r="W76" s="194"/>
      <c r="X76" s="194"/>
      <c r="Y76" s="194"/>
      <c r="Z76" s="194"/>
      <c r="AA76" s="194"/>
      <c r="AB76" s="194"/>
      <c r="AC76" s="194"/>
      <c r="AD76" s="194"/>
    </row>
    <row r="77" spans="1:30" hidden="1" x14ac:dyDescent="0.3">
      <c r="A77" s="194"/>
      <c r="Q77" s="194"/>
      <c r="R77" s="194"/>
      <c r="S77" s="194"/>
      <c r="T77" s="194"/>
      <c r="U77" s="194"/>
      <c r="V77" s="194"/>
      <c r="W77" s="194"/>
      <c r="X77" s="194"/>
      <c r="Y77" s="194"/>
      <c r="Z77" s="194"/>
      <c r="AA77" s="194"/>
      <c r="AB77" s="194"/>
      <c r="AC77" s="194"/>
      <c r="AD77" s="194"/>
    </row>
    <row r="78" spans="1:30" hidden="1" x14ac:dyDescent="0.3">
      <c r="A78" s="194"/>
      <c r="Q78" s="194"/>
      <c r="R78" s="194"/>
      <c r="S78" s="194"/>
      <c r="T78" s="194"/>
      <c r="U78" s="194"/>
      <c r="V78" s="194"/>
      <c r="W78" s="194"/>
      <c r="X78" s="194"/>
      <c r="Y78" s="194"/>
      <c r="Z78" s="194"/>
      <c r="AA78" s="194"/>
      <c r="AB78" s="194"/>
      <c r="AC78" s="194"/>
      <c r="AD78" s="194"/>
    </row>
    <row r="79" spans="1:30" hidden="1" x14ac:dyDescent="0.3">
      <c r="A79" s="194"/>
      <c r="Q79" s="194"/>
      <c r="R79" s="194"/>
      <c r="S79" s="194"/>
      <c r="T79" s="194"/>
      <c r="U79" s="194"/>
      <c r="V79" s="194"/>
      <c r="W79" s="194"/>
      <c r="X79" s="194"/>
      <c r="Y79" s="194"/>
      <c r="Z79" s="194"/>
      <c r="AA79" s="194"/>
      <c r="AB79" s="194"/>
      <c r="AC79" s="194"/>
      <c r="AD79" s="194"/>
    </row>
    <row r="80" spans="1:30" hidden="1" x14ac:dyDescent="0.3">
      <c r="A80" s="194"/>
      <c r="Q80" s="194"/>
      <c r="R80" s="194"/>
      <c r="S80" s="194"/>
      <c r="T80" s="194"/>
      <c r="U80" s="194"/>
      <c r="V80" s="194"/>
      <c r="W80" s="194"/>
      <c r="X80" s="194"/>
      <c r="Y80" s="194"/>
      <c r="Z80" s="194"/>
      <c r="AA80" s="194"/>
      <c r="AB80" s="194"/>
      <c r="AC80" s="194"/>
      <c r="AD80" s="194"/>
    </row>
    <row r="81" spans="1:30" hidden="1" x14ac:dyDescent="0.3">
      <c r="A81" s="194"/>
      <c r="Q81" s="194"/>
      <c r="R81" s="194"/>
      <c r="S81" s="194"/>
      <c r="T81" s="194"/>
      <c r="U81" s="194"/>
      <c r="V81" s="194"/>
      <c r="W81" s="194"/>
      <c r="X81" s="194"/>
      <c r="Y81" s="194"/>
      <c r="Z81" s="194"/>
      <c r="AA81" s="194"/>
      <c r="AB81" s="194"/>
      <c r="AC81" s="194"/>
      <c r="AD81" s="194"/>
    </row>
    <row r="82" spans="1:30" hidden="1" x14ac:dyDescent="0.3">
      <c r="A82" s="194"/>
      <c r="Q82" s="194"/>
      <c r="R82" s="194"/>
      <c r="S82" s="194"/>
      <c r="T82" s="194"/>
      <c r="U82" s="194"/>
      <c r="V82" s="194"/>
      <c r="W82" s="194"/>
      <c r="X82" s="194"/>
      <c r="Y82" s="194"/>
      <c r="Z82" s="194"/>
      <c r="AA82" s="194"/>
      <c r="AB82" s="194"/>
      <c r="AC82" s="194"/>
      <c r="AD82" s="194"/>
    </row>
    <row r="83" spans="1:30" hidden="1" x14ac:dyDescent="0.3">
      <c r="A83" s="194"/>
      <c r="Q83" s="194"/>
      <c r="R83" s="194"/>
      <c r="S83" s="194"/>
      <c r="T83" s="194"/>
      <c r="U83" s="194"/>
      <c r="V83" s="194"/>
      <c r="W83" s="194"/>
      <c r="X83" s="194"/>
      <c r="Y83" s="194"/>
      <c r="Z83" s="194"/>
      <c r="AA83" s="194"/>
      <c r="AB83" s="194"/>
      <c r="AC83" s="194"/>
      <c r="AD83" s="194"/>
    </row>
    <row r="84" spans="1:30" hidden="1" x14ac:dyDescent="0.3">
      <c r="A84" s="194"/>
      <c r="Q84" s="194"/>
      <c r="R84" s="194"/>
      <c r="S84" s="194"/>
      <c r="T84" s="194"/>
      <c r="U84" s="194"/>
      <c r="V84" s="194"/>
      <c r="W84" s="194"/>
      <c r="X84" s="194"/>
      <c r="Y84" s="194"/>
      <c r="Z84" s="194"/>
      <c r="AA84" s="194"/>
      <c r="AB84" s="194"/>
      <c r="AC84" s="194"/>
      <c r="AD84" s="194"/>
    </row>
    <row r="85" spans="1:30" hidden="1" x14ac:dyDescent="0.3">
      <c r="A85" s="194"/>
      <c r="Q85" s="194"/>
      <c r="R85" s="194"/>
      <c r="S85" s="194"/>
      <c r="T85" s="194"/>
      <c r="U85" s="194"/>
      <c r="V85" s="194"/>
      <c r="W85" s="194"/>
      <c r="X85" s="194"/>
      <c r="Y85" s="194"/>
      <c r="Z85" s="194"/>
      <c r="AA85" s="194"/>
      <c r="AB85" s="194"/>
      <c r="AC85" s="194"/>
      <c r="AD85" s="194"/>
    </row>
    <row r="86" spans="1:30" hidden="1" x14ac:dyDescent="0.3">
      <c r="A86" s="194"/>
      <c r="Q86" s="194"/>
      <c r="R86" s="194"/>
      <c r="S86" s="194"/>
      <c r="T86" s="194"/>
      <c r="U86" s="194"/>
      <c r="V86" s="194"/>
      <c r="W86" s="194"/>
      <c r="X86" s="194"/>
      <c r="Y86" s="194"/>
      <c r="Z86" s="194"/>
      <c r="AA86" s="194"/>
      <c r="AB86" s="194"/>
      <c r="AC86" s="194"/>
      <c r="AD86" s="194"/>
    </row>
    <row r="87" spans="1:30" hidden="1" x14ac:dyDescent="0.3">
      <c r="A87" s="194"/>
      <c r="Q87" s="194"/>
      <c r="R87" s="194"/>
      <c r="S87" s="194"/>
      <c r="T87" s="194"/>
      <c r="U87" s="194"/>
      <c r="V87" s="194"/>
      <c r="W87" s="194"/>
      <c r="X87" s="194"/>
      <c r="Y87" s="194"/>
      <c r="Z87" s="194"/>
      <c r="AA87" s="194"/>
      <c r="AB87" s="194"/>
      <c r="AC87" s="194"/>
      <c r="AD87" s="194"/>
    </row>
    <row r="88" spans="1:30" hidden="1" x14ac:dyDescent="0.3">
      <c r="A88" s="194"/>
      <c r="Q88" s="194"/>
      <c r="R88" s="194"/>
      <c r="S88" s="194"/>
      <c r="T88" s="194"/>
      <c r="U88" s="194"/>
      <c r="V88" s="194"/>
      <c r="W88" s="194"/>
      <c r="X88" s="194"/>
      <c r="Y88" s="194"/>
      <c r="Z88" s="194"/>
      <c r="AA88" s="194"/>
      <c r="AB88" s="194"/>
      <c r="AC88" s="194"/>
      <c r="AD88" s="194"/>
    </row>
    <row r="89" spans="1:30" hidden="1"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108">
    <mergeCell ref="A28:A29"/>
    <mergeCell ref="B28:C29"/>
    <mergeCell ref="A69:A70"/>
    <mergeCell ref="B69:B70"/>
    <mergeCell ref="A63:A64"/>
    <mergeCell ref="B63:B64"/>
    <mergeCell ref="A65:A66"/>
    <mergeCell ref="B65:B66"/>
    <mergeCell ref="A67:A68"/>
    <mergeCell ref="B67:B68"/>
    <mergeCell ref="A57:A58"/>
    <mergeCell ref="B57:B58"/>
    <mergeCell ref="A59:A60"/>
    <mergeCell ref="B59:B60"/>
    <mergeCell ref="A61:A62"/>
    <mergeCell ref="B61:B62"/>
    <mergeCell ref="A50:A51"/>
    <mergeCell ref="B50:B51"/>
    <mergeCell ref="B30:C30"/>
    <mergeCell ref="A34:A35"/>
    <mergeCell ref="B34:B35"/>
    <mergeCell ref="A38:A39"/>
    <mergeCell ref="B38:B39"/>
    <mergeCell ref="Q50:AD51"/>
    <mergeCell ref="A55:A56"/>
    <mergeCell ref="B55:B56"/>
    <mergeCell ref="C55:P55"/>
    <mergeCell ref="A46:A47"/>
    <mergeCell ref="B46:B47"/>
    <mergeCell ref="Q46:AD47"/>
    <mergeCell ref="A48:A49"/>
    <mergeCell ref="B48:B49"/>
    <mergeCell ref="Q48:AD49"/>
    <mergeCell ref="A1:A4"/>
    <mergeCell ref="B1:AA1"/>
    <mergeCell ref="AB1:AD1"/>
    <mergeCell ref="B2:AA2"/>
    <mergeCell ref="AB2:AD2"/>
    <mergeCell ref="B3:AA4"/>
    <mergeCell ref="AB3:AD3"/>
    <mergeCell ref="AB4:AD4"/>
    <mergeCell ref="A11:B13"/>
    <mergeCell ref="D7:H9"/>
    <mergeCell ref="I7:J9"/>
    <mergeCell ref="K7:L9"/>
    <mergeCell ref="O7:P7"/>
    <mergeCell ref="M8:N8"/>
    <mergeCell ref="O8:P8"/>
    <mergeCell ref="M9:N9"/>
    <mergeCell ref="O9:P9"/>
    <mergeCell ref="M7:N7"/>
    <mergeCell ref="A7:B9"/>
    <mergeCell ref="C7:C9"/>
    <mergeCell ref="C11:AD13"/>
    <mergeCell ref="D28:O28"/>
    <mergeCell ref="P28:P29"/>
    <mergeCell ref="Q28:AD29"/>
    <mergeCell ref="R15:X15"/>
    <mergeCell ref="Y15:Z15"/>
    <mergeCell ref="W17:X17"/>
    <mergeCell ref="Y17:AB17"/>
    <mergeCell ref="A15:B15"/>
    <mergeCell ref="C15:K15"/>
    <mergeCell ref="A24:B24"/>
    <mergeCell ref="A19:AD19"/>
    <mergeCell ref="Q20:AD20"/>
    <mergeCell ref="C20:P20"/>
    <mergeCell ref="A22:B22"/>
    <mergeCell ref="AC17:AD17"/>
    <mergeCell ref="R17:V17"/>
    <mergeCell ref="L15:Q15"/>
    <mergeCell ref="A27:AD27"/>
    <mergeCell ref="A23:B23"/>
    <mergeCell ref="A25:B25"/>
    <mergeCell ref="AA15:AD15"/>
    <mergeCell ref="C16:AB16"/>
    <mergeCell ref="A17:B17"/>
    <mergeCell ref="C17:Q17"/>
    <mergeCell ref="Q30:AD30"/>
    <mergeCell ref="A31:AD31"/>
    <mergeCell ref="A32:A33"/>
    <mergeCell ref="B32:B33"/>
    <mergeCell ref="C32:C33"/>
    <mergeCell ref="D32:P32"/>
    <mergeCell ref="Q32:AD32"/>
    <mergeCell ref="W33:Z33"/>
    <mergeCell ref="AA33:AD33"/>
    <mergeCell ref="W34:Z35"/>
    <mergeCell ref="AA34:AD35"/>
    <mergeCell ref="Q33:S33"/>
    <mergeCell ref="T33:V33"/>
    <mergeCell ref="Q34:S35"/>
    <mergeCell ref="T34:V35"/>
    <mergeCell ref="A36:A37"/>
    <mergeCell ref="B36:B37"/>
    <mergeCell ref="C36:P36"/>
    <mergeCell ref="Q36:AD36"/>
    <mergeCell ref="Q37:AD37"/>
    <mergeCell ref="Q38:AD39"/>
    <mergeCell ref="A44:A45"/>
    <mergeCell ref="B44:B45"/>
    <mergeCell ref="Q44:AD45"/>
    <mergeCell ref="A40:A41"/>
    <mergeCell ref="B40:B41"/>
    <mergeCell ref="Q40:AD41"/>
    <mergeCell ref="A42:A43"/>
    <mergeCell ref="B42:B43"/>
    <mergeCell ref="Q42:AD43"/>
  </mergeCells>
  <phoneticPr fontId="69" type="noConversion"/>
  <dataValidations count="4">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W34 Q34" xr:uid="{00000000-0002-0000-0600-000002000000}">
      <formula1>2000</formula1>
    </dataValidation>
    <dataValidation type="textLength" operator="lessThanOrEqual" allowBlank="1" showInputMessage="1" showErrorMessage="1" errorTitle="Máximo 2.000 caracteres" error="Máximo 2.000 caracteres" sqref="Q38:AD51" xr:uid="{00000000-0002-0000-0600-000003000000}">
      <formula1>20000</formula1>
    </dataValidation>
  </dataValidations>
  <printOptions horizontalCentered="1"/>
  <pageMargins left="0.39370078740157483" right="0.39370078740157483" top="0.39370078740157483" bottom="0.39370078740157483" header="0" footer="0"/>
  <pageSetup paperSize="9" scale="1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303"/>
  <sheetViews>
    <sheetView showGridLines="0" tabSelected="1" view="pageBreakPreview" topLeftCell="P32" zoomScale="60" zoomScaleNormal="60" workbookViewId="0">
      <selection activeCell="T34" sqref="T34:V35"/>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8.33203125" style="50" customWidth="1"/>
    <col min="16" max="17" width="18.109375" style="50" customWidth="1"/>
    <col min="18" max="18" width="19.109375" style="50" customWidth="1"/>
    <col min="19"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508"/>
      <c r="B1" s="511"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3"/>
      <c r="AB1" s="514" t="s">
        <v>1</v>
      </c>
      <c r="AC1" s="515"/>
      <c r="AD1" s="516"/>
    </row>
    <row r="2" spans="1:33" ht="30.75" customHeight="1" thickBot="1" x14ac:dyDescent="0.35">
      <c r="A2" s="509"/>
      <c r="B2" s="511" t="s">
        <v>2</v>
      </c>
      <c r="C2" s="512"/>
      <c r="D2" s="512"/>
      <c r="E2" s="512"/>
      <c r="F2" s="512"/>
      <c r="G2" s="512"/>
      <c r="H2" s="512"/>
      <c r="I2" s="512"/>
      <c r="J2" s="512"/>
      <c r="K2" s="512"/>
      <c r="L2" s="512"/>
      <c r="M2" s="512"/>
      <c r="N2" s="512"/>
      <c r="O2" s="512"/>
      <c r="P2" s="512"/>
      <c r="Q2" s="512"/>
      <c r="R2" s="512"/>
      <c r="S2" s="512"/>
      <c r="T2" s="512"/>
      <c r="U2" s="512"/>
      <c r="V2" s="512"/>
      <c r="W2" s="512"/>
      <c r="X2" s="512"/>
      <c r="Y2" s="512"/>
      <c r="Z2" s="512"/>
      <c r="AA2" s="513"/>
      <c r="AB2" s="517" t="s">
        <v>3</v>
      </c>
      <c r="AC2" s="518"/>
      <c r="AD2" s="519"/>
    </row>
    <row r="3" spans="1:33" ht="24" customHeight="1" x14ac:dyDescent="0.3">
      <c r="A3" s="509"/>
      <c r="B3" s="769" t="s">
        <v>4</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517" t="s">
        <v>5</v>
      </c>
      <c r="AC3" s="518"/>
      <c r="AD3" s="519"/>
    </row>
    <row r="4" spans="1:33" ht="21.75" customHeight="1" thickBot="1" x14ac:dyDescent="0.35">
      <c r="A4" s="510"/>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9" t="s">
        <v>6</v>
      </c>
      <c r="AC4" s="530"/>
      <c r="AD4" s="531"/>
    </row>
    <row r="5" spans="1:33" ht="9" customHeight="1" thickBot="1" x14ac:dyDescent="0.35">
      <c r="A5" s="240"/>
      <c r="B5" s="241"/>
      <c r="C5" s="242"/>
      <c r="D5" s="243"/>
      <c r="E5" s="243"/>
      <c r="F5" s="243"/>
      <c r="G5" s="243"/>
      <c r="H5" s="243"/>
      <c r="I5" s="243"/>
      <c r="J5" s="243"/>
      <c r="K5" s="243"/>
      <c r="L5" s="243"/>
      <c r="M5" s="243"/>
      <c r="N5" s="243"/>
      <c r="O5" s="243"/>
      <c r="P5" s="243"/>
      <c r="Q5" s="243"/>
      <c r="R5" s="243"/>
      <c r="S5" s="243"/>
      <c r="T5" s="243"/>
      <c r="U5" s="243"/>
      <c r="V5" s="243"/>
      <c r="W5" s="243"/>
      <c r="X5" s="243"/>
      <c r="Y5" s="243"/>
      <c r="Z5" s="244"/>
      <c r="AA5" s="243"/>
      <c r="AB5" s="245"/>
      <c r="AC5" s="246"/>
      <c r="AD5" s="247"/>
    </row>
    <row r="6" spans="1:33" ht="9" customHeight="1" thickBot="1" x14ac:dyDescent="0.35">
      <c r="A6" s="248"/>
      <c r="B6" s="243"/>
      <c r="C6" s="243"/>
      <c r="D6" s="243"/>
      <c r="E6" s="243"/>
      <c r="F6" s="243"/>
      <c r="G6" s="243"/>
      <c r="H6" s="243"/>
      <c r="I6" s="243"/>
      <c r="J6" s="243"/>
      <c r="K6" s="243"/>
      <c r="L6" s="243"/>
      <c r="M6" s="243"/>
      <c r="N6" s="243"/>
      <c r="O6" s="243"/>
      <c r="P6" s="243"/>
      <c r="Q6" s="243"/>
      <c r="R6" s="243"/>
      <c r="S6" s="243"/>
      <c r="T6" s="243"/>
      <c r="U6" s="243"/>
      <c r="V6" s="243"/>
      <c r="W6" s="243"/>
      <c r="X6" s="243"/>
      <c r="Y6" s="243"/>
      <c r="Z6" s="244"/>
      <c r="AA6" s="243"/>
      <c r="AB6" s="243"/>
      <c r="AC6" s="249"/>
      <c r="AD6" s="250"/>
    </row>
    <row r="7" spans="1:33" ht="15.6" x14ac:dyDescent="0.3">
      <c r="A7" s="472" t="s">
        <v>7</v>
      </c>
      <c r="B7" s="473"/>
      <c r="C7" s="478" t="s">
        <v>8</v>
      </c>
      <c r="D7" s="532" t="s">
        <v>9</v>
      </c>
      <c r="E7" s="533"/>
      <c r="F7" s="533"/>
      <c r="G7" s="533"/>
      <c r="H7" s="534"/>
      <c r="I7" s="541">
        <v>45202</v>
      </c>
      <c r="J7" s="542"/>
      <c r="K7" s="532" t="s">
        <v>10</v>
      </c>
      <c r="L7" s="534"/>
      <c r="M7" s="470" t="s">
        <v>11</v>
      </c>
      <c r="N7" s="471"/>
      <c r="O7" s="773"/>
      <c r="P7" s="774"/>
      <c r="Q7" s="251"/>
      <c r="R7" s="251"/>
      <c r="S7" s="251"/>
      <c r="T7" s="251"/>
      <c r="U7" s="251"/>
      <c r="V7" s="251"/>
      <c r="W7" s="251"/>
      <c r="X7" s="251"/>
      <c r="Y7" s="251"/>
      <c r="Z7" s="252"/>
      <c r="AA7" s="251"/>
      <c r="AB7" s="251"/>
      <c r="AC7" s="253"/>
      <c r="AD7" s="254"/>
      <c r="AE7" s="194"/>
      <c r="AF7" s="194"/>
      <c r="AG7" s="194"/>
    </row>
    <row r="8" spans="1:33" ht="15.6" x14ac:dyDescent="0.3">
      <c r="A8" s="474"/>
      <c r="B8" s="475"/>
      <c r="C8" s="479"/>
      <c r="D8" s="535"/>
      <c r="E8" s="536"/>
      <c r="F8" s="536"/>
      <c r="G8" s="536"/>
      <c r="H8" s="537"/>
      <c r="I8" s="543"/>
      <c r="J8" s="544"/>
      <c r="K8" s="535"/>
      <c r="L8" s="537"/>
      <c r="M8" s="549" t="s">
        <v>12</v>
      </c>
      <c r="N8" s="550"/>
      <c r="O8" s="468"/>
      <c r="P8" s="469"/>
      <c r="Q8" s="251"/>
      <c r="R8" s="251"/>
      <c r="S8" s="251"/>
      <c r="T8" s="251"/>
      <c r="U8" s="251"/>
      <c r="V8" s="251"/>
      <c r="W8" s="251"/>
      <c r="X8" s="251"/>
      <c r="Y8" s="251"/>
      <c r="Z8" s="252"/>
      <c r="AA8" s="251"/>
      <c r="AB8" s="251"/>
      <c r="AC8" s="253"/>
      <c r="AD8" s="254"/>
      <c r="AE8" s="194"/>
      <c r="AF8" s="194"/>
      <c r="AG8" s="194"/>
    </row>
    <row r="9" spans="1:33" ht="16.2" thickBot="1" x14ac:dyDescent="0.35">
      <c r="A9" s="476"/>
      <c r="B9" s="477"/>
      <c r="C9" s="480"/>
      <c r="D9" s="538"/>
      <c r="E9" s="539"/>
      <c r="F9" s="539"/>
      <c r="G9" s="539"/>
      <c r="H9" s="540"/>
      <c r="I9" s="545"/>
      <c r="J9" s="546"/>
      <c r="K9" s="538"/>
      <c r="L9" s="540"/>
      <c r="M9" s="489" t="s">
        <v>13</v>
      </c>
      <c r="N9" s="490"/>
      <c r="O9" s="491" t="s">
        <v>14</v>
      </c>
      <c r="P9" s="492"/>
      <c r="Q9" s="251"/>
      <c r="R9" s="251"/>
      <c r="S9" s="251"/>
      <c r="T9" s="251"/>
      <c r="U9" s="251"/>
      <c r="V9" s="251"/>
      <c r="W9" s="251"/>
      <c r="X9" s="251"/>
      <c r="Y9" s="251"/>
      <c r="Z9" s="252"/>
      <c r="AA9" s="251"/>
      <c r="AB9" s="251"/>
      <c r="AC9" s="253"/>
      <c r="AD9" s="254"/>
      <c r="AE9" s="194"/>
      <c r="AF9" s="194"/>
      <c r="AG9" s="194"/>
    </row>
    <row r="10" spans="1:33" ht="15" customHeight="1" thickBot="1" x14ac:dyDescent="0.35">
      <c r="A10" s="255"/>
      <c r="B10" s="256"/>
      <c r="C10" s="256"/>
      <c r="D10" s="257"/>
      <c r="E10" s="257"/>
      <c r="F10" s="257"/>
      <c r="G10" s="257"/>
      <c r="H10" s="257"/>
      <c r="I10" s="258"/>
      <c r="J10" s="258"/>
      <c r="K10" s="257"/>
      <c r="L10" s="257"/>
      <c r="M10" s="259"/>
      <c r="N10" s="259"/>
      <c r="O10" s="260"/>
      <c r="P10" s="260"/>
      <c r="Q10" s="256"/>
      <c r="R10" s="256"/>
      <c r="S10" s="256"/>
      <c r="T10" s="256"/>
      <c r="U10" s="256"/>
      <c r="V10" s="256"/>
      <c r="W10" s="256"/>
      <c r="X10" s="256"/>
      <c r="Y10" s="256"/>
      <c r="Z10" s="261"/>
      <c r="AA10" s="256"/>
      <c r="AB10" s="256"/>
      <c r="AC10" s="262"/>
      <c r="AD10" s="263"/>
    </row>
    <row r="11" spans="1:33" ht="15" customHeight="1" x14ac:dyDescent="0.3">
      <c r="A11" s="472" t="s">
        <v>15</v>
      </c>
      <c r="B11" s="473"/>
      <c r="C11" s="493" t="s">
        <v>174</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3" ht="15" customHeight="1" x14ac:dyDescent="0.3">
      <c r="A12" s="474"/>
      <c r="B12" s="475"/>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3" ht="15" customHeight="1" thickBot="1" x14ac:dyDescent="0.35">
      <c r="A13" s="476"/>
      <c r="B13" s="477"/>
      <c r="C13" s="499"/>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1"/>
    </row>
    <row r="14" spans="1:33" ht="9" customHeight="1" thickBot="1" x14ac:dyDescent="0.35">
      <c r="A14" s="264"/>
      <c r="B14" s="265"/>
      <c r="C14" s="266"/>
      <c r="D14" s="266"/>
      <c r="E14" s="266"/>
      <c r="F14" s="266"/>
      <c r="G14" s="266"/>
      <c r="H14" s="266"/>
      <c r="I14" s="266"/>
      <c r="J14" s="266"/>
      <c r="K14" s="266"/>
      <c r="L14" s="266"/>
      <c r="M14" s="267"/>
      <c r="N14" s="267"/>
      <c r="O14" s="267"/>
      <c r="P14" s="267"/>
      <c r="Q14" s="267"/>
      <c r="R14" s="268"/>
      <c r="S14" s="268"/>
      <c r="T14" s="268"/>
      <c r="U14" s="268"/>
      <c r="V14" s="268"/>
      <c r="W14" s="268"/>
      <c r="X14" s="268"/>
      <c r="Y14" s="257"/>
      <c r="Z14" s="257"/>
      <c r="AA14" s="257"/>
      <c r="AB14" s="257"/>
      <c r="AC14" s="257"/>
      <c r="AD14" s="269"/>
    </row>
    <row r="15" spans="1:33" ht="46.5" customHeight="1" thickBot="1" x14ac:dyDescent="0.35">
      <c r="A15" s="454" t="s">
        <v>17</v>
      </c>
      <c r="B15" s="455"/>
      <c r="C15" s="520" t="s">
        <v>18</v>
      </c>
      <c r="D15" s="521"/>
      <c r="E15" s="521"/>
      <c r="F15" s="521"/>
      <c r="G15" s="521"/>
      <c r="H15" s="521"/>
      <c r="I15" s="521"/>
      <c r="J15" s="521"/>
      <c r="K15" s="522"/>
      <c r="L15" s="484" t="s">
        <v>19</v>
      </c>
      <c r="M15" s="488"/>
      <c r="N15" s="488"/>
      <c r="O15" s="488"/>
      <c r="P15" s="488"/>
      <c r="Q15" s="485"/>
      <c r="R15" s="481" t="s">
        <v>20</v>
      </c>
      <c r="S15" s="482"/>
      <c r="T15" s="482"/>
      <c r="U15" s="482"/>
      <c r="V15" s="482"/>
      <c r="W15" s="482"/>
      <c r="X15" s="483"/>
      <c r="Y15" s="484" t="s">
        <v>21</v>
      </c>
      <c r="Z15" s="485"/>
      <c r="AA15" s="442" t="s">
        <v>22</v>
      </c>
      <c r="AB15" s="443"/>
      <c r="AC15" s="443"/>
      <c r="AD15" s="444"/>
    </row>
    <row r="16" spans="1:33" ht="9" customHeight="1" thickBot="1" x14ac:dyDescent="0.35">
      <c r="A16" s="248"/>
      <c r="B16" s="24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270"/>
      <c r="AD16" s="271"/>
    </row>
    <row r="17" spans="1:41" s="76" customFormat="1" ht="37.5" customHeight="1" thickBot="1" x14ac:dyDescent="0.35">
      <c r="A17" s="454" t="s">
        <v>23</v>
      </c>
      <c r="B17" s="455"/>
      <c r="C17" s="775" t="s">
        <v>175</v>
      </c>
      <c r="D17" s="776"/>
      <c r="E17" s="776"/>
      <c r="F17" s="776"/>
      <c r="G17" s="776"/>
      <c r="H17" s="776"/>
      <c r="I17" s="776"/>
      <c r="J17" s="776"/>
      <c r="K17" s="776"/>
      <c r="L17" s="776"/>
      <c r="M17" s="776"/>
      <c r="N17" s="776"/>
      <c r="O17" s="776"/>
      <c r="P17" s="776"/>
      <c r="Q17" s="777"/>
      <c r="R17" s="484" t="s">
        <v>25</v>
      </c>
      <c r="S17" s="488"/>
      <c r="T17" s="488"/>
      <c r="U17" s="488"/>
      <c r="V17" s="485"/>
      <c r="W17" s="486">
        <v>1</v>
      </c>
      <c r="X17" s="487"/>
      <c r="Y17" s="488" t="s">
        <v>26</v>
      </c>
      <c r="Z17" s="488"/>
      <c r="AA17" s="488"/>
      <c r="AB17" s="485"/>
      <c r="AC17" s="451">
        <v>0.1</v>
      </c>
      <c r="AD17" s="452"/>
    </row>
    <row r="18" spans="1:41" ht="16.5" customHeight="1" thickBot="1" x14ac:dyDescent="0.35">
      <c r="A18" s="27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4"/>
    </row>
    <row r="19" spans="1:41" ht="32.1" customHeight="1" thickBot="1" x14ac:dyDescent="0.35">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2.1" customHeight="1" thickBot="1" x14ac:dyDescent="0.35">
      <c r="A20" s="275"/>
      <c r="B20" s="249"/>
      <c r="C20" s="505" t="s">
        <v>28</v>
      </c>
      <c r="D20" s="506"/>
      <c r="E20" s="506"/>
      <c r="F20" s="506"/>
      <c r="G20" s="506"/>
      <c r="H20" s="506"/>
      <c r="I20" s="506"/>
      <c r="J20" s="506"/>
      <c r="K20" s="506"/>
      <c r="L20" s="506"/>
      <c r="M20" s="506"/>
      <c r="N20" s="506"/>
      <c r="O20" s="506"/>
      <c r="P20" s="507"/>
      <c r="Q20" s="502" t="s">
        <v>29</v>
      </c>
      <c r="R20" s="503"/>
      <c r="S20" s="503"/>
      <c r="T20" s="503"/>
      <c r="U20" s="503"/>
      <c r="V20" s="503"/>
      <c r="W20" s="503"/>
      <c r="X20" s="503"/>
      <c r="Y20" s="503"/>
      <c r="Z20" s="503"/>
      <c r="AA20" s="503"/>
      <c r="AB20" s="503"/>
      <c r="AC20" s="503"/>
      <c r="AD20" s="504"/>
      <c r="AE20" s="83"/>
      <c r="AF20" s="83"/>
    </row>
    <row r="21" spans="1:41" ht="32.1" customHeight="1" thickBot="1" x14ac:dyDescent="0.35">
      <c r="A21" s="248"/>
      <c r="B21" s="243"/>
      <c r="C21" s="276" t="s">
        <v>30</v>
      </c>
      <c r="D21" s="277" t="s">
        <v>31</v>
      </c>
      <c r="E21" s="277" t="s">
        <v>32</v>
      </c>
      <c r="F21" s="277" t="s">
        <v>33</v>
      </c>
      <c r="G21" s="277" t="s">
        <v>34</v>
      </c>
      <c r="H21" s="277" t="s">
        <v>35</v>
      </c>
      <c r="I21" s="277" t="s">
        <v>36</v>
      </c>
      <c r="J21" s="277" t="s">
        <v>37</v>
      </c>
      <c r="K21" s="277" t="s">
        <v>8</v>
      </c>
      <c r="L21" s="277" t="s">
        <v>38</v>
      </c>
      <c r="M21" s="277" t="s">
        <v>39</v>
      </c>
      <c r="N21" s="277" t="s">
        <v>40</v>
      </c>
      <c r="O21" s="277" t="s">
        <v>41</v>
      </c>
      <c r="P21" s="278" t="s">
        <v>42</v>
      </c>
      <c r="Q21" s="276" t="s">
        <v>30</v>
      </c>
      <c r="R21" s="277" t="s">
        <v>31</v>
      </c>
      <c r="S21" s="277" t="s">
        <v>32</v>
      </c>
      <c r="T21" s="277" t="s">
        <v>33</v>
      </c>
      <c r="U21" s="277" t="s">
        <v>34</v>
      </c>
      <c r="V21" s="277" t="s">
        <v>35</v>
      </c>
      <c r="W21" s="277" t="s">
        <v>36</v>
      </c>
      <c r="X21" s="277" t="s">
        <v>37</v>
      </c>
      <c r="Y21" s="277" t="s">
        <v>8</v>
      </c>
      <c r="Z21" s="277" t="s">
        <v>38</v>
      </c>
      <c r="AA21" s="277" t="s">
        <v>39</v>
      </c>
      <c r="AB21" s="277" t="s">
        <v>40</v>
      </c>
      <c r="AC21" s="277" t="s">
        <v>41</v>
      </c>
      <c r="AD21" s="278" t="s">
        <v>42</v>
      </c>
      <c r="AE21" s="3"/>
      <c r="AF21" s="3"/>
    </row>
    <row r="22" spans="1:41" ht="32.1" customHeight="1" x14ac:dyDescent="0.3">
      <c r="A22" s="397" t="s">
        <v>43</v>
      </c>
      <c r="B22" s="450"/>
      <c r="C22" s="279"/>
      <c r="D22" s="280"/>
      <c r="E22" s="280"/>
      <c r="F22" s="280"/>
      <c r="G22" s="280"/>
      <c r="H22" s="280"/>
      <c r="I22" s="280"/>
      <c r="J22" s="280"/>
      <c r="K22" s="280"/>
      <c r="L22" s="280"/>
      <c r="M22" s="280"/>
      <c r="N22" s="280"/>
      <c r="O22" s="280">
        <f>SUM(C22:N22)</f>
        <v>0</v>
      </c>
      <c r="P22" s="281"/>
      <c r="Q22" s="282">
        <v>482329867</v>
      </c>
      <c r="R22" s="283">
        <v>8537488</v>
      </c>
      <c r="S22" s="283">
        <v>11658906</v>
      </c>
      <c r="T22" s="283">
        <v>0</v>
      </c>
      <c r="U22" s="283">
        <v>0</v>
      </c>
      <c r="V22" s="283">
        <v>69659690</v>
      </c>
      <c r="W22" s="283">
        <v>0</v>
      </c>
      <c r="X22" s="283">
        <v>0</v>
      </c>
      <c r="Y22" s="283">
        <v>0</v>
      </c>
      <c r="Z22" s="283">
        <v>0</v>
      </c>
      <c r="AA22" s="283">
        <v>0</v>
      </c>
      <c r="AB22" s="283">
        <v>0</v>
      </c>
      <c r="AC22" s="284">
        <f>SUM(Q22:AB22)</f>
        <v>572185951</v>
      </c>
      <c r="AD22" s="285"/>
      <c r="AE22" s="3"/>
      <c r="AF22" s="3"/>
    </row>
    <row r="23" spans="1:41" ht="32.1" customHeight="1" x14ac:dyDescent="0.3">
      <c r="A23" s="439" t="s">
        <v>44</v>
      </c>
      <c r="B23" s="440"/>
      <c r="C23" s="287"/>
      <c r="D23" s="288"/>
      <c r="E23" s="288"/>
      <c r="F23" s="288"/>
      <c r="G23" s="288"/>
      <c r="H23" s="288"/>
      <c r="I23" s="288"/>
      <c r="J23" s="288"/>
      <c r="K23" s="288"/>
      <c r="L23" s="288"/>
      <c r="M23" s="288"/>
      <c r="N23" s="288"/>
      <c r="O23" s="288">
        <f>SUM(C23:N23)</f>
        <v>0</v>
      </c>
      <c r="P23" s="289" t="str">
        <f>IFERROR(O23/(SUMIF(C23:N23,"&gt;0",C22:N22))," ")</f>
        <v xml:space="preserve"> </v>
      </c>
      <c r="Q23" s="290">
        <v>192841617</v>
      </c>
      <c r="R23" s="291">
        <f>408717117-Q23</f>
        <v>215875500</v>
      </c>
      <c r="S23" s="291">
        <f>439908793-Q23-R23</f>
        <v>31191676</v>
      </c>
      <c r="T23" s="291">
        <f>425048360-Q23-R23-S23</f>
        <v>-14860433</v>
      </c>
      <c r="U23" s="291">
        <f>452077686-Q23-R23-S23-T23</f>
        <v>27029326</v>
      </c>
      <c r="V23" s="291">
        <f>466571704-Q23-R23-T23-S23-U23</f>
        <v>14494018</v>
      </c>
      <c r="W23" s="291">
        <f>540421134-Q23-R23-S23-T23-U23-V23</f>
        <v>73849430</v>
      </c>
      <c r="X23" s="291">
        <f>540162274-Q23-R23-S23-T23-U23-V23-W23</f>
        <v>-258860</v>
      </c>
      <c r="Y23" s="291">
        <f>539787274-Q23-R23-S23-T23-U23-V23-W23-X23</f>
        <v>-375000</v>
      </c>
      <c r="Z23" s="291"/>
      <c r="AA23" s="291"/>
      <c r="AB23" s="291"/>
      <c r="AC23" s="345">
        <f>SUM(Q23:AB23)</f>
        <v>539787274</v>
      </c>
      <c r="AD23" s="292">
        <f>AC23/AC22</f>
        <v>0.94337736369902592</v>
      </c>
      <c r="AE23" s="3"/>
      <c r="AF23" s="3"/>
    </row>
    <row r="24" spans="1:41" ht="32.1" customHeight="1" x14ac:dyDescent="0.3">
      <c r="A24" s="439" t="s">
        <v>45</v>
      </c>
      <c r="B24" s="440"/>
      <c r="C24" s="287">
        <f>1128406</f>
        <v>1128406</v>
      </c>
      <c r="D24" s="288">
        <v>323897</v>
      </c>
      <c r="E24" s="288">
        <v>6000000</v>
      </c>
      <c r="F24" s="288">
        <v>3386148</v>
      </c>
      <c r="G24" s="288">
        <v>5990000</v>
      </c>
      <c r="H24" s="288"/>
      <c r="I24" s="288"/>
      <c r="J24" s="288"/>
      <c r="K24" s="288"/>
      <c r="L24" s="288"/>
      <c r="M24" s="288"/>
      <c r="N24" s="288"/>
      <c r="O24" s="345">
        <f>SUM(C24:N24)</f>
        <v>16828451</v>
      </c>
      <c r="P24" s="293"/>
      <c r="Q24" s="290"/>
      <c r="R24" s="347">
        <v>21074866.0933333</v>
      </c>
      <c r="S24" s="346">
        <v>38101431.693333298</v>
      </c>
      <c r="T24" s="346">
        <v>38767765</v>
      </c>
      <c r="U24" s="346">
        <v>30767765</v>
      </c>
      <c r="V24" s="346">
        <v>44967410</v>
      </c>
      <c r="W24" s="347">
        <v>50815014.493333302</v>
      </c>
      <c r="X24" s="347">
        <v>61097321</v>
      </c>
      <c r="Y24" s="347">
        <v>61097321</v>
      </c>
      <c r="Z24" s="347">
        <v>63097321</v>
      </c>
      <c r="AA24" s="347">
        <v>65097321</v>
      </c>
      <c r="AB24" s="347">
        <v>97302415</v>
      </c>
      <c r="AC24" s="288">
        <f>SUM(Q24:AB24)</f>
        <v>572185951.27999997</v>
      </c>
      <c r="AD24" s="292"/>
      <c r="AE24" s="3"/>
      <c r="AF24" s="3"/>
    </row>
    <row r="25" spans="1:41" ht="32.1" customHeight="1" thickBot="1" x14ac:dyDescent="0.35">
      <c r="A25" s="398" t="s">
        <v>46</v>
      </c>
      <c r="B25" s="441"/>
      <c r="C25" s="297">
        <v>7741652</v>
      </c>
      <c r="D25" s="298">
        <f>9115239-C25</f>
        <v>1373587</v>
      </c>
      <c r="E25" s="298">
        <f>9729443-C25-D25</f>
        <v>614204</v>
      </c>
      <c r="F25" s="298">
        <f>16670260-C25-D25-E25</f>
        <v>6940817</v>
      </c>
      <c r="G25" s="298">
        <f>16828451-C25-D25-E25-F25</f>
        <v>158191</v>
      </c>
      <c r="H25" s="298"/>
      <c r="I25" s="298"/>
      <c r="J25" s="298"/>
      <c r="K25" s="298"/>
      <c r="L25" s="298"/>
      <c r="M25" s="298"/>
      <c r="N25" s="298"/>
      <c r="O25" s="299">
        <f>SUM(C25:N25)</f>
        <v>16828451</v>
      </c>
      <c r="P25" s="300">
        <f>O25/O24</f>
        <v>1</v>
      </c>
      <c r="Q25" s="349"/>
      <c r="R25" s="299">
        <f>3445534</f>
        <v>3445534</v>
      </c>
      <c r="S25" s="299">
        <f>30636224-R25</f>
        <v>27190690</v>
      </c>
      <c r="T25" s="299">
        <f>67744707-R25-S25</f>
        <v>37108483</v>
      </c>
      <c r="U25" s="299">
        <f>108938150-Q25-R25-S25-T25</f>
        <v>41193443</v>
      </c>
      <c r="V25" s="299">
        <f>163447695-R25-S25-T25-U25</f>
        <v>54509545</v>
      </c>
      <c r="W25" s="299">
        <f>218468354-R25-S25-T25-U25-V25</f>
        <v>55020659</v>
      </c>
      <c r="X25" s="299">
        <f>259440637-R25-S25-T25-U25-V25-W25</f>
        <v>40972283</v>
      </c>
      <c r="Y25" s="299">
        <f>300529587-R25-S25-T25-U25-V25-W25-X25</f>
        <v>41088950</v>
      </c>
      <c r="Z25" s="299"/>
      <c r="AA25" s="299"/>
      <c r="AB25" s="299"/>
      <c r="AC25" s="298">
        <f>SUM(Q25:AB25)</f>
        <v>300529587</v>
      </c>
      <c r="AD25" s="303">
        <f>AC25/AC24</f>
        <v>0.52523062883264582</v>
      </c>
      <c r="AE25" s="3"/>
      <c r="AF25" s="3"/>
    </row>
    <row r="26" spans="1:41" ht="32.1" customHeight="1" thickBot="1" x14ac:dyDescent="0.35">
      <c r="A26" s="248"/>
      <c r="B26" s="243"/>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249"/>
      <c r="AD26" s="263"/>
    </row>
    <row r="27" spans="1:41" ht="33.75" customHeight="1" x14ac:dyDescent="0.3">
      <c r="A27" s="435" t="s">
        <v>47</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41" ht="15" customHeight="1" x14ac:dyDescent="0.3">
      <c r="A28" s="445" t="s">
        <v>48</v>
      </c>
      <c r="B28" s="447" t="s">
        <v>49</v>
      </c>
      <c r="C28" s="448"/>
      <c r="D28" s="440" t="s">
        <v>50</v>
      </c>
      <c r="E28" s="449"/>
      <c r="F28" s="449"/>
      <c r="G28" s="449"/>
      <c r="H28" s="449"/>
      <c r="I28" s="449"/>
      <c r="J28" s="449"/>
      <c r="K28" s="449"/>
      <c r="L28" s="449"/>
      <c r="M28" s="449"/>
      <c r="N28" s="449"/>
      <c r="O28" s="428"/>
      <c r="P28" s="429" t="s">
        <v>41</v>
      </c>
      <c r="Q28" s="429" t="s">
        <v>51</v>
      </c>
      <c r="R28" s="429"/>
      <c r="S28" s="429"/>
      <c r="T28" s="429"/>
      <c r="U28" s="429"/>
      <c r="V28" s="429"/>
      <c r="W28" s="429"/>
      <c r="X28" s="429"/>
      <c r="Y28" s="429"/>
      <c r="Z28" s="429"/>
      <c r="AA28" s="429"/>
      <c r="AB28" s="429"/>
      <c r="AC28" s="429"/>
      <c r="AD28" s="430"/>
    </row>
    <row r="29" spans="1:41" ht="27" customHeight="1" x14ac:dyDescent="0.3">
      <c r="A29" s="446"/>
      <c r="B29" s="431"/>
      <c r="C29" s="433"/>
      <c r="D29" s="306" t="s">
        <v>30</v>
      </c>
      <c r="E29" s="306" t="s">
        <v>31</v>
      </c>
      <c r="F29" s="306" t="s">
        <v>32</v>
      </c>
      <c r="G29" s="306" t="s">
        <v>33</v>
      </c>
      <c r="H29" s="306" t="s">
        <v>34</v>
      </c>
      <c r="I29" s="306" t="s">
        <v>35</v>
      </c>
      <c r="J29" s="306" t="s">
        <v>36</v>
      </c>
      <c r="K29" s="306" t="s">
        <v>37</v>
      </c>
      <c r="L29" s="306" t="s">
        <v>8</v>
      </c>
      <c r="M29" s="306" t="s">
        <v>38</v>
      </c>
      <c r="N29" s="306" t="s">
        <v>39</v>
      </c>
      <c r="O29" s="306" t="s">
        <v>40</v>
      </c>
      <c r="P29" s="428"/>
      <c r="Q29" s="429"/>
      <c r="R29" s="429"/>
      <c r="S29" s="429"/>
      <c r="T29" s="429"/>
      <c r="U29" s="429"/>
      <c r="V29" s="429"/>
      <c r="W29" s="429"/>
      <c r="X29" s="429"/>
      <c r="Y29" s="429"/>
      <c r="Z29" s="429"/>
      <c r="AA29" s="429"/>
      <c r="AB29" s="429"/>
      <c r="AC29" s="429"/>
      <c r="AD29" s="430"/>
    </row>
    <row r="30" spans="1:41" ht="137.25" customHeight="1" thickBot="1" x14ac:dyDescent="0.35">
      <c r="A30" s="308" t="s">
        <v>175</v>
      </c>
      <c r="B30" s="778"/>
      <c r="C30" s="779"/>
      <c r="D30" s="309"/>
      <c r="E30" s="309"/>
      <c r="F30" s="309"/>
      <c r="G30" s="309"/>
      <c r="H30" s="309"/>
      <c r="I30" s="309"/>
      <c r="J30" s="309"/>
      <c r="K30" s="309"/>
      <c r="L30" s="309"/>
      <c r="M30" s="309"/>
      <c r="N30" s="309"/>
      <c r="O30" s="309"/>
      <c r="P30" s="310">
        <f>SUM(D30:O30)</f>
        <v>0</v>
      </c>
      <c r="Q30" s="461"/>
      <c r="R30" s="461"/>
      <c r="S30" s="461"/>
      <c r="T30" s="461"/>
      <c r="U30" s="461"/>
      <c r="V30" s="461"/>
      <c r="W30" s="461"/>
      <c r="X30" s="461"/>
      <c r="Y30" s="461"/>
      <c r="Z30" s="461"/>
      <c r="AA30" s="461"/>
      <c r="AB30" s="461"/>
      <c r="AC30" s="461"/>
      <c r="AD30" s="462"/>
    </row>
    <row r="31" spans="1:41" ht="45" customHeight="1" thickBot="1" x14ac:dyDescent="0.35">
      <c r="A31" s="463" t="s">
        <v>53</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838"/>
    </row>
    <row r="32" spans="1:41" ht="23.1" customHeight="1" x14ac:dyDescent="0.3">
      <c r="A32" s="397" t="s">
        <v>54</v>
      </c>
      <c r="B32" s="401" t="s">
        <v>55</v>
      </c>
      <c r="C32" s="450" t="s">
        <v>49</v>
      </c>
      <c r="D32" s="397" t="s">
        <v>56</v>
      </c>
      <c r="E32" s="401"/>
      <c r="F32" s="401"/>
      <c r="G32" s="401"/>
      <c r="H32" s="401"/>
      <c r="I32" s="401"/>
      <c r="J32" s="401"/>
      <c r="K32" s="401"/>
      <c r="L32" s="401"/>
      <c r="M32" s="401"/>
      <c r="N32" s="401"/>
      <c r="O32" s="401"/>
      <c r="P32" s="402"/>
      <c r="Q32" s="397" t="s">
        <v>57</v>
      </c>
      <c r="R32" s="401"/>
      <c r="S32" s="401"/>
      <c r="T32" s="401"/>
      <c r="U32" s="401"/>
      <c r="V32" s="401"/>
      <c r="W32" s="401"/>
      <c r="X32" s="401"/>
      <c r="Y32" s="401"/>
      <c r="Z32" s="401"/>
      <c r="AA32" s="401"/>
      <c r="AB32" s="401"/>
      <c r="AC32" s="401"/>
      <c r="AD32" s="402"/>
      <c r="AG32" s="87"/>
      <c r="AH32" s="87"/>
      <c r="AI32" s="87"/>
      <c r="AJ32" s="87"/>
      <c r="AK32" s="87"/>
      <c r="AL32" s="87"/>
      <c r="AM32" s="87"/>
      <c r="AN32" s="87"/>
      <c r="AO32" s="87"/>
    </row>
    <row r="33" spans="1:41" ht="27" customHeight="1" thickBot="1" x14ac:dyDescent="0.35">
      <c r="A33" s="398"/>
      <c r="B33" s="863"/>
      <c r="C33" s="962"/>
      <c r="D33" s="295" t="s">
        <v>30</v>
      </c>
      <c r="E33" s="318" t="s">
        <v>31</v>
      </c>
      <c r="F33" s="318" t="s">
        <v>32</v>
      </c>
      <c r="G33" s="318" t="s">
        <v>33</v>
      </c>
      <c r="H33" s="318" t="s">
        <v>34</v>
      </c>
      <c r="I33" s="318" t="s">
        <v>35</v>
      </c>
      <c r="J33" s="318" t="s">
        <v>36</v>
      </c>
      <c r="K33" s="318" t="s">
        <v>37</v>
      </c>
      <c r="L33" s="318" t="s">
        <v>8</v>
      </c>
      <c r="M33" s="318" t="s">
        <v>38</v>
      </c>
      <c r="N33" s="318" t="s">
        <v>39</v>
      </c>
      <c r="O33" s="318" t="s">
        <v>40</v>
      </c>
      <c r="P33" s="319" t="s">
        <v>41</v>
      </c>
      <c r="Q33" s="398" t="s">
        <v>58</v>
      </c>
      <c r="R33" s="863"/>
      <c r="S33" s="863"/>
      <c r="T33" s="863" t="s">
        <v>59</v>
      </c>
      <c r="U33" s="863"/>
      <c r="V33" s="863"/>
      <c r="W33" s="783" t="s">
        <v>60</v>
      </c>
      <c r="X33" s="506"/>
      <c r="Y33" s="506"/>
      <c r="Z33" s="963"/>
      <c r="AA33" s="783" t="s">
        <v>61</v>
      </c>
      <c r="AB33" s="506"/>
      <c r="AC33" s="506"/>
      <c r="AD33" s="507"/>
      <c r="AG33" s="87"/>
      <c r="AH33" s="87"/>
      <c r="AI33" s="87"/>
      <c r="AJ33" s="87"/>
      <c r="AK33" s="87"/>
      <c r="AL33" s="87"/>
      <c r="AM33" s="87"/>
      <c r="AN33" s="87"/>
      <c r="AO33" s="87"/>
    </row>
    <row r="34" spans="1:41" ht="92.25" customHeight="1" x14ac:dyDescent="0.3">
      <c r="A34" s="967" t="s">
        <v>175</v>
      </c>
      <c r="B34" s="968">
        <v>0.1</v>
      </c>
      <c r="C34" s="358" t="s">
        <v>62</v>
      </c>
      <c r="D34" s="365">
        <f>D69</f>
        <v>0</v>
      </c>
      <c r="E34" s="366">
        <f t="shared" ref="E34:O34" si="0">E69</f>
        <v>7.5000000000000011E-2</v>
      </c>
      <c r="F34" s="366">
        <f t="shared" si="0"/>
        <v>0.10000000000000002</v>
      </c>
      <c r="G34" s="366">
        <f t="shared" si="0"/>
        <v>6.0000000000000019E-2</v>
      </c>
      <c r="H34" s="366">
        <f t="shared" si="0"/>
        <v>9.0000000000000011E-2</v>
      </c>
      <c r="I34" s="366">
        <f t="shared" si="0"/>
        <v>0.15000000000000002</v>
      </c>
      <c r="J34" s="366">
        <f t="shared" si="0"/>
        <v>0.12500000000000003</v>
      </c>
      <c r="K34" s="366">
        <f t="shared" si="0"/>
        <v>7.5000000000000011E-2</v>
      </c>
      <c r="L34" s="366">
        <f t="shared" si="0"/>
        <v>7.5000000000000011E-2</v>
      </c>
      <c r="M34" s="366">
        <f t="shared" si="0"/>
        <v>7.5000000000000011E-2</v>
      </c>
      <c r="N34" s="366">
        <f t="shared" si="0"/>
        <v>0.125</v>
      </c>
      <c r="O34" s="366">
        <f t="shared" si="0"/>
        <v>4.9999999999999996E-2</v>
      </c>
      <c r="P34" s="367">
        <f>SUM(D34:O34)</f>
        <v>1</v>
      </c>
      <c r="Q34" s="418" t="s">
        <v>579</v>
      </c>
      <c r="R34" s="419"/>
      <c r="S34" s="420"/>
      <c r="T34" s="419" t="s">
        <v>580</v>
      </c>
      <c r="U34" s="419"/>
      <c r="V34" s="420"/>
      <c r="W34" s="418" t="s">
        <v>176</v>
      </c>
      <c r="X34" s="419"/>
      <c r="Y34" s="419"/>
      <c r="Z34" s="420"/>
      <c r="AA34" s="418" t="s">
        <v>177</v>
      </c>
      <c r="AB34" s="419"/>
      <c r="AC34" s="419"/>
      <c r="AD34" s="424"/>
      <c r="AG34" s="87"/>
      <c r="AH34" s="87"/>
      <c r="AI34" s="87"/>
      <c r="AJ34" s="87"/>
      <c r="AK34" s="87"/>
      <c r="AL34" s="87"/>
      <c r="AM34" s="87"/>
      <c r="AN34" s="87"/>
      <c r="AO34" s="87"/>
    </row>
    <row r="35" spans="1:41" ht="92.25" customHeight="1" thickBot="1" x14ac:dyDescent="0.35">
      <c r="A35" s="415"/>
      <c r="B35" s="969"/>
      <c r="C35" s="360" t="s">
        <v>63</v>
      </c>
      <c r="D35" s="361">
        <f>D66</f>
        <v>0</v>
      </c>
      <c r="E35" s="316">
        <f t="shared" ref="E35:O35" si="1">E66</f>
        <v>7.5000000000000011E-2</v>
      </c>
      <c r="F35" s="316">
        <f t="shared" si="1"/>
        <v>0.10000000000000002</v>
      </c>
      <c r="G35" s="316">
        <f t="shared" si="1"/>
        <v>0.10000000000000002</v>
      </c>
      <c r="H35" s="316">
        <f t="shared" si="1"/>
        <v>0.10000000000000002</v>
      </c>
      <c r="I35" s="316">
        <f t="shared" si="1"/>
        <v>0.10000000000000002</v>
      </c>
      <c r="J35" s="316">
        <f t="shared" si="1"/>
        <v>0.12500000000000003</v>
      </c>
      <c r="K35" s="316">
        <f t="shared" si="1"/>
        <v>7.5000000000000011E-2</v>
      </c>
      <c r="L35" s="316">
        <f t="shared" si="1"/>
        <v>7.5000000000000011E-2</v>
      </c>
      <c r="M35" s="316">
        <f t="shared" si="1"/>
        <v>0</v>
      </c>
      <c r="N35" s="316">
        <f t="shared" si="1"/>
        <v>0</v>
      </c>
      <c r="O35" s="316">
        <f t="shared" si="1"/>
        <v>0</v>
      </c>
      <c r="P35" s="317">
        <f>SUM(D35:L35)</f>
        <v>0.75000000000000022</v>
      </c>
      <c r="Q35" s="421"/>
      <c r="R35" s="422"/>
      <c r="S35" s="423"/>
      <c r="T35" s="422"/>
      <c r="U35" s="422"/>
      <c r="V35" s="423"/>
      <c r="W35" s="421"/>
      <c r="X35" s="422"/>
      <c r="Y35" s="422"/>
      <c r="Z35" s="423"/>
      <c r="AA35" s="421"/>
      <c r="AB35" s="422"/>
      <c r="AC35" s="422"/>
      <c r="AD35" s="425"/>
      <c r="AE35" s="49"/>
      <c r="AG35" s="87"/>
      <c r="AH35" s="87"/>
      <c r="AI35" s="87"/>
      <c r="AJ35" s="87"/>
      <c r="AK35" s="87"/>
      <c r="AL35" s="87"/>
      <c r="AM35" s="87"/>
      <c r="AN35" s="87"/>
      <c r="AO35" s="87"/>
    </row>
    <row r="36" spans="1:41" ht="26.1" customHeight="1" x14ac:dyDescent="0.3">
      <c r="A36" s="399" t="s">
        <v>64</v>
      </c>
      <c r="B36" s="782" t="s">
        <v>65</v>
      </c>
      <c r="C36" s="397" t="s">
        <v>66</v>
      </c>
      <c r="D36" s="401"/>
      <c r="E36" s="401"/>
      <c r="F36" s="401"/>
      <c r="G36" s="401"/>
      <c r="H36" s="401"/>
      <c r="I36" s="401"/>
      <c r="J36" s="401"/>
      <c r="K36" s="401"/>
      <c r="L36" s="401"/>
      <c r="M36" s="401"/>
      <c r="N36" s="401"/>
      <c r="O36" s="401"/>
      <c r="P36" s="402"/>
      <c r="Q36" s="403" t="s">
        <v>67</v>
      </c>
      <c r="R36" s="404"/>
      <c r="S36" s="404"/>
      <c r="T36" s="404"/>
      <c r="U36" s="404"/>
      <c r="V36" s="404"/>
      <c r="W36" s="404"/>
      <c r="X36" s="404"/>
      <c r="Y36" s="404"/>
      <c r="Z36" s="404"/>
      <c r="AA36" s="404"/>
      <c r="AB36" s="404"/>
      <c r="AC36" s="404"/>
      <c r="AD36" s="405"/>
      <c r="AG36" s="87"/>
      <c r="AH36" s="87"/>
      <c r="AI36" s="87"/>
      <c r="AJ36" s="87"/>
      <c r="AK36" s="87"/>
      <c r="AL36" s="87"/>
      <c r="AM36" s="87"/>
      <c r="AN36" s="87"/>
      <c r="AO36" s="87"/>
    </row>
    <row r="37" spans="1:41" ht="45.75" customHeight="1" thickBot="1" x14ac:dyDescent="0.35">
      <c r="A37" s="400"/>
      <c r="B37" s="783"/>
      <c r="C37" s="295" t="s">
        <v>68</v>
      </c>
      <c r="D37" s="318" t="s">
        <v>69</v>
      </c>
      <c r="E37" s="318" t="s">
        <v>70</v>
      </c>
      <c r="F37" s="318" t="s">
        <v>71</v>
      </c>
      <c r="G37" s="318" t="s">
        <v>72</v>
      </c>
      <c r="H37" s="318" t="s">
        <v>73</v>
      </c>
      <c r="I37" s="318" t="s">
        <v>74</v>
      </c>
      <c r="J37" s="318" t="s">
        <v>75</v>
      </c>
      <c r="K37" s="318" t="s">
        <v>76</v>
      </c>
      <c r="L37" s="318" t="s">
        <v>77</v>
      </c>
      <c r="M37" s="318" t="s">
        <v>78</v>
      </c>
      <c r="N37" s="318" t="s">
        <v>79</v>
      </c>
      <c r="O37" s="318" t="s">
        <v>80</v>
      </c>
      <c r="P37" s="319" t="s">
        <v>81</v>
      </c>
      <c r="Q37" s="406" t="s">
        <v>82</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111.9" customHeight="1" x14ac:dyDescent="0.3">
      <c r="A38" s="409" t="s">
        <v>178</v>
      </c>
      <c r="B38" s="813">
        <v>0.05</v>
      </c>
      <c r="C38" s="335" t="s">
        <v>62</v>
      </c>
      <c r="D38" s="320">
        <v>0</v>
      </c>
      <c r="E38" s="320">
        <v>0.1</v>
      </c>
      <c r="F38" s="320">
        <v>0.1</v>
      </c>
      <c r="G38" s="320">
        <v>0.02</v>
      </c>
      <c r="H38" s="320">
        <v>0.08</v>
      </c>
      <c r="I38" s="320">
        <v>0.2</v>
      </c>
      <c r="J38" s="320">
        <v>0.05</v>
      </c>
      <c r="K38" s="320">
        <v>0.05</v>
      </c>
      <c r="L38" s="320">
        <v>0.05</v>
      </c>
      <c r="M38" s="320">
        <v>0.05</v>
      </c>
      <c r="N38" s="320">
        <v>0.2</v>
      </c>
      <c r="O38" s="320">
        <v>0.1</v>
      </c>
      <c r="P38" s="321">
        <f>SUM(D38:O38)</f>
        <v>1.0000000000000002</v>
      </c>
      <c r="Q38" s="964" t="s">
        <v>179</v>
      </c>
      <c r="R38" s="965"/>
      <c r="S38" s="965"/>
      <c r="T38" s="965"/>
      <c r="U38" s="965"/>
      <c r="V38" s="965"/>
      <c r="W38" s="965"/>
      <c r="X38" s="965"/>
      <c r="Y38" s="965"/>
      <c r="Z38" s="965"/>
      <c r="AA38" s="965"/>
      <c r="AB38" s="965"/>
      <c r="AC38" s="965"/>
      <c r="AD38" s="966"/>
      <c r="AE38" s="97"/>
      <c r="AG38" s="98"/>
      <c r="AH38" s="98"/>
      <c r="AI38" s="98"/>
      <c r="AJ38" s="98"/>
      <c r="AK38" s="98"/>
      <c r="AL38" s="98"/>
      <c r="AM38" s="98"/>
      <c r="AN38" s="98"/>
      <c r="AO38" s="98"/>
    </row>
    <row r="39" spans="1:41" ht="111.9" customHeight="1" x14ac:dyDescent="0.3">
      <c r="A39" s="382"/>
      <c r="B39" s="790"/>
      <c r="C39" s="336" t="s">
        <v>63</v>
      </c>
      <c r="D39" s="323">
        <v>0</v>
      </c>
      <c r="E39" s="323">
        <v>0.1</v>
      </c>
      <c r="F39" s="323">
        <v>0.1</v>
      </c>
      <c r="G39" s="323">
        <v>0.1</v>
      </c>
      <c r="H39" s="323">
        <v>0.1</v>
      </c>
      <c r="I39" s="323">
        <v>0.1</v>
      </c>
      <c r="J39" s="323">
        <v>0.05</v>
      </c>
      <c r="K39" s="323">
        <v>0.05</v>
      </c>
      <c r="L39" s="323">
        <v>0.05</v>
      </c>
      <c r="M39" s="323"/>
      <c r="N39" s="323"/>
      <c r="O39" s="323"/>
      <c r="P39" s="324">
        <f>SUM(D39:O39)</f>
        <v>0.65000000000000013</v>
      </c>
      <c r="Q39" s="794"/>
      <c r="R39" s="795"/>
      <c r="S39" s="795"/>
      <c r="T39" s="795"/>
      <c r="U39" s="795"/>
      <c r="V39" s="795"/>
      <c r="W39" s="795"/>
      <c r="X39" s="795"/>
      <c r="Y39" s="795"/>
      <c r="Z39" s="795"/>
      <c r="AA39" s="795"/>
      <c r="AB39" s="795"/>
      <c r="AC39" s="795"/>
      <c r="AD39" s="796"/>
      <c r="AE39" s="97"/>
    </row>
    <row r="40" spans="1:41" ht="111.9" customHeight="1" x14ac:dyDescent="0.3">
      <c r="A40" s="382" t="s">
        <v>180</v>
      </c>
      <c r="B40" s="813">
        <v>0.05</v>
      </c>
      <c r="C40" s="338" t="s">
        <v>62</v>
      </c>
      <c r="D40" s="326">
        <v>0</v>
      </c>
      <c r="E40" s="326">
        <v>0.05</v>
      </c>
      <c r="F40" s="326">
        <v>0.1</v>
      </c>
      <c r="G40" s="326">
        <v>0.1</v>
      </c>
      <c r="H40" s="326">
        <v>0.1</v>
      </c>
      <c r="I40" s="326">
        <v>0.1</v>
      </c>
      <c r="J40" s="326">
        <v>0.2</v>
      </c>
      <c r="K40" s="326">
        <v>0.1</v>
      </c>
      <c r="L40" s="326">
        <v>0.1</v>
      </c>
      <c r="M40" s="326">
        <v>0.1</v>
      </c>
      <c r="N40" s="326">
        <v>0.05</v>
      </c>
      <c r="O40" s="326">
        <v>0</v>
      </c>
      <c r="P40" s="321">
        <f>SUM(D40:O40)</f>
        <v>0.99999999999999989</v>
      </c>
      <c r="Q40" s="958" t="s">
        <v>181</v>
      </c>
      <c r="R40" s="795"/>
      <c r="S40" s="795"/>
      <c r="T40" s="795"/>
      <c r="U40" s="795"/>
      <c r="V40" s="795"/>
      <c r="W40" s="795"/>
      <c r="X40" s="795"/>
      <c r="Y40" s="795"/>
      <c r="Z40" s="795"/>
      <c r="AA40" s="795"/>
      <c r="AB40" s="795"/>
      <c r="AC40" s="795"/>
      <c r="AD40" s="796"/>
      <c r="AE40" s="97"/>
    </row>
    <row r="41" spans="1:41" ht="111.9" customHeight="1" thickBot="1" x14ac:dyDescent="0.35">
      <c r="A41" s="754"/>
      <c r="B41" s="970"/>
      <c r="C41" s="341" t="s">
        <v>63</v>
      </c>
      <c r="D41" s="328">
        <v>0</v>
      </c>
      <c r="E41" s="328">
        <v>0.05</v>
      </c>
      <c r="F41" s="328">
        <v>0.1</v>
      </c>
      <c r="G41" s="328">
        <v>0.1</v>
      </c>
      <c r="H41" s="328">
        <v>0.1</v>
      </c>
      <c r="I41" s="328">
        <v>0.1</v>
      </c>
      <c r="J41" s="328">
        <v>0.2</v>
      </c>
      <c r="K41" s="328">
        <v>0.1</v>
      </c>
      <c r="L41" s="328">
        <v>0.1</v>
      </c>
      <c r="M41" s="328"/>
      <c r="N41" s="328"/>
      <c r="O41" s="328"/>
      <c r="P41" s="330">
        <f>SUM(D41:O41)</f>
        <v>0.84999999999999987</v>
      </c>
      <c r="Q41" s="959"/>
      <c r="R41" s="960"/>
      <c r="S41" s="960"/>
      <c r="T41" s="960"/>
      <c r="U41" s="960"/>
      <c r="V41" s="960"/>
      <c r="W41" s="960"/>
      <c r="X41" s="960"/>
      <c r="Y41" s="960"/>
      <c r="Z41" s="960"/>
      <c r="AA41" s="960"/>
      <c r="AB41" s="960"/>
      <c r="AC41" s="960"/>
      <c r="AD41" s="961"/>
      <c r="AE41" s="97"/>
    </row>
    <row r="42" spans="1:41" x14ac:dyDescent="0.3">
      <c r="A42" s="194" t="s">
        <v>89</v>
      </c>
      <c r="Q42" s="194"/>
      <c r="R42" s="194"/>
      <c r="S42" s="194"/>
      <c r="T42" s="194"/>
      <c r="U42" s="194"/>
      <c r="V42" s="194"/>
      <c r="W42" s="194"/>
      <c r="X42" s="194"/>
      <c r="Y42" s="194"/>
      <c r="Z42" s="194"/>
      <c r="AA42" s="194"/>
      <c r="AB42" s="194"/>
      <c r="AC42" s="194"/>
      <c r="AD42" s="194"/>
    </row>
    <row r="43" spans="1:41" x14ac:dyDescent="0.3">
      <c r="A43" s="194"/>
      <c r="Q43" s="194"/>
      <c r="R43" s="194"/>
      <c r="S43" s="194"/>
      <c r="T43" s="194"/>
      <c r="U43" s="194"/>
      <c r="V43" s="194"/>
      <c r="W43" s="194"/>
      <c r="X43" s="194"/>
      <c r="Y43" s="194"/>
      <c r="Z43" s="194"/>
      <c r="AA43" s="194"/>
      <c r="AB43" s="194"/>
      <c r="AC43" s="194"/>
      <c r="AD43" s="194"/>
    </row>
    <row r="44" spans="1:41" x14ac:dyDescent="0.3">
      <c r="A44" s="194"/>
      <c r="Q44" s="194"/>
      <c r="R44" s="194"/>
      <c r="S44" s="194"/>
      <c r="T44" s="194"/>
      <c r="U44" s="194"/>
      <c r="V44" s="194"/>
      <c r="W44" s="194"/>
      <c r="X44" s="194"/>
      <c r="Y44" s="194"/>
      <c r="Z44" s="194"/>
      <c r="AA44" s="194"/>
      <c r="AB44" s="194"/>
      <c r="AC44" s="194"/>
      <c r="AD44" s="194"/>
    </row>
    <row r="45" spans="1:41" x14ac:dyDescent="0.3">
      <c r="A45" s="194"/>
      <c r="Q45" s="194"/>
      <c r="R45" s="194"/>
      <c r="S45" s="194"/>
      <c r="T45" s="194"/>
      <c r="U45" s="194"/>
      <c r="V45" s="194"/>
      <c r="W45" s="194"/>
      <c r="X45" s="194"/>
      <c r="Y45" s="194"/>
      <c r="Z45" s="194"/>
      <c r="AA45" s="194"/>
      <c r="AB45" s="194"/>
      <c r="AC45" s="194"/>
      <c r="AD45" s="194"/>
    </row>
    <row r="46" spans="1:41" x14ac:dyDescent="0.3">
      <c r="A46" s="194"/>
      <c r="Q46" s="194"/>
      <c r="R46" s="194"/>
      <c r="S46" s="194"/>
      <c r="T46" s="194"/>
      <c r="U46" s="194"/>
      <c r="V46" s="194"/>
      <c r="W46" s="194"/>
      <c r="X46" s="194"/>
      <c r="Y46" s="194"/>
      <c r="Z46" s="194"/>
      <c r="AA46" s="194"/>
      <c r="AB46" s="194"/>
      <c r="AC46" s="194"/>
      <c r="AD46" s="194"/>
    </row>
    <row r="47" spans="1:41" x14ac:dyDescent="0.3">
      <c r="A47" s="194"/>
      <c r="Q47" s="194"/>
      <c r="R47" s="194"/>
      <c r="S47" s="194"/>
      <c r="T47" s="194"/>
      <c r="U47" s="194"/>
      <c r="V47" s="194"/>
      <c r="W47" s="194"/>
      <c r="X47" s="194"/>
      <c r="Y47" s="194"/>
      <c r="Z47" s="194"/>
      <c r="AA47" s="194"/>
      <c r="AB47" s="194"/>
      <c r="AC47" s="194"/>
      <c r="AD47" s="194"/>
    </row>
    <row r="48" spans="1:41" x14ac:dyDescent="0.3">
      <c r="A48" s="194"/>
      <c r="Q48" s="194"/>
      <c r="R48" s="194"/>
      <c r="S48" s="194"/>
      <c r="T48" s="194"/>
      <c r="U48" s="194"/>
      <c r="V48" s="194"/>
      <c r="W48" s="194"/>
      <c r="X48" s="194"/>
      <c r="Y48" s="194"/>
      <c r="Z48" s="194"/>
      <c r="AA48" s="194"/>
      <c r="AB48" s="194"/>
      <c r="AC48" s="194"/>
      <c r="AD48" s="194"/>
    </row>
    <row r="49" spans="1:30" x14ac:dyDescent="0.3">
      <c r="A49" s="194"/>
      <c r="Q49" s="194"/>
      <c r="R49" s="194"/>
      <c r="S49" s="194"/>
      <c r="T49" s="194"/>
      <c r="U49" s="194"/>
      <c r="V49" s="194"/>
      <c r="W49" s="194"/>
      <c r="X49" s="194"/>
      <c r="Y49" s="194"/>
      <c r="Z49" s="194"/>
      <c r="AA49" s="194"/>
      <c r="AB49" s="194"/>
      <c r="AC49" s="194"/>
      <c r="AD49" s="194"/>
    </row>
    <row r="50" spans="1:30" x14ac:dyDescent="0.3">
      <c r="A50" s="194"/>
      <c r="Q50" s="194"/>
      <c r="R50" s="194"/>
      <c r="S50" s="194"/>
      <c r="T50" s="194"/>
      <c r="U50" s="194"/>
      <c r="V50" s="194"/>
      <c r="W50" s="194"/>
      <c r="X50" s="194"/>
      <c r="Y50" s="194"/>
      <c r="Z50" s="194"/>
      <c r="AA50" s="194"/>
      <c r="AB50" s="194"/>
      <c r="AC50" s="194"/>
      <c r="AD50" s="194"/>
    </row>
    <row r="51" spans="1:30" x14ac:dyDescent="0.3">
      <c r="A51" s="194"/>
      <c r="Q51" s="194"/>
      <c r="R51" s="194"/>
      <c r="S51" s="194"/>
      <c r="T51" s="194"/>
      <c r="U51" s="194"/>
      <c r="V51" s="194"/>
      <c r="W51" s="194"/>
      <c r="X51" s="194"/>
      <c r="Y51" s="194"/>
      <c r="Z51" s="194"/>
      <c r="AA51" s="194"/>
      <c r="AB51" s="194"/>
      <c r="AC51" s="194"/>
      <c r="AD51" s="194"/>
    </row>
    <row r="52" spans="1:30" x14ac:dyDescent="0.3">
      <c r="A52" s="194"/>
      <c r="Q52" s="194"/>
      <c r="R52" s="194"/>
      <c r="S52" s="194"/>
      <c r="T52" s="194"/>
      <c r="U52" s="194"/>
      <c r="V52" s="194"/>
      <c r="W52" s="194"/>
      <c r="X52" s="194"/>
      <c r="Y52" s="194"/>
      <c r="Z52" s="194"/>
      <c r="AA52" s="194"/>
      <c r="AB52" s="194"/>
      <c r="AC52" s="194"/>
      <c r="AD52" s="194"/>
    </row>
    <row r="53" spans="1:30" x14ac:dyDescent="0.3">
      <c r="A53" s="194"/>
      <c r="Q53" s="194"/>
      <c r="R53" s="194"/>
      <c r="S53" s="194"/>
      <c r="T53" s="194"/>
      <c r="U53" s="194"/>
      <c r="V53" s="194"/>
      <c r="W53" s="194"/>
      <c r="X53" s="194"/>
      <c r="Y53" s="194"/>
      <c r="Z53" s="194"/>
      <c r="AA53" s="194"/>
      <c r="AB53" s="194"/>
      <c r="AC53" s="194"/>
      <c r="AD53" s="194"/>
    </row>
    <row r="54" spans="1:30" x14ac:dyDescent="0.3">
      <c r="A54" s="194"/>
      <c r="Q54" s="194"/>
      <c r="R54" s="194"/>
      <c r="S54" s="194"/>
      <c r="T54" s="194"/>
      <c r="U54" s="194"/>
      <c r="V54" s="194"/>
      <c r="W54" s="194"/>
      <c r="X54" s="194"/>
      <c r="Y54" s="194"/>
      <c r="Z54" s="194"/>
      <c r="AA54" s="194"/>
      <c r="AB54" s="194"/>
      <c r="AC54" s="194"/>
      <c r="AD54" s="194"/>
    </row>
    <row r="55" spans="1:30" x14ac:dyDescent="0.3">
      <c r="A55" s="563" t="s">
        <v>90</v>
      </c>
      <c r="B55" s="565" t="s">
        <v>65</v>
      </c>
      <c r="C55" s="567" t="s">
        <v>66</v>
      </c>
      <c r="D55" s="802"/>
      <c r="E55" s="802"/>
      <c r="F55" s="802"/>
      <c r="G55" s="802"/>
      <c r="H55" s="802"/>
      <c r="I55" s="802"/>
      <c r="J55" s="802"/>
      <c r="K55" s="802"/>
      <c r="L55" s="802"/>
      <c r="M55" s="802"/>
      <c r="N55" s="802"/>
      <c r="O55" s="802"/>
      <c r="P55" s="803"/>
      <c r="Q55" s="195"/>
      <c r="R55" s="195"/>
      <c r="S55" s="194"/>
      <c r="T55" s="194"/>
      <c r="U55" s="194"/>
      <c r="V55" s="194"/>
      <c r="W55" s="194"/>
      <c r="X55" s="194"/>
      <c r="Y55" s="194"/>
      <c r="Z55" s="194"/>
      <c r="AA55" s="194"/>
      <c r="AB55" s="194"/>
      <c r="AC55" s="194"/>
      <c r="AD55" s="194"/>
    </row>
    <row r="56" spans="1:30" x14ac:dyDescent="0.3">
      <c r="A56" s="800"/>
      <c r="B56" s="801"/>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3">
      <c r="A57" s="551" t="str">
        <f>A38</f>
        <v>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v>
      </c>
      <c r="B57" s="570">
        <f>B38</f>
        <v>0.05</v>
      </c>
      <c r="C57" s="176" t="s">
        <v>62</v>
      </c>
      <c r="D57" s="175">
        <f>D38*$B$38/$P$38</f>
        <v>0</v>
      </c>
      <c r="E57" s="175">
        <f t="shared" ref="D57:O58" si="2">E38*$B$38/$P$38</f>
        <v>5.0000000000000001E-3</v>
      </c>
      <c r="F57" s="175">
        <f t="shared" si="2"/>
        <v>5.0000000000000001E-3</v>
      </c>
      <c r="G57" s="175">
        <f t="shared" si="2"/>
        <v>9.999999999999998E-4</v>
      </c>
      <c r="H57" s="175">
        <f t="shared" si="2"/>
        <v>3.9999999999999992E-3</v>
      </c>
      <c r="I57" s="175">
        <f t="shared" si="2"/>
        <v>0.01</v>
      </c>
      <c r="J57" s="175">
        <f t="shared" si="2"/>
        <v>2.5000000000000001E-3</v>
      </c>
      <c r="K57" s="175">
        <f t="shared" si="2"/>
        <v>2.5000000000000001E-3</v>
      </c>
      <c r="L57" s="175">
        <f t="shared" si="2"/>
        <v>2.5000000000000001E-3</v>
      </c>
      <c r="M57" s="175">
        <f t="shared" si="2"/>
        <v>2.5000000000000001E-3</v>
      </c>
      <c r="N57" s="175">
        <f t="shared" si="2"/>
        <v>0.01</v>
      </c>
      <c r="O57" s="175">
        <f t="shared" si="2"/>
        <v>5.0000000000000001E-3</v>
      </c>
      <c r="P57" s="174">
        <f>SUM(D57:O57)</f>
        <v>0.05</v>
      </c>
      <c r="Q57" s="197">
        <v>0.05</v>
      </c>
      <c r="R57" s="198">
        <f t="shared" ref="R57:R65" si="3">+P57-Q57</f>
        <v>0</v>
      </c>
      <c r="S57" s="194"/>
      <c r="T57" s="194"/>
      <c r="U57" s="194"/>
      <c r="V57" s="194"/>
      <c r="W57" s="194"/>
      <c r="X57" s="194"/>
      <c r="Y57" s="194"/>
      <c r="Z57" s="194"/>
      <c r="AA57" s="194"/>
      <c r="AB57" s="194"/>
      <c r="AC57" s="194"/>
      <c r="AD57" s="194"/>
    </row>
    <row r="58" spans="1:30" x14ac:dyDescent="0.3">
      <c r="A58" s="552"/>
      <c r="B58" s="831"/>
      <c r="C58" s="173" t="s">
        <v>63</v>
      </c>
      <c r="D58" s="172">
        <f t="shared" si="2"/>
        <v>0</v>
      </c>
      <c r="E58" s="172">
        <f t="shared" si="2"/>
        <v>5.0000000000000001E-3</v>
      </c>
      <c r="F58" s="172">
        <f t="shared" si="2"/>
        <v>5.0000000000000001E-3</v>
      </c>
      <c r="G58" s="172">
        <f t="shared" si="2"/>
        <v>5.0000000000000001E-3</v>
      </c>
      <c r="H58" s="172">
        <f t="shared" si="2"/>
        <v>5.0000000000000001E-3</v>
      </c>
      <c r="I58" s="172">
        <f t="shared" si="2"/>
        <v>5.0000000000000001E-3</v>
      </c>
      <c r="J58" s="172">
        <f t="shared" si="2"/>
        <v>2.5000000000000001E-3</v>
      </c>
      <c r="K58" s="172">
        <f t="shared" si="2"/>
        <v>2.5000000000000001E-3</v>
      </c>
      <c r="L58" s="172">
        <f t="shared" si="2"/>
        <v>2.5000000000000001E-3</v>
      </c>
      <c r="M58" s="172">
        <f t="shared" si="2"/>
        <v>0</v>
      </c>
      <c r="N58" s="172">
        <f t="shared" si="2"/>
        <v>0</v>
      </c>
      <c r="O58" s="172">
        <f t="shared" si="2"/>
        <v>0</v>
      </c>
      <c r="P58" s="171">
        <f>SUM(D58:O58)</f>
        <v>3.2500000000000001E-2</v>
      </c>
      <c r="Q58" s="199">
        <f>+P58</f>
        <v>3.2500000000000001E-2</v>
      </c>
      <c r="R58" s="198">
        <f t="shared" si="3"/>
        <v>0</v>
      </c>
      <c r="S58" s="194"/>
      <c r="T58" s="194"/>
      <c r="U58" s="194"/>
      <c r="V58" s="194"/>
      <c r="W58" s="194"/>
      <c r="X58" s="194"/>
      <c r="Y58" s="194"/>
      <c r="Z58" s="194"/>
      <c r="AA58" s="194"/>
      <c r="AB58" s="194"/>
      <c r="AC58" s="194"/>
      <c r="AD58" s="194"/>
    </row>
    <row r="59" spans="1:30" x14ac:dyDescent="0.3">
      <c r="A59" s="551" t="str">
        <f>A40</f>
        <v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v>
      </c>
      <c r="B59" s="553">
        <f>B40</f>
        <v>0.05</v>
      </c>
      <c r="C59" s="176" t="s">
        <v>62</v>
      </c>
      <c r="D59" s="175">
        <f t="shared" ref="D59:O60" si="4">D40*$B$40/$P$40</f>
        <v>0</v>
      </c>
      <c r="E59" s="175">
        <f t="shared" si="4"/>
        <v>2.5000000000000009E-3</v>
      </c>
      <c r="F59" s="175">
        <f t="shared" si="4"/>
        <v>5.0000000000000018E-3</v>
      </c>
      <c r="G59" s="175">
        <f t="shared" si="4"/>
        <v>5.0000000000000018E-3</v>
      </c>
      <c r="H59" s="175">
        <f t="shared" si="4"/>
        <v>5.0000000000000018E-3</v>
      </c>
      <c r="I59" s="175">
        <f t="shared" si="4"/>
        <v>5.0000000000000018E-3</v>
      </c>
      <c r="J59" s="175">
        <f t="shared" si="4"/>
        <v>1.0000000000000004E-2</v>
      </c>
      <c r="K59" s="175">
        <f t="shared" si="4"/>
        <v>5.0000000000000018E-3</v>
      </c>
      <c r="L59" s="175">
        <f t="shared" si="4"/>
        <v>5.0000000000000018E-3</v>
      </c>
      <c r="M59" s="175">
        <f t="shared" si="4"/>
        <v>5.0000000000000018E-3</v>
      </c>
      <c r="N59" s="175">
        <f t="shared" si="4"/>
        <v>2.5000000000000009E-3</v>
      </c>
      <c r="O59" s="175">
        <f t="shared" si="4"/>
        <v>0</v>
      </c>
      <c r="P59" s="174">
        <f>SUM(D59:O59)</f>
        <v>5.0000000000000024E-2</v>
      </c>
      <c r="Q59" s="197">
        <v>2.5000000000000001E-2</v>
      </c>
      <c r="R59" s="198">
        <f t="shared" si="3"/>
        <v>2.5000000000000022E-2</v>
      </c>
      <c r="S59" s="194"/>
      <c r="T59" s="194"/>
      <c r="U59" s="194"/>
      <c r="V59" s="194"/>
      <c r="W59" s="194"/>
      <c r="X59" s="194"/>
      <c r="Y59" s="194"/>
      <c r="Z59" s="194"/>
      <c r="AA59" s="194"/>
      <c r="AB59" s="194"/>
      <c r="AC59" s="194"/>
      <c r="AD59" s="194"/>
    </row>
    <row r="60" spans="1:30" x14ac:dyDescent="0.3">
      <c r="A60" s="874"/>
      <c r="B60" s="835"/>
      <c r="C60" s="181" t="s">
        <v>63</v>
      </c>
      <c r="D60" s="172">
        <f t="shared" si="4"/>
        <v>0</v>
      </c>
      <c r="E60" s="172">
        <f t="shared" si="4"/>
        <v>2.5000000000000009E-3</v>
      </c>
      <c r="F60" s="172">
        <f t="shared" si="4"/>
        <v>5.0000000000000018E-3</v>
      </c>
      <c r="G60" s="172">
        <f t="shared" si="4"/>
        <v>5.0000000000000018E-3</v>
      </c>
      <c r="H60" s="172">
        <f t="shared" si="4"/>
        <v>5.0000000000000018E-3</v>
      </c>
      <c r="I60" s="172">
        <f t="shared" si="4"/>
        <v>5.0000000000000018E-3</v>
      </c>
      <c r="J60" s="172">
        <f t="shared" si="4"/>
        <v>1.0000000000000004E-2</v>
      </c>
      <c r="K60" s="172">
        <f t="shared" si="4"/>
        <v>5.0000000000000018E-3</v>
      </c>
      <c r="L60" s="172">
        <f t="shared" si="4"/>
        <v>5.0000000000000018E-3</v>
      </c>
      <c r="M60" s="172">
        <f t="shared" si="4"/>
        <v>0</v>
      </c>
      <c r="N60" s="172">
        <f t="shared" si="4"/>
        <v>0</v>
      </c>
      <c r="O60" s="172">
        <f t="shared" si="4"/>
        <v>0</v>
      </c>
      <c r="P60" s="171">
        <f>SUM(D60:O60)</f>
        <v>4.2500000000000017E-2</v>
      </c>
      <c r="Q60" s="199">
        <f>+P60</f>
        <v>4.2500000000000017E-2</v>
      </c>
      <c r="R60" s="198">
        <f t="shared" si="3"/>
        <v>0</v>
      </c>
      <c r="S60" s="194"/>
      <c r="T60" s="194"/>
      <c r="U60" s="194"/>
      <c r="V60" s="194"/>
      <c r="W60" s="194"/>
      <c r="X60" s="194"/>
      <c r="Y60" s="194"/>
      <c r="Z60" s="194"/>
      <c r="AA60" s="194"/>
      <c r="AB60" s="194"/>
      <c r="AC60" s="194"/>
      <c r="AD60" s="194"/>
    </row>
    <row r="61" spans="1:30" x14ac:dyDescent="0.3">
      <c r="A61" s="555"/>
      <c r="B61" s="556"/>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x14ac:dyDescent="0.3">
      <c r="A62" s="832"/>
      <c r="B62" s="833"/>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x14ac:dyDescent="0.3">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3">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3">
      <c r="A65" s="195"/>
      <c r="B65" s="169"/>
      <c r="C65" s="170"/>
      <c r="D65" s="165">
        <f>D58+D60</f>
        <v>0</v>
      </c>
      <c r="E65" s="165">
        <f t="shared" ref="E65:O65" si="5">E58+E60</f>
        <v>7.5000000000000015E-3</v>
      </c>
      <c r="F65" s="165">
        <f t="shared" si="5"/>
        <v>1.0000000000000002E-2</v>
      </c>
      <c r="G65" s="165">
        <f t="shared" si="5"/>
        <v>1.0000000000000002E-2</v>
      </c>
      <c r="H65" s="165">
        <f t="shared" si="5"/>
        <v>1.0000000000000002E-2</v>
      </c>
      <c r="I65" s="165">
        <f t="shared" si="5"/>
        <v>1.0000000000000002E-2</v>
      </c>
      <c r="J65" s="165">
        <f t="shared" si="5"/>
        <v>1.2500000000000004E-2</v>
      </c>
      <c r="K65" s="165">
        <f t="shared" si="5"/>
        <v>7.5000000000000015E-3</v>
      </c>
      <c r="L65" s="165">
        <f t="shared" si="5"/>
        <v>7.5000000000000015E-3</v>
      </c>
      <c r="M65" s="165">
        <f t="shared" si="5"/>
        <v>0</v>
      </c>
      <c r="N65" s="165">
        <f t="shared" si="5"/>
        <v>0</v>
      </c>
      <c r="O65" s="165">
        <f t="shared" si="5"/>
        <v>0</v>
      </c>
      <c r="P65" s="165">
        <f>P58+P60+P62</f>
        <v>7.5000000000000011E-2</v>
      </c>
      <c r="Q65" s="195"/>
      <c r="R65" s="198">
        <f t="shared" si="3"/>
        <v>7.5000000000000011E-2</v>
      </c>
      <c r="S65" s="194"/>
      <c r="T65" s="194"/>
      <c r="U65" s="194"/>
      <c r="V65" s="194"/>
      <c r="W65" s="194"/>
      <c r="X65" s="194"/>
      <c r="Y65" s="194"/>
      <c r="Z65" s="194"/>
      <c r="AA65" s="194"/>
      <c r="AB65" s="194"/>
      <c r="AC65" s="194"/>
      <c r="AD65" s="194"/>
    </row>
    <row r="66" spans="1:30" x14ac:dyDescent="0.3">
      <c r="A66" s="195"/>
      <c r="B66" s="167"/>
      <c r="C66" s="164" t="s">
        <v>63</v>
      </c>
      <c r="D66" s="163">
        <f>D65*$W$17/$B$34</f>
        <v>0</v>
      </c>
      <c r="E66" s="163">
        <f t="shared" ref="E66:O66" si="6">E65*$W$17/$B$34</f>
        <v>7.5000000000000011E-2</v>
      </c>
      <c r="F66" s="163">
        <f t="shared" si="6"/>
        <v>0.10000000000000002</v>
      </c>
      <c r="G66" s="163">
        <f t="shared" si="6"/>
        <v>0.10000000000000002</v>
      </c>
      <c r="H66" s="163">
        <f t="shared" si="6"/>
        <v>0.10000000000000002</v>
      </c>
      <c r="I66" s="163">
        <f t="shared" si="6"/>
        <v>0.10000000000000002</v>
      </c>
      <c r="J66" s="163">
        <f t="shared" si="6"/>
        <v>0.12500000000000003</v>
      </c>
      <c r="K66" s="163">
        <f t="shared" si="6"/>
        <v>7.5000000000000011E-2</v>
      </c>
      <c r="L66" s="163">
        <f t="shared" si="6"/>
        <v>7.5000000000000011E-2</v>
      </c>
      <c r="M66" s="163">
        <f t="shared" si="6"/>
        <v>0</v>
      </c>
      <c r="N66" s="163">
        <f t="shared" si="6"/>
        <v>0</v>
      </c>
      <c r="O66" s="163">
        <f t="shared" si="6"/>
        <v>0</v>
      </c>
      <c r="P66" s="162">
        <f>SUM(D66:O66)</f>
        <v>0.75000000000000022</v>
      </c>
      <c r="Q66" s="196"/>
      <c r="R66" s="195"/>
      <c r="S66" s="194"/>
      <c r="T66" s="194"/>
      <c r="U66" s="194"/>
      <c r="V66" s="194"/>
      <c r="W66" s="194"/>
      <c r="X66" s="194"/>
      <c r="Y66" s="194"/>
      <c r="Z66" s="194"/>
      <c r="AA66" s="194"/>
      <c r="AB66" s="194"/>
      <c r="AC66" s="194"/>
      <c r="AD66" s="194"/>
    </row>
    <row r="67" spans="1:30" x14ac:dyDescent="0.3">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3">
      <c r="A68" s="197"/>
      <c r="B68" s="108"/>
      <c r="C68" s="108"/>
      <c r="D68" s="165">
        <f>+D57+D59</f>
        <v>0</v>
      </c>
      <c r="E68" s="165">
        <f t="shared" ref="E68:O68" si="7">+E57+E59</f>
        <v>7.5000000000000015E-3</v>
      </c>
      <c r="F68" s="165">
        <f t="shared" si="7"/>
        <v>1.0000000000000002E-2</v>
      </c>
      <c r="G68" s="165">
        <f t="shared" si="7"/>
        <v>6.0000000000000019E-3</v>
      </c>
      <c r="H68" s="165">
        <f t="shared" si="7"/>
        <v>9.0000000000000011E-3</v>
      </c>
      <c r="I68" s="165">
        <f t="shared" si="7"/>
        <v>1.5000000000000003E-2</v>
      </c>
      <c r="J68" s="165">
        <f t="shared" si="7"/>
        <v>1.2500000000000004E-2</v>
      </c>
      <c r="K68" s="165">
        <f t="shared" si="7"/>
        <v>7.5000000000000015E-3</v>
      </c>
      <c r="L68" s="165">
        <f t="shared" si="7"/>
        <v>7.5000000000000015E-3</v>
      </c>
      <c r="M68" s="165">
        <f t="shared" si="7"/>
        <v>7.5000000000000015E-3</v>
      </c>
      <c r="N68" s="165">
        <f t="shared" si="7"/>
        <v>1.2500000000000001E-2</v>
      </c>
      <c r="O68" s="165">
        <f t="shared" si="7"/>
        <v>5.0000000000000001E-3</v>
      </c>
      <c r="P68" s="165">
        <f>+P57+P59+P61</f>
        <v>0.10000000000000003</v>
      </c>
      <c r="Q68" s="197"/>
      <c r="R68" s="197"/>
      <c r="S68" s="194"/>
      <c r="T68" s="194"/>
      <c r="U68" s="194"/>
      <c r="V68" s="194"/>
      <c r="W68" s="194"/>
      <c r="X68" s="194"/>
      <c r="Y68" s="194"/>
      <c r="Z68" s="194"/>
      <c r="AA68" s="194"/>
      <c r="AB68" s="194"/>
      <c r="AC68" s="194"/>
      <c r="AD68" s="194"/>
    </row>
    <row r="69" spans="1:30" x14ac:dyDescent="0.3">
      <c r="A69" s="197"/>
      <c r="B69" s="108"/>
      <c r="C69" s="164" t="s">
        <v>62</v>
      </c>
      <c r="D69" s="163">
        <f t="shared" ref="D69:O69" si="8">D68*$W$17/$B$34</f>
        <v>0</v>
      </c>
      <c r="E69" s="163">
        <f t="shared" si="8"/>
        <v>7.5000000000000011E-2</v>
      </c>
      <c r="F69" s="163">
        <f t="shared" si="8"/>
        <v>0.10000000000000002</v>
      </c>
      <c r="G69" s="163">
        <f t="shared" si="8"/>
        <v>6.0000000000000019E-2</v>
      </c>
      <c r="H69" s="163">
        <f t="shared" si="8"/>
        <v>9.0000000000000011E-2</v>
      </c>
      <c r="I69" s="163">
        <f t="shared" si="8"/>
        <v>0.15000000000000002</v>
      </c>
      <c r="J69" s="163">
        <f t="shared" si="8"/>
        <v>0.12500000000000003</v>
      </c>
      <c r="K69" s="163">
        <f t="shared" si="8"/>
        <v>7.5000000000000011E-2</v>
      </c>
      <c r="L69" s="163">
        <f t="shared" si="8"/>
        <v>7.5000000000000011E-2</v>
      </c>
      <c r="M69" s="163">
        <f t="shared" si="8"/>
        <v>7.5000000000000011E-2</v>
      </c>
      <c r="N69" s="163">
        <f t="shared" si="8"/>
        <v>0.125</v>
      </c>
      <c r="O69" s="163">
        <f t="shared" si="8"/>
        <v>4.9999999999999996E-2</v>
      </c>
      <c r="P69" s="162">
        <f>SUM(D69:O69)</f>
        <v>1</v>
      </c>
      <c r="Q69" s="197"/>
      <c r="R69" s="197"/>
      <c r="S69" s="194"/>
      <c r="T69" s="194"/>
      <c r="U69" s="194"/>
      <c r="V69" s="194"/>
      <c r="W69" s="194"/>
      <c r="X69" s="194"/>
      <c r="Y69" s="194"/>
      <c r="Z69" s="194"/>
      <c r="AA69" s="194"/>
      <c r="AB69" s="194"/>
      <c r="AC69" s="194"/>
      <c r="AD69" s="194"/>
    </row>
    <row r="70" spans="1:30" x14ac:dyDescent="0.3">
      <c r="A70" s="194"/>
      <c r="Q70" s="194"/>
      <c r="R70" s="194"/>
      <c r="S70" s="194"/>
      <c r="T70" s="194"/>
      <c r="U70" s="194"/>
      <c r="V70" s="194"/>
      <c r="W70" s="194"/>
      <c r="X70" s="194"/>
      <c r="Y70" s="194"/>
      <c r="Z70" s="194"/>
      <c r="AA70" s="194"/>
      <c r="AB70" s="194"/>
      <c r="AC70" s="194"/>
      <c r="AD70" s="194"/>
    </row>
    <row r="71" spans="1:30" x14ac:dyDescent="0.3">
      <c r="A71" s="194"/>
      <c r="Q71" s="194"/>
      <c r="R71" s="194"/>
      <c r="S71" s="194"/>
      <c r="T71" s="194"/>
      <c r="U71" s="194"/>
      <c r="V71" s="194"/>
      <c r="W71" s="194"/>
      <c r="X71" s="194"/>
      <c r="Y71" s="194"/>
      <c r="Z71" s="194"/>
      <c r="AA71" s="194"/>
      <c r="AB71" s="194"/>
      <c r="AC71" s="194"/>
      <c r="AD71" s="194"/>
    </row>
    <row r="72" spans="1:30" x14ac:dyDescent="0.3">
      <c r="A72" s="194"/>
      <c r="Q72" s="194"/>
      <c r="R72" s="194"/>
      <c r="S72" s="194"/>
      <c r="T72" s="194"/>
      <c r="U72" s="194"/>
      <c r="V72" s="194"/>
      <c r="W72" s="194"/>
      <c r="X72" s="194"/>
      <c r="Y72" s="194"/>
      <c r="Z72" s="194"/>
      <c r="AA72" s="194"/>
      <c r="AB72" s="194"/>
      <c r="AC72" s="194"/>
      <c r="AD72" s="194"/>
    </row>
    <row r="73" spans="1:30" x14ac:dyDescent="0.3">
      <c r="A73" s="194"/>
      <c r="Q73" s="194"/>
      <c r="R73" s="194"/>
      <c r="S73" s="194"/>
      <c r="T73" s="194"/>
      <c r="U73" s="194"/>
      <c r="V73" s="194"/>
      <c r="W73" s="194"/>
      <c r="X73" s="194"/>
      <c r="Y73" s="194"/>
      <c r="Z73" s="194"/>
      <c r="AA73" s="194"/>
      <c r="AB73" s="194"/>
      <c r="AC73" s="194"/>
      <c r="AD73" s="194"/>
    </row>
    <row r="74" spans="1:30" x14ac:dyDescent="0.3">
      <c r="A74" s="194"/>
      <c r="Q74" s="194"/>
      <c r="R74" s="194"/>
      <c r="S74" s="194"/>
      <c r="T74" s="194"/>
      <c r="U74" s="194"/>
      <c r="V74" s="194"/>
      <c r="W74" s="194"/>
      <c r="X74" s="194"/>
      <c r="Y74" s="194"/>
      <c r="Z74" s="194"/>
      <c r="AA74" s="194"/>
      <c r="AB74" s="194"/>
      <c r="AC74" s="194"/>
      <c r="AD74" s="194"/>
    </row>
    <row r="75" spans="1:30" x14ac:dyDescent="0.3">
      <c r="A75" s="194"/>
      <c r="Q75" s="194"/>
      <c r="R75" s="194"/>
      <c r="S75" s="194"/>
      <c r="T75" s="194"/>
      <c r="U75" s="194"/>
      <c r="V75" s="194"/>
      <c r="W75" s="194"/>
      <c r="X75" s="194"/>
      <c r="Y75" s="194"/>
      <c r="Z75" s="194"/>
      <c r="AA75" s="194"/>
      <c r="AB75" s="194"/>
      <c r="AC75" s="194"/>
      <c r="AD75" s="194"/>
    </row>
    <row r="76" spans="1:30" x14ac:dyDescent="0.3">
      <c r="A76" s="194"/>
      <c r="Q76" s="194"/>
      <c r="R76" s="194"/>
      <c r="S76" s="194"/>
      <c r="T76" s="194"/>
      <c r="U76" s="194"/>
      <c r="V76" s="194"/>
      <c r="W76" s="194"/>
      <c r="X76" s="194"/>
      <c r="Y76" s="194"/>
      <c r="Z76" s="194"/>
      <c r="AA76" s="194"/>
      <c r="AB76" s="194"/>
      <c r="AC76" s="194"/>
      <c r="AD76" s="194"/>
    </row>
    <row r="77" spans="1:30" x14ac:dyDescent="0.3">
      <c r="A77" s="194"/>
      <c r="Q77" s="194"/>
      <c r="R77" s="194"/>
      <c r="S77" s="194"/>
      <c r="T77" s="194"/>
      <c r="U77" s="194"/>
      <c r="V77" s="194"/>
      <c r="W77" s="194"/>
      <c r="X77" s="194"/>
      <c r="Y77" s="194"/>
      <c r="Z77" s="194"/>
      <c r="AA77" s="194"/>
      <c r="AB77" s="194"/>
      <c r="AC77" s="194"/>
      <c r="AD77" s="194"/>
    </row>
    <row r="78" spans="1:30" x14ac:dyDescent="0.3">
      <c r="A78" s="194"/>
      <c r="Q78" s="194"/>
      <c r="R78" s="194"/>
      <c r="S78" s="194"/>
      <c r="T78" s="194"/>
      <c r="U78" s="194"/>
      <c r="V78" s="194"/>
      <c r="W78" s="194"/>
      <c r="X78" s="194"/>
      <c r="Y78" s="194"/>
      <c r="Z78" s="194"/>
      <c r="AA78" s="194"/>
      <c r="AB78" s="194"/>
      <c r="AC78" s="194"/>
      <c r="AD78" s="194"/>
    </row>
    <row r="79" spans="1:30" x14ac:dyDescent="0.3">
      <c r="A79" s="194"/>
      <c r="Q79" s="194"/>
      <c r="R79" s="194"/>
      <c r="S79" s="194"/>
      <c r="T79" s="194"/>
      <c r="U79" s="194"/>
      <c r="V79" s="194"/>
      <c r="W79" s="194"/>
      <c r="X79" s="194"/>
      <c r="Y79" s="194"/>
      <c r="Z79" s="194"/>
      <c r="AA79" s="194"/>
      <c r="AB79" s="194"/>
      <c r="AC79" s="194"/>
      <c r="AD79" s="194"/>
    </row>
    <row r="80" spans="1:30" x14ac:dyDescent="0.3">
      <c r="A80" s="194"/>
      <c r="Q80" s="194"/>
      <c r="R80" s="194"/>
      <c r="S80" s="194"/>
      <c r="T80" s="194"/>
      <c r="U80" s="194"/>
      <c r="V80" s="194"/>
      <c r="W80" s="194"/>
      <c r="X80" s="194"/>
      <c r="Y80" s="194"/>
      <c r="Z80" s="194"/>
      <c r="AA80" s="194"/>
      <c r="AB80" s="194"/>
      <c r="AC80" s="194"/>
      <c r="AD80" s="194"/>
    </row>
    <row r="81" spans="1:30" x14ac:dyDescent="0.3">
      <c r="A81" s="194"/>
      <c r="Q81" s="194"/>
      <c r="R81" s="194"/>
      <c r="S81" s="194"/>
      <c r="T81" s="194"/>
      <c r="U81" s="194"/>
      <c r="V81" s="194"/>
      <c r="W81" s="194"/>
      <c r="X81" s="194"/>
      <c r="Y81" s="194"/>
      <c r="Z81" s="194"/>
      <c r="AA81" s="194"/>
      <c r="AB81" s="194"/>
      <c r="AC81" s="194"/>
      <c r="AD81" s="194"/>
    </row>
    <row r="82" spans="1:30" x14ac:dyDescent="0.3">
      <c r="A82" s="194"/>
      <c r="Q82" s="194"/>
      <c r="R82" s="194"/>
      <c r="S82" s="194"/>
      <c r="T82" s="194"/>
      <c r="U82" s="194"/>
      <c r="V82" s="194"/>
      <c r="W82" s="194"/>
      <c r="X82" s="194"/>
      <c r="Y82" s="194"/>
      <c r="Z82" s="194"/>
      <c r="AA82" s="194"/>
      <c r="AB82" s="194"/>
      <c r="AC82" s="194"/>
      <c r="AD82" s="194"/>
    </row>
    <row r="83" spans="1:30" x14ac:dyDescent="0.3">
      <c r="A83" s="194"/>
      <c r="Q83" s="194"/>
      <c r="R83" s="194"/>
      <c r="S83" s="194"/>
      <c r="T83" s="194"/>
      <c r="U83" s="194"/>
      <c r="V83" s="194"/>
      <c r="W83" s="194"/>
      <c r="X83" s="194"/>
      <c r="Y83" s="194"/>
      <c r="Z83" s="194"/>
      <c r="AA83" s="194"/>
      <c r="AB83" s="194"/>
      <c r="AC83" s="194"/>
      <c r="AD83" s="194"/>
    </row>
    <row r="84" spans="1:30" x14ac:dyDescent="0.3">
      <c r="A84" s="194"/>
      <c r="Q84" s="194"/>
      <c r="R84" s="194"/>
      <c r="S84" s="194"/>
      <c r="T84" s="194"/>
      <c r="U84" s="194"/>
      <c r="V84" s="194"/>
      <c r="W84" s="194"/>
      <c r="X84" s="194"/>
      <c r="Y84" s="194"/>
      <c r="Z84" s="194"/>
      <c r="AA84" s="194"/>
      <c r="AB84" s="194"/>
      <c r="AC84" s="194"/>
      <c r="AD84" s="194"/>
    </row>
    <row r="85" spans="1:30" x14ac:dyDescent="0.3">
      <c r="A85" s="194"/>
      <c r="Q85" s="194"/>
      <c r="R85" s="194"/>
      <c r="S85" s="194"/>
      <c r="T85" s="194"/>
      <c r="U85" s="194"/>
      <c r="V85" s="194"/>
      <c r="W85" s="194"/>
      <c r="X85" s="194"/>
      <c r="Y85" s="194"/>
      <c r="Z85" s="194"/>
      <c r="AA85" s="194"/>
      <c r="AB85" s="194"/>
      <c r="AC85" s="194"/>
      <c r="AD85" s="194"/>
    </row>
    <row r="86" spans="1:30" x14ac:dyDescent="0.3">
      <c r="A86" s="194"/>
      <c r="Q86" s="194"/>
      <c r="R86" s="194"/>
      <c r="S86" s="194"/>
      <c r="T86" s="194"/>
      <c r="U86" s="194"/>
      <c r="V86" s="194"/>
      <c r="W86" s="194"/>
      <c r="X86" s="194"/>
      <c r="Y86" s="194"/>
      <c r="Z86" s="194"/>
      <c r="AA86" s="194"/>
      <c r="AB86" s="194"/>
      <c r="AC86" s="194"/>
      <c r="AD86" s="194"/>
    </row>
    <row r="87" spans="1:30" x14ac:dyDescent="0.3">
      <c r="A87" s="194"/>
      <c r="Q87" s="194"/>
      <c r="R87" s="194"/>
      <c r="S87" s="194"/>
      <c r="T87" s="194"/>
      <c r="U87" s="194"/>
      <c r="V87" s="194"/>
      <c r="W87" s="194"/>
      <c r="X87" s="194"/>
      <c r="Y87" s="194"/>
      <c r="Z87" s="194"/>
      <c r="AA87" s="194"/>
      <c r="AB87" s="194"/>
      <c r="AC87" s="194"/>
      <c r="AD87" s="194"/>
    </row>
    <row r="88" spans="1:30" x14ac:dyDescent="0.3">
      <c r="A88" s="194"/>
      <c r="Q88" s="194"/>
      <c r="R88" s="194"/>
      <c r="S88" s="194"/>
      <c r="T88" s="194"/>
      <c r="U88" s="194"/>
      <c r="V88" s="194"/>
      <c r="W88" s="194"/>
      <c r="X88" s="194"/>
      <c r="Y88" s="194"/>
      <c r="Z88" s="194"/>
      <c r="AA88" s="194"/>
      <c r="AB88" s="194"/>
      <c r="AC88" s="194"/>
      <c r="AD88" s="194"/>
    </row>
    <row r="89" spans="1:30" x14ac:dyDescent="0.3">
      <c r="A89" s="194"/>
      <c r="Q89" s="194"/>
      <c r="R89" s="194"/>
      <c r="S89" s="194"/>
      <c r="T89" s="194"/>
      <c r="U89" s="194"/>
      <c r="V89" s="194"/>
      <c r="W89" s="194"/>
      <c r="X89" s="194"/>
      <c r="Y89" s="194"/>
      <c r="Z89" s="194"/>
      <c r="AA89" s="194"/>
      <c r="AB89" s="194"/>
      <c r="AC89" s="194"/>
      <c r="AD89" s="194"/>
    </row>
    <row r="90" spans="1:30" x14ac:dyDescent="0.3">
      <c r="A90" s="194"/>
      <c r="Q90" s="194"/>
      <c r="R90" s="194"/>
      <c r="S90" s="194"/>
      <c r="T90" s="194"/>
      <c r="U90" s="194"/>
      <c r="V90" s="194"/>
      <c r="W90" s="194"/>
      <c r="X90" s="194"/>
      <c r="Y90" s="194"/>
      <c r="Z90" s="194"/>
      <c r="AA90" s="194"/>
      <c r="AB90" s="194"/>
      <c r="AC90" s="194"/>
      <c r="AD90" s="194"/>
    </row>
    <row r="91" spans="1:30" x14ac:dyDescent="0.3">
      <c r="A91" s="194"/>
      <c r="Q91" s="194"/>
      <c r="R91" s="194"/>
      <c r="S91" s="194"/>
      <c r="T91" s="194"/>
      <c r="U91" s="194"/>
      <c r="V91" s="194"/>
      <c r="W91" s="194"/>
      <c r="X91" s="194"/>
      <c r="Y91" s="194"/>
      <c r="Z91" s="194"/>
      <c r="AA91" s="194"/>
      <c r="AB91" s="194"/>
      <c r="AC91" s="194"/>
      <c r="AD91" s="194"/>
    </row>
    <row r="92" spans="1:30" x14ac:dyDescent="0.3">
      <c r="A92" s="194"/>
      <c r="Q92" s="194"/>
      <c r="R92" s="194"/>
      <c r="S92" s="194"/>
      <c r="T92" s="194"/>
      <c r="U92" s="194"/>
      <c r="V92" s="194"/>
      <c r="W92" s="194"/>
      <c r="X92" s="194"/>
      <c r="Y92" s="194"/>
      <c r="Z92" s="194"/>
      <c r="AA92" s="194"/>
      <c r="AB92" s="194"/>
      <c r="AC92" s="194"/>
      <c r="AD92" s="194"/>
    </row>
    <row r="93" spans="1:30" x14ac:dyDescent="0.3">
      <c r="A93" s="194"/>
      <c r="Q93" s="194"/>
      <c r="R93" s="194"/>
      <c r="S93" s="194"/>
      <c r="T93" s="194"/>
      <c r="U93" s="194"/>
      <c r="V93" s="194"/>
      <c r="W93" s="194"/>
      <c r="X93" s="194"/>
      <c r="Y93" s="194"/>
      <c r="Z93" s="194"/>
      <c r="AA93" s="194"/>
      <c r="AB93" s="194"/>
      <c r="AC93" s="194"/>
      <c r="AD93" s="194"/>
    </row>
    <row r="94" spans="1:30" x14ac:dyDescent="0.3">
      <c r="A94" s="194"/>
      <c r="Q94" s="194"/>
      <c r="R94" s="194"/>
      <c r="S94" s="194"/>
      <c r="T94" s="194"/>
      <c r="U94" s="194"/>
      <c r="V94" s="194"/>
      <c r="W94" s="194"/>
      <c r="X94" s="194"/>
      <c r="Y94" s="194"/>
      <c r="Z94" s="194"/>
      <c r="AA94" s="194"/>
      <c r="AB94" s="194"/>
      <c r="AC94" s="194"/>
      <c r="AD94" s="194"/>
    </row>
    <row r="95" spans="1:30" x14ac:dyDescent="0.3">
      <c r="A95" s="194"/>
      <c r="Q95" s="194"/>
      <c r="R95" s="194"/>
      <c r="S95" s="194"/>
      <c r="T95" s="194"/>
      <c r="U95" s="194"/>
      <c r="V95" s="194"/>
      <c r="W95" s="194"/>
      <c r="X95" s="194"/>
      <c r="Y95" s="194"/>
      <c r="Z95" s="194"/>
      <c r="AA95" s="194"/>
      <c r="AB95" s="194"/>
      <c r="AC95" s="194"/>
      <c r="AD95" s="194"/>
    </row>
    <row r="96" spans="1:30" x14ac:dyDescent="0.3">
      <c r="A96" s="194"/>
      <c r="Q96" s="194"/>
      <c r="R96" s="194"/>
      <c r="S96" s="194"/>
      <c r="T96" s="194"/>
      <c r="U96" s="194"/>
      <c r="V96" s="194"/>
      <c r="W96" s="194"/>
      <c r="X96" s="194"/>
      <c r="Y96" s="194"/>
      <c r="Z96" s="194"/>
      <c r="AA96" s="194"/>
      <c r="AB96" s="194"/>
      <c r="AC96" s="194"/>
      <c r="AD96" s="194"/>
    </row>
    <row r="97" spans="1:30" x14ac:dyDescent="0.3">
      <c r="A97" s="194"/>
      <c r="Q97" s="194"/>
      <c r="R97" s="194"/>
      <c r="S97" s="194"/>
      <c r="T97" s="194"/>
      <c r="U97" s="194"/>
      <c r="V97" s="194"/>
      <c r="W97" s="194"/>
      <c r="X97" s="194"/>
      <c r="Y97" s="194"/>
      <c r="Z97" s="194"/>
      <c r="AA97" s="194"/>
      <c r="AB97" s="194"/>
      <c r="AC97" s="194"/>
      <c r="AD97" s="194"/>
    </row>
    <row r="98" spans="1:30" x14ac:dyDescent="0.3">
      <c r="A98" s="194"/>
      <c r="Q98" s="194"/>
      <c r="R98" s="194"/>
      <c r="S98" s="194"/>
      <c r="T98" s="194"/>
      <c r="U98" s="194"/>
      <c r="V98" s="194"/>
      <c r="W98" s="194"/>
      <c r="X98" s="194"/>
      <c r="Y98" s="194"/>
      <c r="Z98" s="194"/>
      <c r="AA98" s="194"/>
      <c r="AB98" s="194"/>
      <c r="AC98" s="194"/>
      <c r="AD98" s="194"/>
    </row>
    <row r="99" spans="1:30" x14ac:dyDescent="0.3">
      <c r="A99" s="194"/>
      <c r="Q99" s="194"/>
      <c r="R99" s="194"/>
      <c r="S99" s="194"/>
      <c r="T99" s="194"/>
      <c r="U99" s="194"/>
      <c r="V99" s="194"/>
      <c r="W99" s="194"/>
      <c r="X99" s="194"/>
      <c r="Y99" s="194"/>
      <c r="Z99" s="194"/>
      <c r="AA99" s="194"/>
      <c r="AB99" s="194"/>
      <c r="AC99" s="194"/>
      <c r="AD99" s="194"/>
    </row>
    <row r="100" spans="1:30" x14ac:dyDescent="0.3">
      <c r="A100" s="194"/>
      <c r="Q100" s="194"/>
      <c r="R100" s="194"/>
      <c r="S100" s="194"/>
      <c r="T100" s="194"/>
      <c r="U100" s="194"/>
      <c r="V100" s="194"/>
      <c r="W100" s="194"/>
      <c r="X100" s="194"/>
      <c r="Y100" s="194"/>
      <c r="Z100" s="194"/>
      <c r="AA100" s="194"/>
      <c r="AB100" s="194"/>
      <c r="AC100" s="194"/>
      <c r="AD100" s="194"/>
    </row>
    <row r="101" spans="1:30" x14ac:dyDescent="0.3">
      <c r="A101" s="194"/>
      <c r="Q101" s="194"/>
      <c r="R101" s="194"/>
      <c r="S101" s="194"/>
      <c r="T101" s="194"/>
      <c r="U101" s="194"/>
      <c r="V101" s="194"/>
      <c r="W101" s="194"/>
      <c r="X101" s="194"/>
      <c r="Y101" s="194"/>
      <c r="Z101" s="194"/>
      <c r="AA101" s="194"/>
      <c r="AB101" s="194"/>
      <c r="AC101" s="194"/>
      <c r="AD101" s="194"/>
    </row>
    <row r="102" spans="1:30" x14ac:dyDescent="0.3">
      <c r="Q102" s="194"/>
      <c r="R102" s="194"/>
      <c r="S102" s="194"/>
      <c r="T102" s="194"/>
      <c r="U102" s="194"/>
      <c r="V102" s="194"/>
      <c r="W102" s="194"/>
      <c r="X102" s="194"/>
      <c r="Y102" s="194"/>
      <c r="Z102" s="194"/>
      <c r="AA102" s="194"/>
      <c r="AB102" s="194"/>
      <c r="AC102" s="194"/>
      <c r="AD102" s="194"/>
    </row>
    <row r="103" spans="1:30" x14ac:dyDescent="0.3">
      <c r="Q103" s="194"/>
      <c r="R103" s="194"/>
      <c r="S103" s="194"/>
      <c r="T103" s="194"/>
      <c r="U103" s="194"/>
      <c r="V103" s="194"/>
      <c r="W103" s="194"/>
      <c r="X103" s="194"/>
      <c r="Y103" s="194"/>
      <c r="Z103" s="194"/>
      <c r="AA103" s="194"/>
      <c r="AB103" s="194"/>
      <c r="AC103" s="194"/>
      <c r="AD103" s="194"/>
    </row>
    <row r="104" spans="1:30" x14ac:dyDescent="0.3">
      <c r="Q104" s="194"/>
      <c r="R104" s="194"/>
      <c r="S104" s="194"/>
      <c r="T104" s="194"/>
      <c r="U104" s="194"/>
      <c r="V104" s="194"/>
      <c r="W104" s="194"/>
      <c r="X104" s="194"/>
      <c r="Y104" s="194"/>
      <c r="Z104" s="194"/>
      <c r="AA104" s="194"/>
      <c r="AB104" s="194"/>
      <c r="AC104" s="194"/>
      <c r="AD104" s="194"/>
    </row>
    <row r="105" spans="1:30" x14ac:dyDescent="0.3">
      <c r="Q105" s="194"/>
      <c r="R105" s="194"/>
      <c r="S105" s="194"/>
      <c r="T105" s="194"/>
      <c r="U105" s="194"/>
      <c r="V105" s="194"/>
      <c r="W105" s="194"/>
      <c r="X105" s="194"/>
      <c r="Y105" s="194"/>
      <c r="Z105" s="194"/>
      <c r="AA105" s="194"/>
      <c r="AB105" s="194"/>
      <c r="AC105" s="194"/>
      <c r="AD105" s="194"/>
    </row>
    <row r="106" spans="1:30" x14ac:dyDescent="0.3">
      <c r="Q106" s="194"/>
      <c r="R106" s="194"/>
      <c r="S106" s="194"/>
      <c r="T106" s="194"/>
      <c r="U106" s="194"/>
      <c r="V106" s="194"/>
      <c r="W106" s="194"/>
      <c r="X106" s="194"/>
      <c r="Y106" s="194"/>
      <c r="Z106" s="194"/>
      <c r="AA106" s="194"/>
      <c r="AB106" s="194"/>
      <c r="AC106" s="194"/>
      <c r="AD106" s="194"/>
    </row>
    <row r="107" spans="1:30" x14ac:dyDescent="0.3">
      <c r="Q107" s="194"/>
      <c r="R107" s="194"/>
      <c r="S107" s="194"/>
      <c r="T107" s="194"/>
      <c r="U107" s="194"/>
      <c r="V107" s="194"/>
      <c r="W107" s="194"/>
      <c r="X107" s="194"/>
      <c r="Y107" s="194"/>
      <c r="Z107" s="194"/>
      <c r="AA107" s="194"/>
      <c r="AB107" s="194"/>
      <c r="AC107" s="194"/>
      <c r="AD107" s="194"/>
    </row>
    <row r="108" spans="1:30" x14ac:dyDescent="0.3">
      <c r="Q108" s="194"/>
      <c r="R108" s="194"/>
      <c r="S108" s="194"/>
      <c r="T108" s="194"/>
      <c r="U108" s="194"/>
      <c r="V108" s="194"/>
      <c r="W108" s="194"/>
      <c r="X108" s="194"/>
      <c r="Y108" s="194"/>
      <c r="Z108" s="194"/>
      <c r="AA108" s="194"/>
      <c r="AB108" s="194"/>
      <c r="AC108" s="194"/>
      <c r="AD108" s="194"/>
    </row>
    <row r="109" spans="1:30" x14ac:dyDescent="0.3">
      <c r="Q109" s="194"/>
      <c r="R109" s="194"/>
      <c r="S109" s="194"/>
      <c r="T109" s="194"/>
      <c r="U109" s="194"/>
      <c r="V109" s="194"/>
      <c r="W109" s="194"/>
      <c r="X109" s="194"/>
      <c r="Y109" s="194"/>
      <c r="Z109" s="194"/>
      <c r="AA109" s="194"/>
      <c r="AB109" s="194"/>
      <c r="AC109" s="194"/>
      <c r="AD109" s="194"/>
    </row>
    <row r="110" spans="1:30" x14ac:dyDescent="0.3">
      <c r="Q110" s="194"/>
      <c r="R110" s="194"/>
      <c r="S110" s="194"/>
      <c r="T110" s="194"/>
      <c r="U110" s="194"/>
      <c r="V110" s="194"/>
      <c r="W110" s="194"/>
      <c r="X110" s="194"/>
      <c r="Y110" s="194"/>
      <c r="Z110" s="194"/>
      <c r="AA110" s="194"/>
      <c r="AB110" s="194"/>
      <c r="AC110" s="194"/>
      <c r="AD110" s="194"/>
    </row>
    <row r="111" spans="1:30" x14ac:dyDescent="0.3">
      <c r="Q111" s="194"/>
      <c r="R111" s="194"/>
      <c r="S111" s="194"/>
      <c r="T111" s="194"/>
      <c r="U111" s="194"/>
      <c r="V111" s="194"/>
      <c r="W111" s="194"/>
      <c r="X111" s="194"/>
      <c r="Y111" s="194"/>
      <c r="Z111" s="194"/>
      <c r="AA111" s="194"/>
      <c r="AB111" s="194"/>
      <c r="AC111" s="194"/>
      <c r="AD111" s="194"/>
    </row>
    <row r="112" spans="1:30" x14ac:dyDescent="0.3">
      <c r="Q112" s="194"/>
      <c r="R112" s="194"/>
      <c r="S112" s="194"/>
      <c r="T112" s="194"/>
      <c r="U112" s="194"/>
      <c r="V112" s="194"/>
      <c r="W112" s="194"/>
      <c r="X112" s="194"/>
      <c r="Y112" s="194"/>
      <c r="Z112" s="194"/>
      <c r="AA112" s="194"/>
      <c r="AB112" s="194"/>
      <c r="AC112" s="194"/>
      <c r="AD112" s="194"/>
    </row>
    <row r="113" spans="17:30" x14ac:dyDescent="0.3">
      <c r="Q113" s="194"/>
      <c r="R113" s="194"/>
      <c r="S113" s="194"/>
      <c r="T113" s="194"/>
      <c r="U113" s="194"/>
      <c r="V113" s="194"/>
      <c r="W113" s="194"/>
      <c r="X113" s="194"/>
      <c r="Y113" s="194"/>
      <c r="Z113" s="194"/>
      <c r="AA113" s="194"/>
      <c r="AB113" s="194"/>
      <c r="AC113" s="194"/>
      <c r="AD113" s="194"/>
    </row>
    <row r="114" spans="17:30" x14ac:dyDescent="0.3">
      <c r="Q114" s="194"/>
      <c r="R114" s="194"/>
      <c r="S114" s="194"/>
      <c r="T114" s="194"/>
      <c r="U114" s="194"/>
      <c r="V114" s="194"/>
      <c r="W114" s="194"/>
      <c r="X114" s="194"/>
      <c r="Y114" s="194"/>
      <c r="Z114" s="194"/>
      <c r="AA114" s="194"/>
      <c r="AB114" s="194"/>
      <c r="AC114" s="194"/>
      <c r="AD114" s="194"/>
    </row>
    <row r="115" spans="17:30" x14ac:dyDescent="0.3">
      <c r="Q115" s="194"/>
      <c r="R115" s="194"/>
      <c r="S115" s="194"/>
      <c r="T115" s="194"/>
      <c r="U115" s="194"/>
      <c r="V115" s="194"/>
      <c r="W115" s="194"/>
      <c r="X115" s="194"/>
      <c r="Y115" s="194"/>
      <c r="Z115" s="194"/>
      <c r="AA115" s="194"/>
      <c r="AB115" s="194"/>
      <c r="AC115" s="194"/>
      <c r="AD115" s="194"/>
    </row>
    <row r="116" spans="17:30" x14ac:dyDescent="0.3">
      <c r="Q116" s="194"/>
      <c r="R116" s="194"/>
      <c r="S116" s="194"/>
      <c r="T116" s="194"/>
      <c r="U116" s="194"/>
      <c r="V116" s="194"/>
      <c r="W116" s="194"/>
      <c r="X116" s="194"/>
      <c r="Y116" s="194"/>
      <c r="Z116" s="194"/>
      <c r="AA116" s="194"/>
      <c r="AB116" s="194"/>
      <c r="AC116" s="194"/>
      <c r="AD116" s="194"/>
    </row>
    <row r="117" spans="17:30" x14ac:dyDescent="0.3">
      <c r="Q117" s="194"/>
      <c r="R117" s="194"/>
      <c r="S117" s="194"/>
      <c r="T117" s="194"/>
      <c r="U117" s="194"/>
      <c r="V117" s="194"/>
      <c r="W117" s="194"/>
      <c r="X117" s="194"/>
      <c r="Y117" s="194"/>
      <c r="Z117" s="194"/>
      <c r="AA117" s="194"/>
      <c r="AB117" s="194"/>
      <c r="AC117" s="194"/>
      <c r="AD117" s="194"/>
    </row>
    <row r="118" spans="17:30" x14ac:dyDescent="0.3">
      <c r="Q118" s="194"/>
      <c r="R118" s="194"/>
      <c r="S118" s="194"/>
      <c r="T118" s="194"/>
      <c r="U118" s="194"/>
      <c r="V118" s="194"/>
      <c r="W118" s="194"/>
      <c r="X118" s="194"/>
      <c r="Y118" s="194"/>
      <c r="Z118" s="194"/>
      <c r="AA118" s="194"/>
      <c r="AB118" s="194"/>
      <c r="AC118" s="194"/>
      <c r="AD118" s="194"/>
    </row>
    <row r="119" spans="17:30" x14ac:dyDescent="0.3">
      <c r="Q119" s="194"/>
      <c r="R119" s="194"/>
      <c r="S119" s="194"/>
      <c r="T119" s="194"/>
      <c r="U119" s="194"/>
      <c r="V119" s="194"/>
      <c r="W119" s="194"/>
      <c r="X119" s="194"/>
      <c r="Y119" s="194"/>
      <c r="Z119" s="194"/>
      <c r="AA119" s="194"/>
      <c r="AB119" s="194"/>
      <c r="AC119" s="194"/>
      <c r="AD119" s="194"/>
    </row>
    <row r="120" spans="17:30" x14ac:dyDescent="0.3">
      <c r="Q120" s="194"/>
      <c r="R120" s="194"/>
      <c r="S120" s="194"/>
      <c r="T120" s="194"/>
      <c r="U120" s="194"/>
      <c r="V120" s="194"/>
      <c r="W120" s="194"/>
      <c r="X120" s="194"/>
      <c r="Y120" s="194"/>
      <c r="Z120" s="194"/>
      <c r="AA120" s="194"/>
      <c r="AB120" s="194"/>
      <c r="AC120" s="194"/>
      <c r="AD120" s="194"/>
    </row>
    <row r="121" spans="17:30" x14ac:dyDescent="0.3">
      <c r="Q121" s="194"/>
      <c r="R121" s="194"/>
      <c r="S121" s="194"/>
      <c r="T121" s="194"/>
      <c r="U121" s="194"/>
      <c r="V121" s="194"/>
      <c r="W121" s="194"/>
      <c r="X121" s="194"/>
      <c r="Y121" s="194"/>
      <c r="Z121" s="194"/>
      <c r="AA121" s="194"/>
      <c r="AB121" s="194"/>
      <c r="AC121" s="194"/>
      <c r="AD121" s="194"/>
    </row>
    <row r="122" spans="17:30" x14ac:dyDescent="0.3">
      <c r="Q122" s="194"/>
      <c r="R122" s="194"/>
      <c r="S122" s="194"/>
      <c r="T122" s="194"/>
      <c r="U122" s="194"/>
      <c r="V122" s="194"/>
      <c r="W122" s="194"/>
      <c r="X122" s="194"/>
      <c r="Y122" s="194"/>
      <c r="Z122" s="194"/>
      <c r="AA122" s="194"/>
      <c r="AB122" s="194"/>
      <c r="AC122" s="194"/>
      <c r="AD122" s="194"/>
    </row>
    <row r="123" spans="17:30" x14ac:dyDescent="0.3">
      <c r="Q123" s="194"/>
      <c r="R123" s="194"/>
      <c r="S123" s="194"/>
      <c r="T123" s="194"/>
      <c r="U123" s="194"/>
      <c r="V123" s="194"/>
      <c r="W123" s="194"/>
      <c r="X123" s="194"/>
      <c r="Y123" s="194"/>
      <c r="Z123" s="194"/>
      <c r="AA123" s="194"/>
      <c r="AB123" s="194"/>
      <c r="AC123" s="194"/>
      <c r="AD123" s="194"/>
    </row>
    <row r="124" spans="17:30" x14ac:dyDescent="0.3">
      <c r="Q124" s="194"/>
      <c r="R124" s="194"/>
      <c r="S124" s="194"/>
      <c r="T124" s="194"/>
      <c r="U124" s="194"/>
      <c r="V124" s="194"/>
      <c r="W124" s="194"/>
      <c r="X124" s="194"/>
      <c r="Y124" s="194"/>
      <c r="Z124" s="194"/>
      <c r="AA124" s="194"/>
      <c r="AB124" s="194"/>
      <c r="AC124" s="194"/>
      <c r="AD124" s="194"/>
    </row>
    <row r="125" spans="17:30" x14ac:dyDescent="0.3">
      <c r="Q125" s="194"/>
      <c r="R125" s="194"/>
      <c r="S125" s="194"/>
      <c r="T125" s="194"/>
      <c r="U125" s="194"/>
      <c r="V125" s="194"/>
      <c r="W125" s="194"/>
      <c r="X125" s="194"/>
      <c r="Y125" s="194"/>
      <c r="Z125" s="194"/>
      <c r="AA125" s="194"/>
      <c r="AB125" s="194"/>
      <c r="AC125" s="194"/>
      <c r="AD125" s="194"/>
    </row>
    <row r="126" spans="17:30" x14ac:dyDescent="0.3">
      <c r="Q126" s="194"/>
      <c r="R126" s="194"/>
      <c r="S126" s="194"/>
      <c r="T126" s="194"/>
      <c r="U126" s="194"/>
      <c r="V126" s="194"/>
      <c r="W126" s="194"/>
      <c r="X126" s="194"/>
      <c r="Y126" s="194"/>
      <c r="Z126" s="194"/>
      <c r="AA126" s="194"/>
      <c r="AB126" s="194"/>
      <c r="AC126" s="194"/>
      <c r="AD126" s="194"/>
    </row>
    <row r="127" spans="17:30" x14ac:dyDescent="0.3">
      <c r="Q127" s="194"/>
      <c r="R127" s="194"/>
      <c r="S127" s="194"/>
      <c r="T127" s="194"/>
      <c r="U127" s="194"/>
      <c r="V127" s="194"/>
      <c r="W127" s="194"/>
      <c r="X127" s="194"/>
      <c r="Y127" s="194"/>
      <c r="Z127" s="194"/>
      <c r="AA127" s="194"/>
      <c r="AB127" s="194"/>
      <c r="AC127" s="194"/>
      <c r="AD127" s="194"/>
    </row>
    <row r="128" spans="17:30" x14ac:dyDescent="0.3">
      <c r="Q128" s="194"/>
      <c r="R128" s="194"/>
      <c r="S128" s="194"/>
      <c r="T128" s="194"/>
      <c r="U128" s="194"/>
      <c r="V128" s="194"/>
      <c r="W128" s="194"/>
      <c r="X128" s="194"/>
      <c r="Y128" s="194"/>
      <c r="Z128" s="194"/>
      <c r="AA128" s="194"/>
      <c r="AB128" s="194"/>
      <c r="AC128" s="194"/>
      <c r="AD128" s="194"/>
    </row>
    <row r="129" spans="17:30" x14ac:dyDescent="0.3">
      <c r="Q129" s="194"/>
      <c r="R129" s="194"/>
      <c r="S129" s="194"/>
      <c r="T129" s="194"/>
      <c r="U129" s="194"/>
      <c r="V129" s="194"/>
      <c r="W129" s="194"/>
      <c r="X129" s="194"/>
      <c r="Y129" s="194"/>
      <c r="Z129" s="194"/>
      <c r="AA129" s="194"/>
      <c r="AB129" s="194"/>
      <c r="AC129" s="194"/>
      <c r="AD129" s="194"/>
    </row>
    <row r="130" spans="17:30" x14ac:dyDescent="0.3">
      <c r="Q130" s="194"/>
      <c r="R130" s="194"/>
      <c r="S130" s="194"/>
      <c r="T130" s="194"/>
      <c r="U130" s="194"/>
      <c r="V130" s="194"/>
      <c r="W130" s="194"/>
      <c r="X130" s="194"/>
      <c r="Y130" s="194"/>
      <c r="Z130" s="194"/>
      <c r="AA130" s="194"/>
      <c r="AB130" s="194"/>
      <c r="AC130" s="194"/>
      <c r="AD130" s="194"/>
    </row>
    <row r="131" spans="17:30" x14ac:dyDescent="0.3">
      <c r="Q131" s="194"/>
      <c r="R131" s="194"/>
      <c r="S131" s="194"/>
      <c r="T131" s="194"/>
      <c r="U131" s="194"/>
      <c r="V131" s="194"/>
      <c r="W131" s="194"/>
      <c r="X131" s="194"/>
      <c r="Y131" s="194"/>
      <c r="Z131" s="194"/>
      <c r="AA131" s="194"/>
      <c r="AB131" s="194"/>
      <c r="AC131" s="194"/>
      <c r="AD131" s="194"/>
    </row>
    <row r="132" spans="17:30" x14ac:dyDescent="0.3">
      <c r="Q132" s="194"/>
      <c r="R132" s="194"/>
      <c r="S132" s="194"/>
      <c r="T132" s="194"/>
      <c r="U132" s="194"/>
      <c r="V132" s="194"/>
      <c r="W132" s="194"/>
      <c r="X132" s="194"/>
      <c r="Y132" s="194"/>
      <c r="Z132" s="194"/>
      <c r="AA132" s="194"/>
      <c r="AB132" s="194"/>
      <c r="AC132" s="194"/>
      <c r="AD132" s="194"/>
    </row>
    <row r="133" spans="17:30" x14ac:dyDescent="0.3">
      <c r="Q133" s="194"/>
      <c r="R133" s="194"/>
      <c r="S133" s="194"/>
      <c r="T133" s="194"/>
      <c r="U133" s="194"/>
      <c r="V133" s="194"/>
      <c r="W133" s="194"/>
      <c r="X133" s="194"/>
      <c r="Y133" s="194"/>
      <c r="Z133" s="194"/>
      <c r="AA133" s="194"/>
      <c r="AB133" s="194"/>
      <c r="AC133" s="194"/>
      <c r="AD133" s="194"/>
    </row>
    <row r="134" spans="17:30" x14ac:dyDescent="0.3">
      <c r="Q134" s="194"/>
      <c r="R134" s="194"/>
      <c r="S134" s="194"/>
      <c r="T134" s="194"/>
      <c r="U134" s="194"/>
      <c r="V134" s="194"/>
      <c r="W134" s="194"/>
      <c r="X134" s="194"/>
      <c r="Y134" s="194"/>
      <c r="Z134" s="194"/>
      <c r="AA134" s="194"/>
      <c r="AB134" s="194"/>
      <c r="AC134" s="194"/>
      <c r="AD134" s="194"/>
    </row>
    <row r="135" spans="17:30" x14ac:dyDescent="0.3">
      <c r="Q135" s="194"/>
      <c r="R135" s="194"/>
      <c r="S135" s="194"/>
      <c r="T135" s="194"/>
      <c r="U135" s="194"/>
      <c r="V135" s="194"/>
      <c r="W135" s="194"/>
      <c r="X135" s="194"/>
      <c r="Y135" s="194"/>
      <c r="Z135" s="194"/>
      <c r="AA135" s="194"/>
      <c r="AB135" s="194"/>
      <c r="AC135" s="194"/>
      <c r="AD135" s="194"/>
    </row>
    <row r="136" spans="17:30" x14ac:dyDescent="0.3">
      <c r="Q136" s="194"/>
      <c r="R136" s="194"/>
      <c r="S136" s="194"/>
      <c r="T136" s="194"/>
      <c r="U136" s="194"/>
      <c r="V136" s="194"/>
      <c r="W136" s="194"/>
      <c r="X136" s="194"/>
      <c r="Y136" s="194"/>
      <c r="Z136" s="194"/>
      <c r="AA136" s="194"/>
      <c r="AB136" s="194"/>
      <c r="AC136" s="194"/>
      <c r="AD136" s="194"/>
    </row>
    <row r="137" spans="17:30" x14ac:dyDescent="0.3">
      <c r="Q137" s="194"/>
      <c r="R137" s="194"/>
      <c r="S137" s="194"/>
      <c r="T137" s="194"/>
      <c r="U137" s="194"/>
      <c r="V137" s="194"/>
      <c r="W137" s="194"/>
      <c r="X137" s="194"/>
      <c r="Y137" s="194"/>
      <c r="Z137" s="194"/>
      <c r="AA137" s="194"/>
      <c r="AB137" s="194"/>
      <c r="AC137" s="194"/>
      <c r="AD137" s="194"/>
    </row>
    <row r="138" spans="17:30" x14ac:dyDescent="0.3">
      <c r="Q138" s="194"/>
      <c r="R138" s="194"/>
      <c r="S138" s="194"/>
      <c r="T138" s="194"/>
      <c r="U138" s="194"/>
      <c r="V138" s="194"/>
      <c r="W138" s="194"/>
      <c r="X138" s="194"/>
      <c r="Y138" s="194"/>
      <c r="Z138" s="194"/>
      <c r="AA138" s="194"/>
      <c r="AB138" s="194"/>
      <c r="AC138" s="194"/>
      <c r="AD138" s="194"/>
    </row>
    <row r="139" spans="17:30" x14ac:dyDescent="0.3">
      <c r="Q139" s="194"/>
      <c r="R139" s="194"/>
      <c r="S139" s="194"/>
      <c r="T139" s="194"/>
      <c r="U139" s="194"/>
      <c r="V139" s="194"/>
      <c r="W139" s="194"/>
      <c r="X139" s="194"/>
      <c r="Y139" s="194"/>
      <c r="Z139" s="194"/>
      <c r="AA139" s="194"/>
      <c r="AB139" s="194"/>
      <c r="AC139" s="194"/>
      <c r="AD139" s="194"/>
    </row>
    <row r="140" spans="17:30" x14ac:dyDescent="0.3">
      <c r="Q140" s="194"/>
      <c r="R140" s="194"/>
      <c r="S140" s="194"/>
      <c r="T140" s="194"/>
      <c r="U140" s="194"/>
      <c r="V140" s="194"/>
      <c r="W140" s="194"/>
      <c r="X140" s="194"/>
      <c r="Y140" s="194"/>
      <c r="Z140" s="194"/>
      <c r="AA140" s="194"/>
      <c r="AB140" s="194"/>
      <c r="AC140" s="194"/>
      <c r="AD140" s="194"/>
    </row>
    <row r="141" spans="17:30" x14ac:dyDescent="0.3">
      <c r="Q141" s="194"/>
      <c r="R141" s="194"/>
      <c r="S141" s="194"/>
      <c r="T141" s="194"/>
      <c r="U141" s="194"/>
      <c r="V141" s="194"/>
      <c r="W141" s="194"/>
      <c r="X141" s="194"/>
      <c r="Y141" s="194"/>
      <c r="Z141" s="194"/>
      <c r="AA141" s="194"/>
      <c r="AB141" s="194"/>
      <c r="AC141" s="194"/>
      <c r="AD141" s="194"/>
    </row>
    <row r="142" spans="17:30" x14ac:dyDescent="0.3">
      <c r="Q142" s="194"/>
      <c r="R142" s="194"/>
      <c r="S142" s="194"/>
      <c r="T142" s="194"/>
      <c r="U142" s="194"/>
      <c r="V142" s="194"/>
      <c r="W142" s="194"/>
      <c r="X142" s="194"/>
      <c r="Y142" s="194"/>
      <c r="Z142" s="194"/>
      <c r="AA142" s="194"/>
      <c r="AB142" s="194"/>
      <c r="AC142" s="194"/>
      <c r="AD142" s="194"/>
    </row>
    <row r="143" spans="17:30" x14ac:dyDescent="0.3">
      <c r="Q143" s="194"/>
      <c r="R143" s="194"/>
      <c r="S143" s="194"/>
      <c r="T143" s="194"/>
      <c r="U143" s="194"/>
      <c r="V143" s="194"/>
      <c r="W143" s="194"/>
      <c r="X143" s="194"/>
      <c r="Y143" s="194"/>
      <c r="Z143" s="194"/>
      <c r="AA143" s="194"/>
      <c r="AB143" s="194"/>
      <c r="AC143" s="194"/>
      <c r="AD143" s="194"/>
    </row>
    <row r="144" spans="17:30" x14ac:dyDescent="0.3">
      <c r="Q144" s="194"/>
      <c r="R144" s="194"/>
      <c r="S144" s="194"/>
      <c r="T144" s="194"/>
      <c r="U144" s="194"/>
      <c r="V144" s="194"/>
      <c r="W144" s="194"/>
      <c r="X144" s="194"/>
      <c r="Y144" s="194"/>
      <c r="Z144" s="194"/>
      <c r="AA144" s="194"/>
      <c r="AB144" s="194"/>
      <c r="AC144" s="194"/>
      <c r="AD144" s="194"/>
    </row>
    <row r="145" spans="17:30" x14ac:dyDescent="0.3">
      <c r="Q145" s="194"/>
      <c r="R145" s="194"/>
      <c r="S145" s="194"/>
      <c r="T145" s="194"/>
      <c r="U145" s="194"/>
      <c r="V145" s="194"/>
      <c r="W145" s="194"/>
      <c r="X145" s="194"/>
      <c r="Y145" s="194"/>
      <c r="Z145" s="194"/>
      <c r="AA145" s="194"/>
      <c r="AB145" s="194"/>
      <c r="AC145" s="194"/>
      <c r="AD145" s="194"/>
    </row>
    <row r="146" spans="17:30" x14ac:dyDescent="0.3">
      <c r="Q146" s="194"/>
      <c r="R146" s="194"/>
      <c r="S146" s="194"/>
      <c r="T146" s="194"/>
      <c r="U146" s="194"/>
      <c r="V146" s="194"/>
      <c r="W146" s="194"/>
      <c r="X146" s="194"/>
      <c r="Y146" s="194"/>
      <c r="Z146" s="194"/>
      <c r="AA146" s="194"/>
      <c r="AB146" s="194"/>
      <c r="AC146" s="194"/>
      <c r="AD146" s="194"/>
    </row>
    <row r="147" spans="17:30" x14ac:dyDescent="0.3">
      <c r="Q147" s="194"/>
      <c r="R147" s="194"/>
      <c r="S147" s="194"/>
      <c r="T147" s="194"/>
      <c r="U147" s="194"/>
      <c r="V147" s="194"/>
      <c r="W147" s="194"/>
      <c r="X147" s="194"/>
      <c r="Y147" s="194"/>
      <c r="Z147" s="194"/>
      <c r="AA147" s="194"/>
      <c r="AB147" s="194"/>
      <c r="AC147" s="194"/>
      <c r="AD147" s="194"/>
    </row>
    <row r="148" spans="17:30" x14ac:dyDescent="0.3">
      <c r="Q148" s="194"/>
      <c r="R148" s="194"/>
      <c r="S148" s="194"/>
      <c r="T148" s="194"/>
      <c r="U148" s="194"/>
      <c r="V148" s="194"/>
      <c r="W148" s="194"/>
      <c r="X148" s="194"/>
      <c r="Y148" s="194"/>
      <c r="Z148" s="194"/>
      <c r="AA148" s="194"/>
      <c r="AB148" s="194"/>
      <c r="AC148" s="194"/>
      <c r="AD148" s="194"/>
    </row>
    <row r="149" spans="17:30" x14ac:dyDescent="0.3">
      <c r="Q149" s="194"/>
      <c r="R149" s="194"/>
      <c r="S149" s="194"/>
      <c r="T149" s="194"/>
      <c r="U149" s="194"/>
      <c r="V149" s="194"/>
      <c r="W149" s="194"/>
      <c r="X149" s="194"/>
      <c r="Y149" s="194"/>
      <c r="Z149" s="194"/>
      <c r="AA149" s="194"/>
      <c r="AB149" s="194"/>
      <c r="AC149" s="194"/>
      <c r="AD149" s="194"/>
    </row>
    <row r="150" spans="17:30" x14ac:dyDescent="0.3">
      <c r="Q150" s="194"/>
      <c r="R150" s="194"/>
      <c r="S150" s="194"/>
      <c r="T150" s="194"/>
      <c r="U150" s="194"/>
      <c r="V150" s="194"/>
      <c r="W150" s="194"/>
      <c r="X150" s="194"/>
      <c r="Y150" s="194"/>
      <c r="Z150" s="194"/>
      <c r="AA150" s="194"/>
      <c r="AB150" s="194"/>
      <c r="AC150" s="194"/>
      <c r="AD150" s="194"/>
    </row>
    <row r="151" spans="17:30" x14ac:dyDescent="0.3">
      <c r="Q151" s="194"/>
      <c r="R151" s="194"/>
      <c r="S151" s="194"/>
      <c r="T151" s="194"/>
      <c r="U151" s="194"/>
      <c r="V151" s="194"/>
      <c r="W151" s="194"/>
      <c r="X151" s="194"/>
      <c r="Y151" s="194"/>
      <c r="Z151" s="194"/>
      <c r="AA151" s="194"/>
      <c r="AB151" s="194"/>
      <c r="AC151" s="194"/>
      <c r="AD151" s="194"/>
    </row>
    <row r="152" spans="17:30" x14ac:dyDescent="0.3">
      <c r="Q152" s="194"/>
      <c r="R152" s="194"/>
      <c r="S152" s="194"/>
      <c r="T152" s="194"/>
      <c r="U152" s="194"/>
      <c r="V152" s="194"/>
      <c r="W152" s="194"/>
      <c r="X152" s="194"/>
      <c r="Y152" s="194"/>
      <c r="Z152" s="194"/>
      <c r="AA152" s="194"/>
      <c r="AB152" s="194"/>
      <c r="AC152" s="194"/>
      <c r="AD152" s="194"/>
    </row>
    <row r="153" spans="17:30" x14ac:dyDescent="0.3">
      <c r="Q153" s="194"/>
      <c r="R153" s="194"/>
      <c r="S153" s="194"/>
      <c r="T153" s="194"/>
      <c r="U153" s="194"/>
      <c r="V153" s="194"/>
      <c r="W153" s="194"/>
      <c r="X153" s="194"/>
      <c r="Y153" s="194"/>
      <c r="Z153" s="194"/>
      <c r="AA153" s="194"/>
      <c r="AB153" s="194"/>
      <c r="AC153" s="194"/>
      <c r="AD153" s="194"/>
    </row>
    <row r="154" spans="17:30" x14ac:dyDescent="0.3">
      <c r="Q154" s="194"/>
      <c r="R154" s="194"/>
      <c r="S154" s="194"/>
      <c r="T154" s="194"/>
      <c r="U154" s="194"/>
      <c r="V154" s="194"/>
      <c r="W154" s="194"/>
      <c r="X154" s="194"/>
      <c r="Y154" s="194"/>
      <c r="Z154" s="194"/>
      <c r="AA154" s="194"/>
      <c r="AB154" s="194"/>
      <c r="AC154" s="194"/>
      <c r="AD154" s="194"/>
    </row>
    <row r="155" spans="17:30" x14ac:dyDescent="0.3">
      <c r="Q155" s="194"/>
      <c r="R155" s="194"/>
      <c r="S155" s="194"/>
      <c r="T155" s="194"/>
      <c r="U155" s="194"/>
      <c r="V155" s="194"/>
      <c r="W155" s="194"/>
      <c r="X155" s="194"/>
      <c r="Y155" s="194"/>
      <c r="Z155" s="194"/>
      <c r="AA155" s="194"/>
      <c r="AB155" s="194"/>
      <c r="AC155" s="194"/>
      <c r="AD155" s="194"/>
    </row>
    <row r="156" spans="17:30" x14ac:dyDescent="0.3">
      <c r="Q156" s="194"/>
      <c r="R156" s="194"/>
      <c r="S156" s="194"/>
      <c r="T156" s="194"/>
      <c r="U156" s="194"/>
      <c r="V156" s="194"/>
      <c r="W156" s="194"/>
      <c r="X156" s="194"/>
      <c r="Y156" s="194"/>
      <c r="Z156" s="194"/>
      <c r="AA156" s="194"/>
      <c r="AB156" s="194"/>
      <c r="AC156" s="194"/>
      <c r="AD156" s="194"/>
    </row>
    <row r="157" spans="17:30" x14ac:dyDescent="0.3">
      <c r="Q157" s="194"/>
      <c r="R157" s="194"/>
      <c r="S157" s="194"/>
      <c r="T157" s="194"/>
      <c r="U157" s="194"/>
      <c r="V157" s="194"/>
      <c r="W157" s="194"/>
      <c r="X157" s="194"/>
      <c r="Y157" s="194"/>
      <c r="Z157" s="194"/>
      <c r="AA157" s="194"/>
      <c r="AB157" s="194"/>
      <c r="AC157" s="194"/>
      <c r="AD157" s="194"/>
    </row>
    <row r="158" spans="17:30" x14ac:dyDescent="0.3">
      <c r="Q158" s="194"/>
      <c r="R158" s="194"/>
      <c r="S158" s="194"/>
      <c r="T158" s="194"/>
      <c r="U158" s="194"/>
      <c r="V158" s="194"/>
      <c r="W158" s="194"/>
      <c r="X158" s="194"/>
      <c r="Y158" s="194"/>
      <c r="Z158" s="194"/>
      <c r="AA158" s="194"/>
      <c r="AB158" s="194"/>
      <c r="AC158" s="194"/>
      <c r="AD158" s="194"/>
    </row>
    <row r="159" spans="17:30" x14ac:dyDescent="0.3">
      <c r="Q159" s="194"/>
      <c r="R159" s="194"/>
      <c r="S159" s="194"/>
      <c r="T159" s="194"/>
      <c r="U159" s="194"/>
      <c r="V159" s="194"/>
      <c r="W159" s="194"/>
      <c r="X159" s="194"/>
      <c r="Y159" s="194"/>
      <c r="Z159" s="194"/>
      <c r="AA159" s="194"/>
      <c r="AB159" s="194"/>
      <c r="AC159" s="194"/>
      <c r="AD159" s="194"/>
    </row>
    <row r="160" spans="17:30" x14ac:dyDescent="0.3">
      <c r="Q160" s="194"/>
      <c r="R160" s="194"/>
      <c r="S160" s="194"/>
      <c r="T160" s="194"/>
      <c r="U160" s="194"/>
      <c r="V160" s="194"/>
      <c r="W160" s="194"/>
      <c r="X160" s="194"/>
      <c r="Y160" s="194"/>
      <c r="Z160" s="194"/>
      <c r="AA160" s="194"/>
      <c r="AB160" s="194"/>
      <c r="AC160" s="194"/>
      <c r="AD160" s="194"/>
    </row>
    <row r="161" spans="17:30" x14ac:dyDescent="0.3">
      <c r="Q161" s="194"/>
      <c r="R161" s="194"/>
      <c r="S161" s="194"/>
      <c r="T161" s="194"/>
      <c r="U161" s="194"/>
      <c r="V161" s="194"/>
      <c r="W161" s="194"/>
      <c r="X161" s="194"/>
      <c r="Y161" s="194"/>
      <c r="Z161" s="194"/>
      <c r="AA161" s="194"/>
      <c r="AB161" s="194"/>
      <c r="AC161" s="194"/>
      <c r="AD161" s="194"/>
    </row>
    <row r="162" spans="17:30" x14ac:dyDescent="0.3">
      <c r="Q162" s="194"/>
      <c r="R162" s="194"/>
      <c r="S162" s="194"/>
      <c r="T162" s="194"/>
      <c r="U162" s="194"/>
      <c r="V162" s="194"/>
      <c r="W162" s="194"/>
      <c r="X162" s="194"/>
      <c r="Y162" s="194"/>
      <c r="Z162" s="194"/>
      <c r="AA162" s="194"/>
      <c r="AB162" s="194"/>
      <c r="AC162" s="194"/>
      <c r="AD162" s="194"/>
    </row>
    <row r="163" spans="17:30" x14ac:dyDescent="0.3">
      <c r="Q163" s="194"/>
      <c r="R163" s="194"/>
      <c r="S163" s="194"/>
      <c r="T163" s="194"/>
      <c r="U163" s="194"/>
      <c r="V163" s="194"/>
      <c r="W163" s="194"/>
      <c r="X163" s="194"/>
      <c r="Y163" s="194"/>
      <c r="Z163" s="194"/>
      <c r="AA163" s="194"/>
      <c r="AB163" s="194"/>
      <c r="AC163" s="194"/>
      <c r="AD163" s="194"/>
    </row>
    <row r="164" spans="17:30" x14ac:dyDescent="0.3">
      <c r="Q164" s="194"/>
      <c r="R164" s="194"/>
      <c r="S164" s="194"/>
      <c r="T164" s="194"/>
      <c r="U164" s="194"/>
      <c r="V164" s="194"/>
      <c r="W164" s="194"/>
      <c r="X164" s="194"/>
      <c r="Y164" s="194"/>
      <c r="Z164" s="194"/>
      <c r="AA164" s="194"/>
      <c r="AB164" s="194"/>
      <c r="AC164" s="194"/>
      <c r="AD164" s="194"/>
    </row>
    <row r="165" spans="17:30" x14ac:dyDescent="0.3">
      <c r="Q165" s="194"/>
      <c r="R165" s="194"/>
      <c r="S165" s="194"/>
      <c r="T165" s="194"/>
      <c r="U165" s="194"/>
      <c r="V165" s="194"/>
      <c r="W165" s="194"/>
      <c r="X165" s="194"/>
      <c r="Y165" s="194"/>
      <c r="Z165" s="194"/>
      <c r="AA165" s="194"/>
      <c r="AB165" s="194"/>
      <c r="AC165" s="194"/>
      <c r="AD165" s="194"/>
    </row>
    <row r="166" spans="17:30" x14ac:dyDescent="0.3">
      <c r="Q166" s="194"/>
      <c r="R166" s="194"/>
      <c r="S166" s="194"/>
      <c r="T166" s="194"/>
      <c r="U166" s="194"/>
      <c r="V166" s="194"/>
      <c r="W166" s="194"/>
      <c r="X166" s="194"/>
      <c r="Y166" s="194"/>
      <c r="Z166" s="194"/>
      <c r="AA166" s="194"/>
      <c r="AB166" s="194"/>
      <c r="AC166" s="194"/>
      <c r="AD166" s="194"/>
    </row>
    <row r="167" spans="17:30" x14ac:dyDescent="0.3">
      <c r="Q167" s="194"/>
      <c r="R167" s="194"/>
      <c r="S167" s="194"/>
      <c r="T167" s="194"/>
      <c r="U167" s="194"/>
      <c r="V167" s="194"/>
      <c r="W167" s="194"/>
      <c r="X167" s="194"/>
      <c r="Y167" s="194"/>
      <c r="Z167" s="194"/>
      <c r="AA167" s="194"/>
      <c r="AB167" s="194"/>
      <c r="AC167" s="194"/>
      <c r="AD167" s="194"/>
    </row>
    <row r="168" spans="17:30" x14ac:dyDescent="0.3">
      <c r="Q168" s="194"/>
      <c r="R168" s="194"/>
      <c r="S168" s="194"/>
      <c r="T168" s="194"/>
      <c r="U168" s="194"/>
      <c r="V168" s="194"/>
      <c r="W168" s="194"/>
      <c r="X168" s="194"/>
      <c r="Y168" s="194"/>
      <c r="Z168" s="194"/>
      <c r="AA168" s="194"/>
      <c r="AB168" s="194"/>
      <c r="AC168" s="194"/>
      <c r="AD168" s="194"/>
    </row>
    <row r="169" spans="17:30" x14ac:dyDescent="0.3">
      <c r="Q169" s="194"/>
      <c r="R169" s="194"/>
      <c r="S169" s="194"/>
      <c r="T169" s="194"/>
      <c r="U169" s="194"/>
      <c r="V169" s="194"/>
      <c r="W169" s="194"/>
      <c r="X169" s="194"/>
      <c r="Y169" s="194"/>
      <c r="Z169" s="194"/>
      <c r="AA169" s="194"/>
      <c r="AB169" s="194"/>
      <c r="AC169" s="194"/>
      <c r="AD169" s="194"/>
    </row>
    <row r="170" spans="17:30" x14ac:dyDescent="0.3">
      <c r="Q170" s="194"/>
      <c r="R170" s="194"/>
      <c r="S170" s="194"/>
      <c r="T170" s="194"/>
      <c r="U170" s="194"/>
      <c r="V170" s="194"/>
      <c r="W170" s="194"/>
      <c r="X170" s="194"/>
      <c r="Y170" s="194"/>
      <c r="Z170" s="194"/>
      <c r="AA170" s="194"/>
      <c r="AB170" s="194"/>
      <c r="AC170" s="194"/>
      <c r="AD170" s="194"/>
    </row>
    <row r="171" spans="17:30" x14ac:dyDescent="0.3">
      <c r="Q171" s="194"/>
      <c r="R171" s="194"/>
      <c r="S171" s="194"/>
      <c r="T171" s="194"/>
      <c r="U171" s="194"/>
      <c r="V171" s="194"/>
      <c r="W171" s="194"/>
      <c r="X171" s="194"/>
      <c r="Y171" s="194"/>
      <c r="Z171" s="194"/>
      <c r="AA171" s="194"/>
      <c r="AB171" s="194"/>
      <c r="AC171" s="194"/>
      <c r="AD171" s="194"/>
    </row>
    <row r="172" spans="17:30" x14ac:dyDescent="0.3">
      <c r="Q172" s="194"/>
      <c r="R172" s="194"/>
      <c r="S172" s="194"/>
      <c r="T172" s="194"/>
      <c r="U172" s="194"/>
      <c r="V172" s="194"/>
      <c r="W172" s="194"/>
      <c r="X172" s="194"/>
      <c r="Y172" s="194"/>
      <c r="Z172" s="194"/>
      <c r="AA172" s="194"/>
      <c r="AB172" s="194"/>
      <c r="AC172" s="194"/>
      <c r="AD172" s="194"/>
    </row>
    <row r="173" spans="17:30" x14ac:dyDescent="0.3">
      <c r="Q173" s="194"/>
      <c r="R173" s="194"/>
      <c r="S173" s="194"/>
      <c r="T173" s="194"/>
      <c r="U173" s="194"/>
      <c r="V173" s="194"/>
      <c r="W173" s="194"/>
      <c r="X173" s="194"/>
      <c r="Y173" s="194"/>
      <c r="Z173" s="194"/>
      <c r="AA173" s="194"/>
      <c r="AB173" s="194"/>
      <c r="AC173" s="194"/>
      <c r="AD173" s="194"/>
    </row>
    <row r="174" spans="17:30" x14ac:dyDescent="0.3">
      <c r="Q174" s="194"/>
      <c r="R174" s="194"/>
      <c r="S174" s="194"/>
      <c r="T174" s="194"/>
      <c r="U174" s="194"/>
      <c r="V174" s="194"/>
      <c r="W174" s="194"/>
      <c r="X174" s="194"/>
      <c r="Y174" s="194"/>
      <c r="Z174" s="194"/>
      <c r="AA174" s="194"/>
      <c r="AB174" s="194"/>
      <c r="AC174" s="194"/>
      <c r="AD174" s="194"/>
    </row>
    <row r="175" spans="17:30" x14ac:dyDescent="0.3">
      <c r="Q175" s="194"/>
      <c r="R175" s="194"/>
      <c r="S175" s="194"/>
      <c r="T175" s="194"/>
      <c r="U175" s="194"/>
      <c r="V175" s="194"/>
      <c r="W175" s="194"/>
      <c r="X175" s="194"/>
      <c r="Y175" s="194"/>
      <c r="Z175" s="194"/>
      <c r="AA175" s="194"/>
      <c r="AB175" s="194"/>
      <c r="AC175" s="194"/>
      <c r="AD175" s="194"/>
    </row>
    <row r="176" spans="17:30" x14ac:dyDescent="0.3">
      <c r="Q176" s="194"/>
      <c r="R176" s="194"/>
      <c r="S176" s="194"/>
      <c r="T176" s="194"/>
      <c r="U176" s="194"/>
      <c r="V176" s="194"/>
      <c r="W176" s="194"/>
      <c r="X176" s="194"/>
      <c r="Y176" s="194"/>
      <c r="Z176" s="194"/>
      <c r="AA176" s="194"/>
      <c r="AB176" s="194"/>
      <c r="AC176" s="194"/>
      <c r="AD176" s="194"/>
    </row>
    <row r="177" spans="17:30" x14ac:dyDescent="0.3">
      <c r="Q177" s="194"/>
      <c r="R177" s="194"/>
      <c r="S177" s="194"/>
      <c r="T177" s="194"/>
      <c r="U177" s="194"/>
      <c r="V177" s="194"/>
      <c r="W177" s="194"/>
      <c r="X177" s="194"/>
      <c r="Y177" s="194"/>
      <c r="Z177" s="194"/>
      <c r="AA177" s="194"/>
      <c r="AB177" s="194"/>
      <c r="AC177" s="194"/>
      <c r="AD177" s="194"/>
    </row>
    <row r="178" spans="17:30" x14ac:dyDescent="0.3">
      <c r="Q178" s="194"/>
      <c r="R178" s="194"/>
      <c r="S178" s="194"/>
      <c r="T178" s="194"/>
      <c r="U178" s="194"/>
      <c r="V178" s="194"/>
      <c r="W178" s="194"/>
      <c r="X178" s="194"/>
      <c r="Y178" s="194"/>
      <c r="Z178" s="194"/>
      <c r="AA178" s="194"/>
      <c r="AB178" s="194"/>
      <c r="AC178" s="194"/>
      <c r="AD178" s="194"/>
    </row>
    <row r="179" spans="17:30" x14ac:dyDescent="0.3">
      <c r="Q179" s="194"/>
      <c r="R179" s="194"/>
      <c r="S179" s="194"/>
      <c r="T179" s="194"/>
      <c r="U179" s="194"/>
      <c r="V179" s="194"/>
      <c r="W179" s="194"/>
      <c r="X179" s="194"/>
      <c r="Y179" s="194"/>
      <c r="Z179" s="194"/>
      <c r="AA179" s="194"/>
      <c r="AB179" s="194"/>
      <c r="AC179" s="194"/>
      <c r="AD179" s="194"/>
    </row>
    <row r="180" spans="17:30" x14ac:dyDescent="0.3">
      <c r="Q180" s="194"/>
      <c r="R180" s="194"/>
      <c r="S180" s="194"/>
      <c r="T180" s="194"/>
      <c r="U180" s="194"/>
      <c r="V180" s="194"/>
      <c r="W180" s="194"/>
      <c r="X180" s="194"/>
      <c r="Y180" s="194"/>
      <c r="Z180" s="194"/>
      <c r="AA180" s="194"/>
      <c r="AB180" s="194"/>
      <c r="AC180" s="194"/>
      <c r="AD180" s="194"/>
    </row>
    <row r="181" spans="17:30" x14ac:dyDescent="0.3">
      <c r="Q181" s="194"/>
      <c r="R181" s="194"/>
      <c r="S181" s="194"/>
      <c r="T181" s="194"/>
      <c r="U181" s="194"/>
      <c r="V181" s="194"/>
      <c r="W181" s="194"/>
      <c r="X181" s="194"/>
      <c r="Y181" s="194"/>
      <c r="Z181" s="194"/>
      <c r="AA181" s="194"/>
      <c r="AB181" s="194"/>
      <c r="AC181" s="194"/>
      <c r="AD181" s="194"/>
    </row>
    <row r="182" spans="17:30" x14ac:dyDescent="0.3">
      <c r="Q182" s="194"/>
      <c r="R182" s="194"/>
      <c r="S182" s="194"/>
      <c r="T182" s="194"/>
      <c r="U182" s="194"/>
      <c r="V182" s="194"/>
      <c r="W182" s="194"/>
      <c r="X182" s="194"/>
      <c r="Y182" s="194"/>
      <c r="Z182" s="194"/>
      <c r="AA182" s="194"/>
      <c r="AB182" s="194"/>
      <c r="AC182" s="194"/>
      <c r="AD182" s="194"/>
    </row>
    <row r="183" spans="17:30" x14ac:dyDescent="0.3">
      <c r="Q183" s="194"/>
      <c r="R183" s="194"/>
      <c r="S183" s="194"/>
      <c r="T183" s="194"/>
      <c r="U183" s="194"/>
      <c r="V183" s="194"/>
      <c r="W183" s="194"/>
      <c r="X183" s="194"/>
      <c r="Y183" s="194"/>
      <c r="Z183" s="194"/>
      <c r="AA183" s="194"/>
      <c r="AB183" s="194"/>
      <c r="AC183" s="194"/>
      <c r="AD183" s="194"/>
    </row>
    <row r="184" spans="17:30" x14ac:dyDescent="0.3">
      <c r="Q184" s="194"/>
      <c r="R184" s="194"/>
      <c r="S184" s="194"/>
      <c r="T184" s="194"/>
      <c r="U184" s="194"/>
      <c r="V184" s="194"/>
      <c r="W184" s="194"/>
      <c r="X184" s="194"/>
      <c r="Y184" s="194"/>
      <c r="Z184" s="194"/>
      <c r="AA184" s="194"/>
      <c r="AB184" s="194"/>
      <c r="AC184" s="194"/>
      <c r="AD184" s="194"/>
    </row>
    <row r="185" spans="17:30" x14ac:dyDescent="0.3">
      <c r="Q185" s="194"/>
      <c r="R185" s="194"/>
      <c r="S185" s="194"/>
      <c r="T185" s="194"/>
      <c r="U185" s="194"/>
      <c r="V185" s="194"/>
      <c r="W185" s="194"/>
      <c r="X185" s="194"/>
      <c r="Y185" s="194"/>
      <c r="Z185" s="194"/>
      <c r="AA185" s="194"/>
      <c r="AB185" s="194"/>
      <c r="AC185" s="194"/>
      <c r="AD185" s="194"/>
    </row>
    <row r="186" spans="17:30" x14ac:dyDescent="0.3">
      <c r="Q186" s="194"/>
      <c r="R186" s="194"/>
      <c r="S186" s="194"/>
      <c r="T186" s="194"/>
      <c r="U186" s="194"/>
      <c r="V186" s="194"/>
      <c r="W186" s="194"/>
      <c r="X186" s="194"/>
      <c r="Y186" s="194"/>
      <c r="Z186" s="194"/>
      <c r="AA186" s="194"/>
      <c r="AB186" s="194"/>
      <c r="AC186" s="194"/>
      <c r="AD186" s="194"/>
    </row>
    <row r="187" spans="17:30" x14ac:dyDescent="0.3">
      <c r="Q187" s="194"/>
      <c r="R187" s="194"/>
      <c r="S187" s="194"/>
      <c r="T187" s="194"/>
      <c r="U187" s="194"/>
      <c r="V187" s="194"/>
      <c r="W187" s="194"/>
      <c r="X187" s="194"/>
      <c r="Y187" s="194"/>
      <c r="Z187" s="194"/>
      <c r="AA187" s="194"/>
      <c r="AB187" s="194"/>
      <c r="AC187" s="194"/>
      <c r="AD187" s="194"/>
    </row>
    <row r="188" spans="17:30" x14ac:dyDescent="0.3">
      <c r="Q188" s="194"/>
      <c r="R188" s="194"/>
      <c r="S188" s="194"/>
      <c r="T188" s="194"/>
      <c r="U188" s="194"/>
      <c r="V188" s="194"/>
      <c r="W188" s="194"/>
      <c r="X188" s="194"/>
      <c r="Y188" s="194"/>
      <c r="Z188" s="194"/>
      <c r="AA188" s="194"/>
      <c r="AB188" s="194"/>
      <c r="AC188" s="194"/>
      <c r="AD188" s="194"/>
    </row>
    <row r="189" spans="17:30" x14ac:dyDescent="0.3">
      <c r="Q189" s="194"/>
      <c r="R189" s="194"/>
      <c r="S189" s="194"/>
      <c r="T189" s="194"/>
      <c r="U189" s="194"/>
      <c r="V189" s="194"/>
      <c r="W189" s="194"/>
      <c r="X189" s="194"/>
      <c r="Y189" s="194"/>
      <c r="Z189" s="194"/>
      <c r="AA189" s="194"/>
      <c r="AB189" s="194"/>
      <c r="AC189" s="194"/>
      <c r="AD189" s="194"/>
    </row>
    <row r="190" spans="17:30" x14ac:dyDescent="0.3">
      <c r="Q190" s="194"/>
      <c r="R190" s="194"/>
      <c r="S190" s="194"/>
      <c r="T190" s="194"/>
      <c r="U190" s="194"/>
      <c r="V190" s="194"/>
      <c r="W190" s="194"/>
      <c r="X190" s="194"/>
      <c r="Y190" s="194"/>
      <c r="Z190" s="194"/>
      <c r="AA190" s="194"/>
      <c r="AB190" s="194"/>
      <c r="AC190" s="194"/>
      <c r="AD190" s="194"/>
    </row>
    <row r="191" spans="17:30" x14ac:dyDescent="0.3">
      <c r="Q191" s="194"/>
      <c r="R191" s="194"/>
      <c r="S191" s="194"/>
      <c r="T191" s="194"/>
      <c r="U191" s="194"/>
      <c r="V191" s="194"/>
      <c r="W191" s="194"/>
      <c r="X191" s="194"/>
      <c r="Y191" s="194"/>
      <c r="Z191" s="194"/>
      <c r="AA191" s="194"/>
      <c r="AB191" s="194"/>
      <c r="AC191" s="194"/>
      <c r="AD191" s="194"/>
    </row>
    <row r="192" spans="17:30" x14ac:dyDescent="0.3">
      <c r="Q192" s="194"/>
      <c r="R192" s="194"/>
      <c r="S192" s="194"/>
      <c r="T192" s="194"/>
      <c r="U192" s="194"/>
      <c r="V192" s="194"/>
      <c r="W192" s="194"/>
      <c r="X192" s="194"/>
      <c r="Y192" s="194"/>
      <c r="Z192" s="194"/>
      <c r="AA192" s="194"/>
      <c r="AB192" s="194"/>
      <c r="AC192" s="194"/>
      <c r="AD192" s="194"/>
    </row>
    <row r="193" spans="17:30" x14ac:dyDescent="0.3">
      <c r="Q193" s="194"/>
      <c r="R193" s="194"/>
      <c r="S193" s="194"/>
      <c r="T193" s="194"/>
      <c r="U193" s="194"/>
      <c r="V193" s="194"/>
      <c r="W193" s="194"/>
      <c r="X193" s="194"/>
      <c r="Y193" s="194"/>
      <c r="Z193" s="194"/>
      <c r="AA193" s="194"/>
      <c r="AB193" s="194"/>
      <c r="AC193" s="194"/>
      <c r="AD193" s="194"/>
    </row>
    <row r="194" spans="17:30" x14ac:dyDescent="0.3">
      <c r="Q194" s="194"/>
      <c r="R194" s="194"/>
      <c r="S194" s="194"/>
      <c r="T194" s="194"/>
      <c r="U194" s="194"/>
      <c r="V194" s="194"/>
      <c r="W194" s="194"/>
      <c r="X194" s="194"/>
      <c r="Y194" s="194"/>
      <c r="Z194" s="194"/>
      <c r="AA194" s="194"/>
      <c r="AB194" s="194"/>
      <c r="AC194" s="194"/>
      <c r="AD194" s="194"/>
    </row>
    <row r="195" spans="17:30" x14ac:dyDescent="0.3">
      <c r="Q195" s="194"/>
      <c r="R195" s="194"/>
      <c r="S195" s="194"/>
      <c r="T195" s="194"/>
      <c r="U195" s="194"/>
      <c r="V195" s="194"/>
      <c r="W195" s="194"/>
      <c r="X195" s="194"/>
      <c r="Y195" s="194"/>
      <c r="Z195" s="194"/>
      <c r="AA195" s="194"/>
      <c r="AB195" s="194"/>
      <c r="AC195" s="194"/>
      <c r="AD195" s="194"/>
    </row>
    <row r="196" spans="17:30" x14ac:dyDescent="0.3">
      <c r="Q196" s="194"/>
      <c r="R196" s="194"/>
      <c r="S196" s="194"/>
      <c r="T196" s="194"/>
      <c r="U196" s="194"/>
      <c r="V196" s="194"/>
      <c r="W196" s="194"/>
      <c r="X196" s="194"/>
      <c r="Y196" s="194"/>
      <c r="Z196" s="194"/>
      <c r="AA196" s="194"/>
      <c r="AB196" s="194"/>
      <c r="AC196" s="194"/>
      <c r="AD196" s="194"/>
    </row>
    <row r="197" spans="17:30" x14ac:dyDescent="0.3">
      <c r="Q197" s="194"/>
      <c r="R197" s="194"/>
      <c r="S197" s="194"/>
      <c r="T197" s="194"/>
      <c r="U197" s="194"/>
      <c r="V197" s="194"/>
      <c r="W197" s="194"/>
      <c r="X197" s="194"/>
      <c r="Y197" s="194"/>
      <c r="Z197" s="194"/>
      <c r="AA197" s="194"/>
      <c r="AB197" s="194"/>
      <c r="AC197" s="194"/>
      <c r="AD197" s="194"/>
    </row>
    <row r="198" spans="17:30" x14ac:dyDescent="0.3">
      <c r="Q198" s="194"/>
      <c r="R198" s="194"/>
      <c r="S198" s="194"/>
      <c r="T198" s="194"/>
      <c r="U198" s="194"/>
      <c r="V198" s="194"/>
      <c r="W198" s="194"/>
      <c r="X198" s="194"/>
      <c r="Y198" s="194"/>
      <c r="Z198" s="194"/>
      <c r="AA198" s="194"/>
      <c r="AB198" s="194"/>
      <c r="AC198" s="194"/>
      <c r="AD198" s="194"/>
    </row>
    <row r="199" spans="17:30" x14ac:dyDescent="0.3">
      <c r="Q199" s="194"/>
      <c r="R199" s="194"/>
      <c r="S199" s="194"/>
      <c r="T199" s="194"/>
      <c r="U199" s="194"/>
      <c r="V199" s="194"/>
      <c r="W199" s="194"/>
      <c r="X199" s="194"/>
      <c r="Y199" s="194"/>
      <c r="Z199" s="194"/>
      <c r="AA199" s="194"/>
      <c r="AB199" s="194"/>
      <c r="AC199" s="194"/>
      <c r="AD199" s="194"/>
    </row>
    <row r="200" spans="17:30" x14ac:dyDescent="0.3">
      <c r="Q200" s="194"/>
      <c r="R200" s="194"/>
      <c r="S200" s="194"/>
      <c r="T200" s="194"/>
      <c r="U200" s="194"/>
      <c r="V200" s="194"/>
      <c r="W200" s="194"/>
      <c r="X200" s="194"/>
      <c r="Y200" s="194"/>
      <c r="Z200" s="194"/>
      <c r="AA200" s="194"/>
      <c r="AB200" s="194"/>
      <c r="AC200" s="194"/>
      <c r="AD200" s="194"/>
    </row>
    <row r="201" spans="17:30" x14ac:dyDescent="0.3">
      <c r="Q201" s="194"/>
      <c r="R201" s="194"/>
      <c r="S201" s="194"/>
      <c r="T201" s="194"/>
      <c r="U201" s="194"/>
      <c r="V201" s="194"/>
      <c r="W201" s="194"/>
      <c r="X201" s="194"/>
      <c r="Y201" s="194"/>
      <c r="Z201" s="194"/>
      <c r="AA201" s="194"/>
      <c r="AB201" s="194"/>
      <c r="AC201" s="194"/>
      <c r="AD201" s="194"/>
    </row>
    <row r="202" spans="17:30" x14ac:dyDescent="0.3">
      <c r="Q202" s="194"/>
      <c r="R202" s="194"/>
      <c r="S202" s="194"/>
      <c r="T202" s="194"/>
      <c r="U202" s="194"/>
      <c r="V202" s="194"/>
      <c r="W202" s="194"/>
      <c r="X202" s="194"/>
      <c r="Y202" s="194"/>
      <c r="Z202" s="194"/>
      <c r="AA202" s="194"/>
      <c r="AB202" s="194"/>
      <c r="AC202" s="194"/>
      <c r="AD202" s="194"/>
    </row>
    <row r="203" spans="17:30" x14ac:dyDescent="0.3">
      <c r="Q203" s="194"/>
      <c r="R203" s="194"/>
      <c r="S203" s="194"/>
      <c r="T203" s="194"/>
      <c r="U203" s="194"/>
      <c r="V203" s="194"/>
      <c r="W203" s="194"/>
      <c r="X203" s="194"/>
      <c r="Y203" s="194"/>
      <c r="Z203" s="194"/>
      <c r="AA203" s="194"/>
      <c r="AB203" s="194"/>
      <c r="AC203" s="194"/>
      <c r="AD203" s="194"/>
    </row>
    <row r="204" spans="17:30" x14ac:dyDescent="0.3">
      <c r="Q204" s="194"/>
      <c r="R204" s="194"/>
      <c r="S204" s="194"/>
      <c r="T204" s="194"/>
      <c r="U204" s="194"/>
      <c r="V204" s="194"/>
      <c r="W204" s="194"/>
      <c r="X204" s="194"/>
      <c r="Y204" s="194"/>
      <c r="Z204" s="194"/>
      <c r="AA204" s="194"/>
      <c r="AB204" s="194"/>
      <c r="AC204" s="194"/>
      <c r="AD204" s="194"/>
    </row>
    <row r="205" spans="17:30" x14ac:dyDescent="0.3">
      <c r="Q205" s="194"/>
      <c r="R205" s="194"/>
      <c r="S205" s="194"/>
      <c r="T205" s="194"/>
      <c r="U205" s="194"/>
      <c r="V205" s="194"/>
      <c r="W205" s="194"/>
      <c r="X205" s="194"/>
      <c r="Y205" s="194"/>
      <c r="Z205" s="194"/>
      <c r="AA205" s="194"/>
      <c r="AB205" s="194"/>
      <c r="AC205" s="194"/>
      <c r="AD205" s="194"/>
    </row>
    <row r="206" spans="17:30" x14ac:dyDescent="0.3">
      <c r="Q206" s="194"/>
      <c r="R206" s="194"/>
      <c r="S206" s="194"/>
      <c r="T206" s="194"/>
      <c r="U206" s="194"/>
      <c r="V206" s="194"/>
      <c r="W206" s="194"/>
      <c r="X206" s="194"/>
      <c r="Y206" s="194"/>
      <c r="Z206" s="194"/>
      <c r="AA206" s="194"/>
      <c r="AB206" s="194"/>
      <c r="AC206" s="194"/>
      <c r="AD206" s="194"/>
    </row>
    <row r="207" spans="17:30" x14ac:dyDescent="0.3">
      <c r="Q207" s="194"/>
      <c r="R207" s="194"/>
      <c r="S207" s="194"/>
      <c r="T207" s="194"/>
      <c r="U207" s="194"/>
      <c r="V207" s="194"/>
      <c r="W207" s="194"/>
      <c r="X207" s="194"/>
      <c r="Y207" s="194"/>
      <c r="Z207" s="194"/>
      <c r="AA207" s="194"/>
      <c r="AB207" s="194"/>
      <c r="AC207" s="194"/>
      <c r="AD207" s="194"/>
    </row>
    <row r="208" spans="17:30" x14ac:dyDescent="0.3">
      <c r="Q208" s="194"/>
      <c r="R208" s="194"/>
      <c r="S208" s="194"/>
      <c r="T208" s="194"/>
      <c r="U208" s="194"/>
      <c r="V208" s="194"/>
      <c r="W208" s="194"/>
      <c r="X208" s="194"/>
      <c r="Y208" s="194"/>
      <c r="Z208" s="194"/>
      <c r="AA208" s="194"/>
      <c r="AB208" s="194"/>
      <c r="AC208" s="194"/>
      <c r="AD208" s="194"/>
    </row>
    <row r="209" spans="17:30" x14ac:dyDescent="0.3">
      <c r="Q209" s="194"/>
      <c r="R209" s="194"/>
      <c r="S209" s="194"/>
      <c r="T209" s="194"/>
      <c r="U209" s="194"/>
      <c r="V209" s="194"/>
      <c r="W209" s="194"/>
      <c r="X209" s="194"/>
      <c r="Y209" s="194"/>
      <c r="Z209" s="194"/>
      <c r="AA209" s="194"/>
      <c r="AB209" s="194"/>
      <c r="AC209" s="194"/>
      <c r="AD209" s="194"/>
    </row>
    <row r="210" spans="17:30" x14ac:dyDescent="0.3">
      <c r="Q210" s="194"/>
      <c r="R210" s="194"/>
      <c r="S210" s="194"/>
      <c r="T210" s="194"/>
      <c r="U210" s="194"/>
      <c r="V210" s="194"/>
      <c r="W210" s="194"/>
      <c r="X210" s="194"/>
      <c r="Y210" s="194"/>
      <c r="Z210" s="194"/>
      <c r="AA210" s="194"/>
      <c r="AB210" s="194"/>
      <c r="AC210" s="194"/>
      <c r="AD210" s="194"/>
    </row>
    <row r="211" spans="17:30" x14ac:dyDescent="0.3">
      <c r="Q211" s="194"/>
      <c r="R211" s="194"/>
      <c r="S211" s="194"/>
      <c r="T211" s="194"/>
      <c r="U211" s="194"/>
      <c r="V211" s="194"/>
      <c r="W211" s="194"/>
      <c r="X211" s="194"/>
      <c r="Y211" s="194"/>
      <c r="Z211" s="194"/>
      <c r="AA211" s="194"/>
      <c r="AB211" s="194"/>
      <c r="AC211" s="194"/>
      <c r="AD211" s="194"/>
    </row>
    <row r="212" spans="17:30" x14ac:dyDescent="0.3">
      <c r="Q212" s="194"/>
      <c r="R212" s="194"/>
      <c r="S212" s="194"/>
      <c r="T212" s="194"/>
      <c r="U212" s="194"/>
      <c r="V212" s="194"/>
      <c r="W212" s="194"/>
      <c r="X212" s="194"/>
      <c r="Y212" s="194"/>
      <c r="Z212" s="194"/>
      <c r="AA212" s="194"/>
      <c r="AB212" s="194"/>
      <c r="AC212" s="194"/>
      <c r="AD212" s="194"/>
    </row>
    <row r="213" spans="17:30" x14ac:dyDescent="0.3">
      <c r="Q213" s="194"/>
      <c r="R213" s="194"/>
      <c r="S213" s="194"/>
      <c r="T213" s="194"/>
      <c r="U213" s="194"/>
      <c r="V213" s="194"/>
      <c r="W213" s="194"/>
      <c r="X213" s="194"/>
      <c r="Y213" s="194"/>
      <c r="Z213" s="194"/>
      <c r="AA213" s="194"/>
      <c r="AB213" s="194"/>
      <c r="AC213" s="194"/>
      <c r="AD213" s="194"/>
    </row>
    <row r="214" spans="17:30" x14ac:dyDescent="0.3">
      <c r="Q214" s="194"/>
      <c r="R214" s="194"/>
      <c r="S214" s="194"/>
      <c r="T214" s="194"/>
      <c r="U214" s="194"/>
      <c r="V214" s="194"/>
      <c r="W214" s="194"/>
      <c r="X214" s="194"/>
      <c r="Y214" s="194"/>
      <c r="Z214" s="194"/>
      <c r="AA214" s="194"/>
      <c r="AB214" s="194"/>
      <c r="AC214" s="194"/>
      <c r="AD214" s="194"/>
    </row>
    <row r="215" spans="17:30" x14ac:dyDescent="0.3">
      <c r="Q215" s="194"/>
      <c r="R215" s="194"/>
      <c r="S215" s="194"/>
      <c r="T215" s="194"/>
      <c r="U215" s="194"/>
      <c r="V215" s="194"/>
      <c r="W215" s="194"/>
      <c r="X215" s="194"/>
      <c r="Y215" s="194"/>
      <c r="Z215" s="194"/>
      <c r="AA215" s="194"/>
      <c r="AB215" s="194"/>
      <c r="AC215" s="194"/>
      <c r="AD215" s="194"/>
    </row>
    <row r="216" spans="17:30" x14ac:dyDescent="0.3">
      <c r="Q216" s="194"/>
      <c r="R216" s="194"/>
      <c r="S216" s="194"/>
      <c r="T216" s="194"/>
      <c r="U216" s="194"/>
      <c r="V216" s="194"/>
      <c r="W216" s="194"/>
      <c r="X216" s="194"/>
      <c r="Y216" s="194"/>
      <c r="Z216" s="194"/>
      <c r="AA216" s="194"/>
      <c r="AB216" s="194"/>
      <c r="AC216" s="194"/>
      <c r="AD216" s="194"/>
    </row>
    <row r="217" spans="17:30" x14ac:dyDescent="0.3">
      <c r="Q217" s="194"/>
      <c r="R217" s="194"/>
      <c r="S217" s="194"/>
      <c r="T217" s="194"/>
      <c r="U217" s="194"/>
      <c r="V217" s="194"/>
      <c r="W217" s="194"/>
      <c r="X217" s="194"/>
      <c r="Y217" s="194"/>
      <c r="Z217" s="194"/>
      <c r="AA217" s="194"/>
      <c r="AB217" s="194"/>
      <c r="AC217" s="194"/>
      <c r="AD217" s="194"/>
    </row>
    <row r="218" spans="17:30" x14ac:dyDescent="0.3">
      <c r="Q218" s="194"/>
      <c r="R218" s="194"/>
      <c r="S218" s="194"/>
      <c r="T218" s="194"/>
      <c r="U218" s="194"/>
      <c r="V218" s="194"/>
      <c r="W218" s="194"/>
      <c r="X218" s="194"/>
      <c r="Y218" s="194"/>
      <c r="Z218" s="194"/>
      <c r="AA218" s="194"/>
      <c r="AB218" s="194"/>
      <c r="AC218" s="194"/>
      <c r="AD218" s="194"/>
    </row>
    <row r="219" spans="17:30" x14ac:dyDescent="0.3">
      <c r="Q219" s="194"/>
      <c r="R219" s="194"/>
      <c r="S219" s="194"/>
      <c r="T219" s="194"/>
      <c r="U219" s="194"/>
      <c r="V219" s="194"/>
      <c r="W219" s="194"/>
      <c r="X219" s="194"/>
      <c r="Y219" s="194"/>
      <c r="Z219" s="194"/>
      <c r="AA219" s="194"/>
      <c r="AB219" s="194"/>
      <c r="AC219" s="194"/>
      <c r="AD219" s="194"/>
    </row>
    <row r="220" spans="17:30" x14ac:dyDescent="0.3">
      <c r="Q220" s="194"/>
      <c r="R220" s="194"/>
      <c r="S220" s="194"/>
      <c r="T220" s="194"/>
      <c r="U220" s="194"/>
      <c r="V220" s="194"/>
      <c r="W220" s="194"/>
      <c r="X220" s="194"/>
      <c r="Y220" s="194"/>
      <c r="Z220" s="194"/>
      <c r="AA220" s="194"/>
      <c r="AB220" s="194"/>
      <c r="AC220" s="194"/>
      <c r="AD220" s="194"/>
    </row>
    <row r="221" spans="17:30" x14ac:dyDescent="0.3">
      <c r="Q221" s="194"/>
      <c r="R221" s="194"/>
      <c r="S221" s="194"/>
      <c r="T221" s="194"/>
      <c r="U221" s="194"/>
      <c r="V221" s="194"/>
      <c r="W221" s="194"/>
      <c r="X221" s="194"/>
      <c r="Y221" s="194"/>
      <c r="Z221" s="194"/>
      <c r="AA221" s="194"/>
      <c r="AB221" s="194"/>
      <c r="AC221" s="194"/>
      <c r="AD221" s="194"/>
    </row>
    <row r="222" spans="17:30" x14ac:dyDescent="0.3">
      <c r="Q222" s="194"/>
      <c r="R222" s="194"/>
      <c r="S222" s="194"/>
      <c r="T222" s="194"/>
      <c r="U222" s="194"/>
      <c r="V222" s="194"/>
      <c r="W222" s="194"/>
      <c r="X222" s="194"/>
      <c r="Y222" s="194"/>
      <c r="Z222" s="194"/>
      <c r="AA222" s="194"/>
      <c r="AB222" s="194"/>
      <c r="AC222" s="194"/>
      <c r="AD222" s="194"/>
    </row>
    <row r="223" spans="17:30" x14ac:dyDescent="0.3">
      <c r="Q223" s="194"/>
      <c r="R223" s="194"/>
      <c r="S223" s="194"/>
      <c r="T223" s="194"/>
      <c r="U223" s="194"/>
      <c r="V223" s="194"/>
      <c r="W223" s="194"/>
      <c r="X223" s="194"/>
      <c r="Y223" s="194"/>
      <c r="Z223" s="194"/>
      <c r="AA223" s="194"/>
      <c r="AB223" s="194"/>
      <c r="AC223" s="194"/>
      <c r="AD223" s="194"/>
    </row>
    <row r="224" spans="17:30" x14ac:dyDescent="0.3">
      <c r="Q224" s="194"/>
      <c r="R224" s="194"/>
      <c r="S224" s="194"/>
      <c r="T224" s="194"/>
      <c r="U224" s="194"/>
      <c r="V224" s="194"/>
      <c r="W224" s="194"/>
      <c r="X224" s="194"/>
      <c r="Y224" s="194"/>
      <c r="Z224" s="194"/>
      <c r="AA224" s="194"/>
      <c r="AB224" s="194"/>
      <c r="AC224" s="194"/>
      <c r="AD224" s="194"/>
    </row>
    <row r="225" spans="17:30" x14ac:dyDescent="0.3">
      <c r="Q225" s="194"/>
      <c r="R225" s="194"/>
      <c r="S225" s="194"/>
      <c r="T225" s="194"/>
      <c r="U225" s="194"/>
      <c r="V225" s="194"/>
      <c r="W225" s="194"/>
      <c r="X225" s="194"/>
      <c r="Y225" s="194"/>
      <c r="Z225" s="194"/>
      <c r="AA225" s="194"/>
      <c r="AB225" s="194"/>
      <c r="AC225" s="194"/>
      <c r="AD225" s="194"/>
    </row>
    <row r="226" spans="17:30" x14ac:dyDescent="0.3">
      <c r="Q226" s="194"/>
      <c r="R226" s="194"/>
      <c r="S226" s="194"/>
      <c r="T226" s="194"/>
      <c r="U226" s="194"/>
      <c r="V226" s="194"/>
      <c r="W226" s="194"/>
      <c r="X226" s="194"/>
      <c r="Y226" s="194"/>
      <c r="Z226" s="194"/>
      <c r="AA226" s="194"/>
      <c r="AB226" s="194"/>
      <c r="AC226" s="194"/>
      <c r="AD226" s="194"/>
    </row>
    <row r="227" spans="17:30" x14ac:dyDescent="0.3">
      <c r="Q227" s="194"/>
      <c r="R227" s="194"/>
      <c r="S227" s="194"/>
      <c r="T227" s="194"/>
      <c r="U227" s="194"/>
      <c r="V227" s="194"/>
      <c r="W227" s="194"/>
      <c r="X227" s="194"/>
      <c r="Y227" s="194"/>
      <c r="Z227" s="194"/>
      <c r="AA227" s="194"/>
      <c r="AB227" s="194"/>
      <c r="AC227" s="194"/>
      <c r="AD227" s="194"/>
    </row>
    <row r="228" spans="17:30" x14ac:dyDescent="0.3">
      <c r="Q228" s="194"/>
      <c r="R228" s="194"/>
      <c r="S228" s="194"/>
      <c r="T228" s="194"/>
      <c r="U228" s="194"/>
      <c r="V228" s="194"/>
      <c r="W228" s="194"/>
      <c r="X228" s="194"/>
      <c r="Y228" s="194"/>
      <c r="Z228" s="194"/>
      <c r="AA228" s="194"/>
      <c r="AB228" s="194"/>
      <c r="AC228" s="194"/>
      <c r="AD228" s="194"/>
    </row>
    <row r="229" spans="17:30" x14ac:dyDescent="0.3">
      <c r="Q229" s="194"/>
      <c r="R229" s="194"/>
      <c r="S229" s="194"/>
      <c r="T229" s="194"/>
      <c r="U229" s="194"/>
      <c r="V229" s="194"/>
      <c r="W229" s="194"/>
      <c r="X229" s="194"/>
      <c r="Y229" s="194"/>
      <c r="Z229" s="194"/>
      <c r="AA229" s="194"/>
      <c r="AB229" s="194"/>
      <c r="AC229" s="194"/>
      <c r="AD229" s="194"/>
    </row>
    <row r="230" spans="17:30" x14ac:dyDescent="0.3">
      <c r="Q230" s="194"/>
      <c r="R230" s="194"/>
      <c r="S230" s="194"/>
      <c r="T230" s="194"/>
      <c r="U230" s="194"/>
      <c r="V230" s="194"/>
      <c r="W230" s="194"/>
      <c r="X230" s="194"/>
      <c r="Y230" s="194"/>
      <c r="Z230" s="194"/>
      <c r="AA230" s="194"/>
      <c r="AB230" s="194"/>
      <c r="AC230" s="194"/>
      <c r="AD230" s="194"/>
    </row>
    <row r="231" spans="17:30" x14ac:dyDescent="0.3">
      <c r="Q231" s="194"/>
      <c r="R231" s="194"/>
      <c r="S231" s="194"/>
      <c r="T231" s="194"/>
      <c r="U231" s="194"/>
      <c r="V231" s="194"/>
      <c r="W231" s="194"/>
      <c r="X231" s="194"/>
      <c r="Y231" s="194"/>
      <c r="Z231" s="194"/>
      <c r="AA231" s="194"/>
      <c r="AB231" s="194"/>
      <c r="AC231" s="194"/>
      <c r="AD231" s="194"/>
    </row>
    <row r="232" spans="17:30" x14ac:dyDescent="0.3">
      <c r="Q232" s="194"/>
      <c r="R232" s="194"/>
      <c r="S232" s="194"/>
      <c r="T232" s="194"/>
      <c r="U232" s="194"/>
      <c r="V232" s="194"/>
      <c r="W232" s="194"/>
      <c r="X232" s="194"/>
      <c r="Y232" s="194"/>
      <c r="Z232" s="194"/>
      <c r="AA232" s="194"/>
      <c r="AB232" s="194"/>
      <c r="AC232" s="194"/>
      <c r="AD232" s="194"/>
    </row>
    <row r="233" spans="17:30" x14ac:dyDescent="0.3">
      <c r="Q233" s="194"/>
      <c r="R233" s="194"/>
      <c r="S233" s="194"/>
      <c r="T233" s="194"/>
      <c r="U233" s="194"/>
      <c r="V233" s="194"/>
      <c r="W233" s="194"/>
      <c r="X233" s="194"/>
      <c r="Y233" s="194"/>
      <c r="Z233" s="194"/>
      <c r="AA233" s="194"/>
      <c r="AB233" s="194"/>
      <c r="AC233" s="194"/>
      <c r="AD233" s="194"/>
    </row>
    <row r="234" spans="17:30" x14ac:dyDescent="0.3">
      <c r="Q234" s="194"/>
      <c r="R234" s="194"/>
      <c r="S234" s="194"/>
      <c r="T234" s="194"/>
      <c r="U234" s="194"/>
      <c r="V234" s="194"/>
      <c r="W234" s="194"/>
      <c r="X234" s="194"/>
      <c r="Y234" s="194"/>
      <c r="Z234" s="194"/>
      <c r="AA234" s="194"/>
      <c r="AB234" s="194"/>
      <c r="AC234" s="194"/>
      <c r="AD234" s="194"/>
    </row>
    <row r="235" spans="17:30" x14ac:dyDescent="0.3">
      <c r="Q235" s="194"/>
      <c r="R235" s="194"/>
      <c r="S235" s="194"/>
      <c r="T235" s="194"/>
      <c r="U235" s="194"/>
      <c r="V235" s="194"/>
      <c r="W235" s="194"/>
      <c r="X235" s="194"/>
      <c r="Y235" s="194"/>
      <c r="Z235" s="194"/>
      <c r="AA235" s="194"/>
      <c r="AB235" s="194"/>
      <c r="AC235" s="194"/>
      <c r="AD235" s="194"/>
    </row>
    <row r="236" spans="17:30" x14ac:dyDescent="0.3">
      <c r="Q236" s="194"/>
      <c r="R236" s="194"/>
      <c r="S236" s="194"/>
      <c r="T236" s="194"/>
      <c r="U236" s="194"/>
      <c r="V236" s="194"/>
      <c r="W236" s="194"/>
      <c r="X236" s="194"/>
      <c r="Y236" s="194"/>
      <c r="Z236" s="194"/>
      <c r="AA236" s="194"/>
      <c r="AB236" s="194"/>
      <c r="AC236" s="194"/>
      <c r="AD236" s="194"/>
    </row>
    <row r="237" spans="17:30" x14ac:dyDescent="0.3">
      <c r="Q237" s="194"/>
      <c r="R237" s="194"/>
      <c r="S237" s="194"/>
      <c r="T237" s="194"/>
      <c r="U237" s="194"/>
      <c r="V237" s="194"/>
      <c r="W237" s="194"/>
      <c r="X237" s="194"/>
      <c r="Y237" s="194"/>
      <c r="Z237" s="194"/>
      <c r="AA237" s="194"/>
      <c r="AB237" s="194"/>
      <c r="AC237" s="194"/>
      <c r="AD237" s="194"/>
    </row>
    <row r="238" spans="17:30" x14ac:dyDescent="0.3">
      <c r="Q238" s="194"/>
      <c r="R238" s="194"/>
      <c r="S238" s="194"/>
      <c r="T238" s="194"/>
      <c r="U238" s="194"/>
      <c r="V238" s="194"/>
      <c r="W238" s="194"/>
      <c r="X238" s="194"/>
      <c r="Y238" s="194"/>
      <c r="Z238" s="194"/>
      <c r="AA238" s="194"/>
      <c r="AB238" s="194"/>
      <c r="AC238" s="194"/>
      <c r="AD238" s="194"/>
    </row>
    <row r="239" spans="17:30" x14ac:dyDescent="0.3">
      <c r="Q239" s="194"/>
      <c r="R239" s="194"/>
      <c r="S239" s="194"/>
      <c r="T239" s="194"/>
      <c r="U239" s="194"/>
      <c r="V239" s="194"/>
      <c r="W239" s="194"/>
      <c r="X239" s="194"/>
      <c r="Y239" s="194"/>
      <c r="Z239" s="194"/>
      <c r="AA239" s="194"/>
      <c r="AB239" s="194"/>
      <c r="AC239" s="194"/>
      <c r="AD239" s="194"/>
    </row>
    <row r="240" spans="17:30" x14ac:dyDescent="0.3">
      <c r="Q240" s="194"/>
      <c r="R240" s="194"/>
      <c r="S240" s="194"/>
      <c r="T240" s="194"/>
      <c r="U240" s="194"/>
      <c r="V240" s="194"/>
      <c r="W240" s="194"/>
      <c r="X240" s="194"/>
      <c r="Y240" s="194"/>
      <c r="Z240" s="194"/>
      <c r="AA240" s="194"/>
      <c r="AB240" s="194"/>
      <c r="AC240" s="194"/>
      <c r="AD240" s="194"/>
    </row>
    <row r="241" spans="17:30" x14ac:dyDescent="0.3">
      <c r="Q241" s="194"/>
      <c r="R241" s="194"/>
      <c r="S241" s="194"/>
      <c r="T241" s="194"/>
      <c r="U241" s="194"/>
      <c r="V241" s="194"/>
      <c r="W241" s="194"/>
      <c r="X241" s="194"/>
      <c r="Y241" s="194"/>
      <c r="Z241" s="194"/>
      <c r="AA241" s="194"/>
      <c r="AB241" s="194"/>
      <c r="AC241" s="194"/>
      <c r="AD241" s="194"/>
    </row>
    <row r="242" spans="17:30" x14ac:dyDescent="0.3">
      <c r="Q242" s="194"/>
      <c r="R242" s="194"/>
      <c r="S242" s="194"/>
      <c r="T242" s="194"/>
      <c r="U242" s="194"/>
      <c r="V242" s="194"/>
      <c r="W242" s="194"/>
      <c r="X242" s="194"/>
      <c r="Y242" s="194"/>
      <c r="Z242" s="194"/>
      <c r="AA242" s="194"/>
      <c r="AB242" s="194"/>
      <c r="AC242" s="194"/>
      <c r="AD242" s="194"/>
    </row>
    <row r="243" spans="17:30" x14ac:dyDescent="0.3">
      <c r="Q243" s="194"/>
      <c r="R243" s="194"/>
      <c r="S243" s="194"/>
      <c r="T243" s="194"/>
      <c r="U243" s="194"/>
      <c r="V243" s="194"/>
      <c r="W243" s="194"/>
      <c r="X243" s="194"/>
      <c r="Y243" s="194"/>
      <c r="Z243" s="194"/>
      <c r="AA243" s="194"/>
      <c r="AB243" s="194"/>
      <c r="AC243" s="194"/>
      <c r="AD243" s="194"/>
    </row>
    <row r="244" spans="17:30" x14ac:dyDescent="0.3">
      <c r="Q244" s="194"/>
      <c r="R244" s="194"/>
      <c r="S244" s="194"/>
      <c r="T244" s="194"/>
      <c r="U244" s="194"/>
      <c r="V244" s="194"/>
      <c r="W244" s="194"/>
      <c r="X244" s="194"/>
      <c r="Y244" s="194"/>
      <c r="Z244" s="194"/>
      <c r="AA244" s="194"/>
      <c r="AB244" s="194"/>
      <c r="AC244" s="194"/>
      <c r="AD244" s="194"/>
    </row>
    <row r="245" spans="17:30" x14ac:dyDescent="0.3">
      <c r="Q245" s="194"/>
      <c r="R245" s="194"/>
      <c r="S245" s="194"/>
      <c r="T245" s="194"/>
      <c r="U245" s="194"/>
      <c r="V245" s="194"/>
      <c r="W245" s="194"/>
      <c r="X245" s="194"/>
      <c r="Y245" s="194"/>
      <c r="Z245" s="194"/>
      <c r="AA245" s="194"/>
      <c r="AB245" s="194"/>
      <c r="AC245" s="194"/>
      <c r="AD245" s="194"/>
    </row>
    <row r="246" spans="17:30" x14ac:dyDescent="0.3">
      <c r="Q246" s="194"/>
      <c r="R246" s="194"/>
      <c r="S246" s="194"/>
      <c r="T246" s="194"/>
      <c r="U246" s="194"/>
      <c r="V246" s="194"/>
      <c r="W246" s="194"/>
      <c r="X246" s="194"/>
      <c r="Y246" s="194"/>
      <c r="Z246" s="194"/>
      <c r="AA246" s="194"/>
      <c r="AB246" s="194"/>
      <c r="AC246" s="194"/>
      <c r="AD246" s="194"/>
    </row>
    <row r="247" spans="17:30" x14ac:dyDescent="0.3">
      <c r="Q247" s="194"/>
      <c r="R247" s="194"/>
      <c r="S247" s="194"/>
      <c r="T247" s="194"/>
      <c r="U247" s="194"/>
      <c r="V247" s="194"/>
      <c r="W247" s="194"/>
      <c r="X247" s="194"/>
      <c r="Y247" s="194"/>
      <c r="Z247" s="194"/>
      <c r="AA247" s="194"/>
      <c r="AB247" s="194"/>
      <c r="AC247" s="194"/>
      <c r="AD247" s="194"/>
    </row>
    <row r="248" spans="17:30" x14ac:dyDescent="0.3">
      <c r="Q248" s="194"/>
      <c r="R248" s="194"/>
      <c r="S248" s="194"/>
      <c r="T248" s="194"/>
      <c r="U248" s="194"/>
      <c r="V248" s="194"/>
      <c r="W248" s="194"/>
      <c r="X248" s="194"/>
      <c r="Y248" s="194"/>
      <c r="Z248" s="194"/>
      <c r="AA248" s="194"/>
      <c r="AB248" s="194"/>
      <c r="AC248" s="194"/>
      <c r="AD248" s="194"/>
    </row>
    <row r="249" spans="17:30" x14ac:dyDescent="0.3">
      <c r="Q249" s="194"/>
      <c r="R249" s="194"/>
      <c r="S249" s="194"/>
      <c r="T249" s="194"/>
      <c r="U249" s="194"/>
      <c r="V249" s="194"/>
      <c r="W249" s="194"/>
      <c r="X249" s="194"/>
      <c r="Y249" s="194"/>
      <c r="Z249" s="194"/>
      <c r="AA249" s="194"/>
      <c r="AB249" s="194"/>
      <c r="AC249" s="194"/>
      <c r="AD249" s="194"/>
    </row>
    <row r="250" spans="17:30" x14ac:dyDescent="0.3">
      <c r="Q250" s="194"/>
      <c r="R250" s="194"/>
      <c r="S250" s="194"/>
      <c r="T250" s="194"/>
      <c r="U250" s="194"/>
      <c r="V250" s="194"/>
      <c r="W250" s="194"/>
      <c r="X250" s="194"/>
      <c r="Y250" s="194"/>
      <c r="Z250" s="194"/>
      <c r="AA250" s="194"/>
      <c r="AB250" s="194"/>
      <c r="AC250" s="194"/>
      <c r="AD250" s="194"/>
    </row>
    <row r="251" spans="17:30" x14ac:dyDescent="0.3">
      <c r="Q251" s="194"/>
      <c r="R251" s="194"/>
      <c r="S251" s="194"/>
      <c r="T251" s="194"/>
      <c r="U251" s="194"/>
      <c r="V251" s="194"/>
      <c r="W251" s="194"/>
      <c r="X251" s="194"/>
      <c r="Y251" s="194"/>
      <c r="Z251" s="194"/>
      <c r="AA251" s="194"/>
      <c r="AB251" s="194"/>
      <c r="AC251" s="194"/>
      <c r="AD251" s="194"/>
    </row>
    <row r="252" spans="17:30" x14ac:dyDescent="0.3">
      <c r="Q252" s="194"/>
      <c r="R252" s="194"/>
      <c r="S252" s="194"/>
      <c r="T252" s="194"/>
      <c r="U252" s="194"/>
      <c r="V252" s="194"/>
      <c r="W252" s="194"/>
      <c r="X252" s="194"/>
      <c r="Y252" s="194"/>
      <c r="Z252" s="194"/>
      <c r="AA252" s="194"/>
      <c r="AB252" s="194"/>
      <c r="AC252" s="194"/>
      <c r="AD252" s="194"/>
    </row>
    <row r="253" spans="17:30" x14ac:dyDescent="0.3">
      <c r="Q253" s="194"/>
      <c r="R253" s="194"/>
      <c r="S253" s="194"/>
      <c r="T253" s="194"/>
      <c r="U253" s="194"/>
      <c r="V253" s="194"/>
      <c r="W253" s="194"/>
      <c r="X253" s="194"/>
      <c r="Y253" s="194"/>
      <c r="Z253" s="194"/>
      <c r="AA253" s="194"/>
      <c r="AB253" s="194"/>
      <c r="AC253" s="194"/>
      <c r="AD253" s="194"/>
    </row>
    <row r="254" spans="17:30" x14ac:dyDescent="0.3">
      <c r="Q254" s="194"/>
      <c r="R254" s="194"/>
      <c r="S254" s="194"/>
      <c r="T254" s="194"/>
      <c r="U254" s="194"/>
      <c r="V254" s="194"/>
      <c r="W254" s="194"/>
      <c r="X254" s="194"/>
      <c r="Y254" s="194"/>
      <c r="Z254" s="194"/>
      <c r="AA254" s="194"/>
      <c r="AB254" s="194"/>
      <c r="AC254" s="194"/>
      <c r="AD254" s="194"/>
    </row>
    <row r="255" spans="17:30" x14ac:dyDescent="0.3">
      <c r="Q255" s="194"/>
      <c r="R255" s="194"/>
      <c r="S255" s="194"/>
      <c r="T255" s="194"/>
      <c r="U255" s="194"/>
      <c r="V255" s="194"/>
      <c r="W255" s="194"/>
      <c r="X255" s="194"/>
      <c r="Y255" s="194"/>
      <c r="Z255" s="194"/>
      <c r="AA255" s="194"/>
      <c r="AB255" s="194"/>
      <c r="AC255" s="194"/>
      <c r="AD255" s="194"/>
    </row>
    <row r="256" spans="17:30" x14ac:dyDescent="0.3">
      <c r="Q256" s="194"/>
      <c r="R256" s="194"/>
      <c r="S256" s="194"/>
      <c r="T256" s="194"/>
      <c r="U256" s="194"/>
      <c r="V256" s="194"/>
      <c r="W256" s="194"/>
      <c r="X256" s="194"/>
      <c r="Y256" s="194"/>
      <c r="Z256" s="194"/>
      <c r="AA256" s="194"/>
      <c r="AB256" s="194"/>
      <c r="AC256" s="194"/>
      <c r="AD256" s="194"/>
    </row>
    <row r="257" spans="17:30" x14ac:dyDescent="0.3">
      <c r="Q257" s="194"/>
      <c r="R257" s="194"/>
      <c r="S257" s="194"/>
      <c r="T257" s="194"/>
      <c r="U257" s="194"/>
      <c r="V257" s="194"/>
      <c r="W257" s="194"/>
      <c r="X257" s="194"/>
      <c r="Y257" s="194"/>
      <c r="Z257" s="194"/>
      <c r="AA257" s="194"/>
      <c r="AB257" s="194"/>
      <c r="AC257" s="194"/>
      <c r="AD257" s="194"/>
    </row>
    <row r="258" spans="17:30" x14ac:dyDescent="0.3">
      <c r="Q258" s="194"/>
      <c r="R258" s="194"/>
      <c r="S258" s="194"/>
      <c r="T258" s="194"/>
      <c r="U258" s="194"/>
      <c r="V258" s="194"/>
      <c r="W258" s="194"/>
      <c r="X258" s="194"/>
      <c r="Y258" s="194"/>
      <c r="Z258" s="194"/>
      <c r="AA258" s="194"/>
      <c r="AB258" s="194"/>
      <c r="AC258" s="194"/>
      <c r="AD258" s="194"/>
    </row>
    <row r="259" spans="17:30" x14ac:dyDescent="0.3">
      <c r="Q259" s="194"/>
      <c r="R259" s="194"/>
      <c r="S259" s="194"/>
      <c r="T259" s="194"/>
      <c r="U259" s="194"/>
      <c r="V259" s="194"/>
      <c r="W259" s="194"/>
      <c r="X259" s="194"/>
      <c r="Y259" s="194"/>
      <c r="Z259" s="194"/>
      <c r="AA259" s="194"/>
      <c r="AB259" s="194"/>
      <c r="AC259" s="194"/>
      <c r="AD259" s="194"/>
    </row>
    <row r="260" spans="17:30" x14ac:dyDescent="0.3">
      <c r="Q260" s="194"/>
      <c r="R260" s="194"/>
      <c r="S260" s="194"/>
      <c r="T260" s="194"/>
      <c r="U260" s="194"/>
      <c r="V260" s="194"/>
      <c r="W260" s="194"/>
      <c r="X260" s="194"/>
      <c r="Y260" s="194"/>
      <c r="Z260" s="194"/>
      <c r="AA260" s="194"/>
      <c r="AB260" s="194"/>
      <c r="AC260" s="194"/>
      <c r="AD260" s="194"/>
    </row>
    <row r="261" spans="17:30" x14ac:dyDescent="0.3">
      <c r="Q261" s="194"/>
      <c r="R261" s="194"/>
      <c r="S261" s="194"/>
      <c r="T261" s="194"/>
      <c r="U261" s="194"/>
      <c r="V261" s="194"/>
      <c r="W261" s="194"/>
      <c r="X261" s="194"/>
      <c r="Y261" s="194"/>
      <c r="Z261" s="194"/>
      <c r="AA261" s="194"/>
      <c r="AB261" s="194"/>
      <c r="AC261" s="194"/>
      <c r="AD261" s="194"/>
    </row>
    <row r="262" spans="17:30" x14ac:dyDescent="0.3">
      <c r="Q262" s="194"/>
      <c r="R262" s="194"/>
      <c r="S262" s="194"/>
      <c r="T262" s="194"/>
      <c r="U262" s="194"/>
      <c r="V262" s="194"/>
      <c r="W262" s="194"/>
      <c r="X262" s="194"/>
      <c r="Y262" s="194"/>
      <c r="Z262" s="194"/>
      <c r="AA262" s="194"/>
      <c r="AB262" s="194"/>
      <c r="AC262" s="194"/>
      <c r="AD262" s="194"/>
    </row>
    <row r="263" spans="17:30" x14ac:dyDescent="0.3">
      <c r="Q263" s="194"/>
      <c r="R263" s="194"/>
      <c r="S263" s="194"/>
      <c r="T263" s="194"/>
      <c r="U263" s="194"/>
      <c r="V263" s="194"/>
      <c r="W263" s="194"/>
      <c r="X263" s="194"/>
      <c r="Y263" s="194"/>
      <c r="Z263" s="194"/>
      <c r="AA263" s="194"/>
      <c r="AB263" s="194"/>
      <c r="AC263" s="194"/>
      <c r="AD263" s="194"/>
    </row>
    <row r="264" spans="17:30" x14ac:dyDescent="0.3">
      <c r="Q264" s="194"/>
      <c r="R264" s="194"/>
      <c r="S264" s="194"/>
      <c r="T264" s="194"/>
      <c r="U264" s="194"/>
      <c r="V264" s="194"/>
      <c r="W264" s="194"/>
      <c r="X264" s="194"/>
      <c r="Y264" s="194"/>
      <c r="Z264" s="194"/>
      <c r="AA264" s="194"/>
      <c r="AB264" s="194"/>
      <c r="AC264" s="194"/>
      <c r="AD264" s="194"/>
    </row>
    <row r="265" spans="17:30" x14ac:dyDescent="0.3">
      <c r="Q265" s="194"/>
      <c r="R265" s="194"/>
      <c r="S265" s="194"/>
      <c r="T265" s="194"/>
      <c r="U265" s="194"/>
      <c r="V265" s="194"/>
      <c r="W265" s="194"/>
      <c r="X265" s="194"/>
      <c r="Y265" s="194"/>
      <c r="Z265" s="194"/>
      <c r="AA265" s="194"/>
      <c r="AB265" s="194"/>
      <c r="AC265" s="194"/>
      <c r="AD265" s="194"/>
    </row>
    <row r="266" spans="17:30" x14ac:dyDescent="0.3">
      <c r="Q266" s="194"/>
      <c r="R266" s="194"/>
      <c r="S266" s="194"/>
      <c r="T266" s="194"/>
      <c r="U266" s="194"/>
      <c r="V266" s="194"/>
      <c r="W266" s="194"/>
      <c r="X266" s="194"/>
      <c r="Y266" s="194"/>
      <c r="Z266" s="194"/>
      <c r="AA266" s="194"/>
      <c r="AB266" s="194"/>
      <c r="AC266" s="194"/>
      <c r="AD266" s="194"/>
    </row>
    <row r="267" spans="17:30" x14ac:dyDescent="0.3">
      <c r="Q267" s="194"/>
      <c r="R267" s="194"/>
      <c r="S267" s="194"/>
      <c r="T267" s="194"/>
      <c r="U267" s="194"/>
      <c r="V267" s="194"/>
      <c r="W267" s="194"/>
      <c r="X267" s="194"/>
      <c r="Y267" s="194"/>
      <c r="Z267" s="194"/>
      <c r="AA267" s="194"/>
      <c r="AB267" s="194"/>
      <c r="AC267" s="194"/>
      <c r="AD267" s="194"/>
    </row>
    <row r="268" spans="17:30" x14ac:dyDescent="0.3">
      <c r="Q268" s="194"/>
      <c r="R268" s="194"/>
      <c r="S268" s="194"/>
      <c r="T268" s="194"/>
      <c r="U268" s="194"/>
      <c r="V268" s="194"/>
      <c r="W268" s="194"/>
      <c r="X268" s="194"/>
      <c r="Y268" s="194"/>
      <c r="Z268" s="194"/>
      <c r="AA268" s="194"/>
      <c r="AB268" s="194"/>
      <c r="AC268" s="194"/>
      <c r="AD268" s="194"/>
    </row>
    <row r="269" spans="17:30" x14ac:dyDescent="0.3">
      <c r="Q269" s="194"/>
      <c r="R269" s="194"/>
      <c r="S269" s="194"/>
      <c r="T269" s="194"/>
      <c r="U269" s="194"/>
      <c r="V269" s="194"/>
      <c r="W269" s="194"/>
      <c r="X269" s="194"/>
      <c r="Y269" s="194"/>
      <c r="Z269" s="194"/>
      <c r="AA269" s="194"/>
      <c r="AB269" s="194"/>
      <c r="AC269" s="194"/>
      <c r="AD269" s="194"/>
    </row>
    <row r="270" spans="17:30" x14ac:dyDescent="0.3">
      <c r="Q270" s="194"/>
      <c r="R270" s="194"/>
      <c r="S270" s="194"/>
      <c r="T270" s="194"/>
      <c r="U270" s="194"/>
      <c r="V270" s="194"/>
      <c r="W270" s="194"/>
      <c r="X270" s="194"/>
      <c r="Y270" s="194"/>
      <c r="Z270" s="194"/>
      <c r="AA270" s="194"/>
      <c r="AB270" s="194"/>
      <c r="AC270" s="194"/>
      <c r="AD270" s="194"/>
    </row>
    <row r="271" spans="17:30" x14ac:dyDescent="0.3">
      <c r="Q271" s="194"/>
      <c r="R271" s="194"/>
      <c r="S271" s="194"/>
      <c r="T271" s="194"/>
      <c r="U271" s="194"/>
      <c r="V271" s="194"/>
      <c r="W271" s="194"/>
      <c r="X271" s="194"/>
      <c r="Y271" s="194"/>
      <c r="Z271" s="194"/>
      <c r="AA271" s="194"/>
      <c r="AB271" s="194"/>
      <c r="AC271" s="194"/>
      <c r="AD271" s="194"/>
    </row>
    <row r="272" spans="17:30" x14ac:dyDescent="0.3">
      <c r="Q272" s="194"/>
      <c r="R272" s="194"/>
      <c r="S272" s="194"/>
      <c r="T272" s="194"/>
      <c r="U272" s="194"/>
      <c r="V272" s="194"/>
      <c r="W272" s="194"/>
      <c r="X272" s="194"/>
      <c r="Y272" s="194"/>
      <c r="Z272" s="194"/>
      <c r="AA272" s="194"/>
      <c r="AB272" s="194"/>
      <c r="AC272" s="194"/>
      <c r="AD272" s="194"/>
    </row>
    <row r="273" spans="17:30" x14ac:dyDescent="0.3">
      <c r="Q273" s="194"/>
      <c r="R273" s="194"/>
      <c r="S273" s="194"/>
      <c r="T273" s="194"/>
      <c r="U273" s="194"/>
      <c r="V273" s="194"/>
      <c r="W273" s="194"/>
      <c r="X273" s="194"/>
      <c r="Y273" s="194"/>
      <c r="Z273" s="194"/>
      <c r="AA273" s="194"/>
      <c r="AB273" s="194"/>
      <c r="AC273" s="194"/>
      <c r="AD273" s="194"/>
    </row>
    <row r="274" spans="17:30" x14ac:dyDescent="0.3">
      <c r="Q274" s="194"/>
      <c r="R274" s="194"/>
      <c r="S274" s="194"/>
      <c r="T274" s="194"/>
      <c r="U274" s="194"/>
      <c r="V274" s="194"/>
      <c r="W274" s="194"/>
      <c r="X274" s="194"/>
      <c r="Y274" s="194"/>
      <c r="Z274" s="194"/>
      <c r="AA274" s="194"/>
      <c r="AB274" s="194"/>
      <c r="AC274" s="194"/>
      <c r="AD274" s="194"/>
    </row>
    <row r="275" spans="17:30" x14ac:dyDescent="0.3">
      <c r="Q275" s="194"/>
      <c r="R275" s="194"/>
      <c r="S275" s="194"/>
      <c r="T275" s="194"/>
      <c r="U275" s="194"/>
      <c r="V275" s="194"/>
      <c r="W275" s="194"/>
      <c r="X275" s="194"/>
      <c r="Y275" s="194"/>
      <c r="Z275" s="194"/>
      <c r="AA275" s="194"/>
      <c r="AB275" s="194"/>
      <c r="AC275" s="194"/>
      <c r="AD275" s="194"/>
    </row>
    <row r="276" spans="17:30" x14ac:dyDescent="0.3">
      <c r="Q276" s="194"/>
      <c r="R276" s="194"/>
      <c r="S276" s="194"/>
      <c r="T276" s="194"/>
      <c r="U276" s="194"/>
      <c r="V276" s="194"/>
      <c r="W276" s="194"/>
      <c r="X276" s="194"/>
      <c r="Y276" s="194"/>
      <c r="Z276" s="194"/>
      <c r="AA276" s="194"/>
      <c r="AB276" s="194"/>
      <c r="AC276" s="194"/>
      <c r="AD276" s="194"/>
    </row>
    <row r="277" spans="17:30" x14ac:dyDescent="0.3">
      <c r="Q277" s="194"/>
      <c r="R277" s="194"/>
      <c r="S277" s="194"/>
      <c r="T277" s="194"/>
      <c r="U277" s="194"/>
      <c r="V277" s="194"/>
      <c r="W277" s="194"/>
      <c r="X277" s="194"/>
      <c r="Y277" s="194"/>
      <c r="Z277" s="194"/>
      <c r="AA277" s="194"/>
      <c r="AB277" s="194"/>
      <c r="AC277" s="194"/>
      <c r="AD277" s="194"/>
    </row>
    <row r="278" spans="17:30" x14ac:dyDescent="0.3">
      <c r="Q278" s="194"/>
      <c r="R278" s="194"/>
      <c r="S278" s="194"/>
      <c r="T278" s="194"/>
      <c r="U278" s="194"/>
      <c r="V278" s="194"/>
      <c r="W278" s="194"/>
      <c r="X278" s="194"/>
      <c r="Y278" s="194"/>
      <c r="Z278" s="194"/>
      <c r="AA278" s="194"/>
      <c r="AB278" s="194"/>
      <c r="AC278" s="194"/>
      <c r="AD278" s="194"/>
    </row>
    <row r="279" spans="17:30" x14ac:dyDescent="0.3">
      <c r="Q279" s="194"/>
      <c r="R279" s="194"/>
      <c r="S279" s="194"/>
      <c r="T279" s="194"/>
      <c r="U279" s="194"/>
      <c r="V279" s="194"/>
      <c r="W279" s="194"/>
      <c r="X279" s="194"/>
      <c r="Y279" s="194"/>
      <c r="Z279" s="194"/>
      <c r="AA279" s="194"/>
      <c r="AB279" s="194"/>
      <c r="AC279" s="194"/>
      <c r="AD279" s="194"/>
    </row>
    <row r="280" spans="17:30" x14ac:dyDescent="0.3">
      <c r="Q280" s="194"/>
      <c r="R280" s="194"/>
      <c r="S280" s="194"/>
      <c r="T280" s="194"/>
      <c r="U280" s="194"/>
      <c r="V280" s="194"/>
      <c r="W280" s="194"/>
      <c r="X280" s="194"/>
      <c r="Y280" s="194"/>
      <c r="Z280" s="194"/>
      <c r="AA280" s="194"/>
      <c r="AB280" s="194"/>
      <c r="AC280" s="194"/>
      <c r="AD280" s="194"/>
    </row>
    <row r="281" spans="17:30" x14ac:dyDescent="0.3">
      <c r="Q281" s="194"/>
      <c r="R281" s="194"/>
      <c r="S281" s="194"/>
      <c r="T281" s="194"/>
      <c r="U281" s="194"/>
      <c r="V281" s="194"/>
      <c r="W281" s="194"/>
      <c r="X281" s="194"/>
      <c r="Y281" s="194"/>
      <c r="Z281" s="194"/>
      <c r="AA281" s="194"/>
      <c r="AB281" s="194"/>
      <c r="AC281" s="194"/>
      <c r="AD281" s="194"/>
    </row>
    <row r="282" spans="17:30" x14ac:dyDescent="0.3">
      <c r="Q282" s="194"/>
      <c r="R282" s="194"/>
      <c r="S282" s="194"/>
      <c r="T282" s="194"/>
      <c r="U282" s="194"/>
      <c r="V282" s="194"/>
      <c r="W282" s="194"/>
      <c r="X282" s="194"/>
      <c r="Y282" s="194"/>
      <c r="Z282" s="194"/>
      <c r="AA282" s="194"/>
      <c r="AB282" s="194"/>
      <c r="AC282" s="194"/>
      <c r="AD282" s="194"/>
    </row>
    <row r="283" spans="17:30" x14ac:dyDescent="0.3">
      <c r="Q283" s="194"/>
      <c r="R283" s="194"/>
      <c r="S283" s="194"/>
      <c r="T283" s="194"/>
      <c r="U283" s="194"/>
      <c r="V283" s="194"/>
      <c r="W283" s="194"/>
      <c r="X283" s="194"/>
      <c r="Y283" s="194"/>
      <c r="Z283" s="194"/>
      <c r="AA283" s="194"/>
      <c r="AB283" s="194"/>
      <c r="AC283" s="194"/>
      <c r="AD283" s="194"/>
    </row>
    <row r="284" spans="17:30" x14ac:dyDescent="0.3">
      <c r="Q284" s="194"/>
      <c r="R284" s="194"/>
      <c r="S284" s="194"/>
      <c r="T284" s="194"/>
      <c r="U284" s="194"/>
      <c r="V284" s="194"/>
      <c r="W284" s="194"/>
      <c r="X284" s="194"/>
      <c r="Y284" s="194"/>
      <c r="Z284" s="194"/>
      <c r="AA284" s="194"/>
      <c r="AB284" s="194"/>
      <c r="AC284" s="194"/>
      <c r="AD284" s="194"/>
    </row>
    <row r="285" spans="17:30" x14ac:dyDescent="0.3">
      <c r="Q285" s="194"/>
      <c r="R285" s="194"/>
      <c r="S285" s="194"/>
      <c r="T285" s="194"/>
      <c r="U285" s="194"/>
      <c r="V285" s="194"/>
      <c r="W285" s="194"/>
      <c r="X285" s="194"/>
      <c r="Y285" s="194"/>
      <c r="Z285" s="194"/>
      <c r="AA285" s="194"/>
      <c r="AB285" s="194"/>
      <c r="AC285" s="194"/>
      <c r="AD285" s="194"/>
    </row>
    <row r="286" spans="17:30" x14ac:dyDescent="0.3">
      <c r="Q286" s="194"/>
      <c r="R286" s="194"/>
      <c r="S286" s="194"/>
      <c r="T286" s="194"/>
      <c r="U286" s="194"/>
      <c r="V286" s="194"/>
      <c r="W286" s="194"/>
      <c r="X286" s="194"/>
      <c r="Y286" s="194"/>
      <c r="Z286" s="194"/>
      <c r="AA286" s="194"/>
      <c r="AB286" s="194"/>
      <c r="AC286" s="194"/>
      <c r="AD286" s="194"/>
    </row>
    <row r="287" spans="17:30" x14ac:dyDescent="0.3">
      <c r="Q287" s="194"/>
      <c r="R287" s="194"/>
      <c r="S287" s="194"/>
      <c r="T287" s="194"/>
      <c r="U287" s="194"/>
      <c r="V287" s="194"/>
      <c r="W287" s="194"/>
      <c r="X287" s="194"/>
      <c r="Y287" s="194"/>
      <c r="Z287" s="194"/>
      <c r="AA287" s="194"/>
      <c r="AB287" s="194"/>
      <c r="AC287" s="194"/>
      <c r="AD287" s="194"/>
    </row>
    <row r="288" spans="17:30" x14ac:dyDescent="0.3">
      <c r="Q288" s="194"/>
      <c r="R288" s="194"/>
      <c r="S288" s="194"/>
      <c r="T288" s="194"/>
      <c r="U288" s="194"/>
      <c r="V288" s="194"/>
      <c r="W288" s="194"/>
      <c r="X288" s="194"/>
      <c r="Y288" s="194"/>
      <c r="Z288" s="194"/>
      <c r="AA288" s="194"/>
      <c r="AB288" s="194"/>
      <c r="AC288" s="194"/>
      <c r="AD288" s="194"/>
    </row>
    <row r="289" spans="17:30" x14ac:dyDescent="0.3">
      <c r="Q289" s="194"/>
      <c r="R289" s="194"/>
      <c r="S289" s="194"/>
      <c r="T289" s="194"/>
      <c r="U289" s="194"/>
      <c r="V289" s="194"/>
      <c r="W289" s="194"/>
      <c r="X289" s="194"/>
      <c r="Y289" s="194"/>
      <c r="Z289" s="194"/>
      <c r="AA289" s="194"/>
      <c r="AB289" s="194"/>
      <c r="AC289" s="194"/>
      <c r="AD289" s="194"/>
    </row>
    <row r="290" spans="17:30" x14ac:dyDescent="0.3">
      <c r="Q290" s="194"/>
      <c r="R290" s="194"/>
      <c r="S290" s="194"/>
      <c r="T290" s="194"/>
      <c r="U290" s="194"/>
      <c r="V290" s="194"/>
      <c r="W290" s="194"/>
      <c r="X290" s="194"/>
      <c r="Y290" s="194"/>
      <c r="Z290" s="194"/>
      <c r="AA290" s="194"/>
      <c r="AB290" s="194"/>
      <c r="AC290" s="194"/>
      <c r="AD290" s="194"/>
    </row>
    <row r="291" spans="17:30" x14ac:dyDescent="0.3">
      <c r="Q291" s="194"/>
      <c r="R291" s="194"/>
      <c r="S291" s="194"/>
      <c r="T291" s="194"/>
      <c r="U291" s="194"/>
      <c r="V291" s="194"/>
      <c r="W291" s="194"/>
      <c r="X291" s="194"/>
      <c r="Y291" s="194"/>
      <c r="Z291" s="194"/>
      <c r="AA291" s="194"/>
      <c r="AB291" s="194"/>
      <c r="AC291" s="194"/>
      <c r="AD291" s="194"/>
    </row>
    <row r="292" spans="17:30" x14ac:dyDescent="0.3">
      <c r="Q292" s="194"/>
      <c r="R292" s="194"/>
      <c r="S292" s="194"/>
      <c r="T292" s="194"/>
      <c r="U292" s="194"/>
      <c r="V292" s="194"/>
      <c r="W292" s="194"/>
      <c r="X292" s="194"/>
      <c r="Y292" s="194"/>
      <c r="Z292" s="194"/>
      <c r="AA292" s="194"/>
      <c r="AB292" s="194"/>
      <c r="AC292" s="194"/>
      <c r="AD292" s="194"/>
    </row>
    <row r="293" spans="17:30" x14ac:dyDescent="0.3">
      <c r="Q293" s="194"/>
      <c r="R293" s="194"/>
      <c r="S293" s="194"/>
      <c r="T293" s="194"/>
      <c r="U293" s="194"/>
      <c r="V293" s="194"/>
      <c r="W293" s="194"/>
      <c r="X293" s="194"/>
      <c r="Y293" s="194"/>
      <c r="Z293" s="194"/>
      <c r="AA293" s="194"/>
      <c r="AB293" s="194"/>
      <c r="AC293" s="194"/>
      <c r="AD293" s="194"/>
    </row>
    <row r="294" spans="17:30" x14ac:dyDescent="0.3">
      <c r="Q294" s="194"/>
      <c r="R294" s="194"/>
      <c r="S294" s="194"/>
      <c r="T294" s="194"/>
      <c r="U294" s="194"/>
      <c r="V294" s="194"/>
      <c r="W294" s="194"/>
      <c r="X294" s="194"/>
      <c r="Y294" s="194"/>
      <c r="Z294" s="194"/>
      <c r="AA294" s="194"/>
      <c r="AB294" s="194"/>
      <c r="AC294" s="194"/>
      <c r="AD294" s="194"/>
    </row>
    <row r="295" spans="17:30" x14ac:dyDescent="0.3">
      <c r="Q295" s="194"/>
      <c r="R295" s="194"/>
      <c r="S295" s="194"/>
      <c r="T295" s="194"/>
      <c r="U295" s="194"/>
      <c r="V295" s="194"/>
      <c r="W295" s="194"/>
      <c r="X295" s="194"/>
      <c r="Y295" s="194"/>
      <c r="Z295" s="194"/>
      <c r="AA295" s="194"/>
      <c r="AB295" s="194"/>
      <c r="AC295" s="194"/>
      <c r="AD295" s="194"/>
    </row>
    <row r="296" spans="17:30" x14ac:dyDescent="0.3">
      <c r="Q296" s="194"/>
      <c r="R296" s="194"/>
      <c r="S296" s="194"/>
      <c r="T296" s="194"/>
      <c r="U296" s="194"/>
      <c r="V296" s="194"/>
      <c r="W296" s="194"/>
      <c r="X296" s="194"/>
      <c r="Y296" s="194"/>
      <c r="Z296" s="194"/>
      <c r="AA296" s="194"/>
      <c r="AB296" s="194"/>
      <c r="AC296" s="194"/>
      <c r="AD296" s="194"/>
    </row>
    <row r="297" spans="17:30" x14ac:dyDescent="0.3">
      <c r="Q297" s="194"/>
      <c r="R297" s="194"/>
      <c r="S297" s="194"/>
      <c r="T297" s="194"/>
      <c r="U297" s="194"/>
      <c r="V297" s="194"/>
      <c r="W297" s="194"/>
      <c r="X297" s="194"/>
      <c r="Y297" s="194"/>
      <c r="Z297" s="194"/>
      <c r="AA297" s="194"/>
      <c r="AB297" s="194"/>
      <c r="AC297" s="194"/>
      <c r="AD297" s="194"/>
    </row>
    <row r="298" spans="17:30" x14ac:dyDescent="0.3">
      <c r="Q298" s="194"/>
      <c r="R298" s="194"/>
      <c r="S298" s="194"/>
      <c r="T298" s="194"/>
      <c r="U298" s="194"/>
      <c r="V298" s="194"/>
      <c r="W298" s="194"/>
      <c r="X298" s="194"/>
      <c r="Y298" s="194"/>
      <c r="Z298" s="194"/>
      <c r="AA298" s="194"/>
      <c r="AB298" s="194"/>
      <c r="AC298" s="194"/>
      <c r="AD298" s="194"/>
    </row>
    <row r="299" spans="17:30" x14ac:dyDescent="0.3">
      <c r="Q299" s="194"/>
      <c r="R299" s="194"/>
      <c r="S299" s="194"/>
      <c r="T299" s="194"/>
      <c r="U299" s="194"/>
      <c r="V299" s="194"/>
      <c r="W299" s="194"/>
      <c r="X299" s="194"/>
      <c r="Y299" s="194"/>
      <c r="Z299" s="194"/>
      <c r="AA299" s="194"/>
      <c r="AB299" s="194"/>
      <c r="AC299" s="194"/>
      <c r="AD299" s="194"/>
    </row>
    <row r="300" spans="17:30" x14ac:dyDescent="0.3">
      <c r="Q300" s="194"/>
      <c r="R300" s="194"/>
      <c r="S300" s="194"/>
      <c r="T300" s="194"/>
      <c r="U300" s="194"/>
      <c r="V300" s="194"/>
      <c r="W300" s="194"/>
      <c r="X300" s="194"/>
      <c r="Y300" s="194"/>
      <c r="Z300" s="194"/>
      <c r="AA300" s="194"/>
      <c r="AB300" s="194"/>
      <c r="AC300" s="194"/>
      <c r="AD300" s="194"/>
    </row>
    <row r="301" spans="17:30" x14ac:dyDescent="0.3">
      <c r="Q301" s="194"/>
      <c r="R301" s="194"/>
      <c r="S301" s="194"/>
      <c r="T301" s="194"/>
      <c r="U301" s="194"/>
      <c r="V301" s="194"/>
      <c r="W301" s="194"/>
      <c r="X301" s="194"/>
      <c r="Y301" s="194"/>
      <c r="Z301" s="194"/>
      <c r="AA301" s="194"/>
      <c r="AB301" s="194"/>
      <c r="AC301" s="194"/>
      <c r="AD301" s="194"/>
    </row>
    <row r="302" spans="17:30" x14ac:dyDescent="0.3">
      <c r="Q302" s="194"/>
      <c r="R302" s="194"/>
      <c r="S302" s="194"/>
      <c r="T302" s="194"/>
      <c r="U302" s="194"/>
      <c r="V302" s="194"/>
      <c r="W302" s="194"/>
      <c r="X302" s="194"/>
      <c r="Y302" s="194"/>
      <c r="Z302" s="194"/>
      <c r="AA302" s="194"/>
      <c r="AB302" s="194"/>
      <c r="AC302" s="194"/>
      <c r="AD302" s="194"/>
    </row>
    <row r="303" spans="17:30" x14ac:dyDescent="0.3">
      <c r="Q303" s="194"/>
      <c r="R303" s="194"/>
      <c r="S303" s="194"/>
      <c r="T303" s="194"/>
      <c r="U303" s="194"/>
      <c r="V303" s="194"/>
      <c r="W303" s="194"/>
      <c r="X303" s="194"/>
      <c r="Y303" s="194"/>
      <c r="Z303" s="194"/>
      <c r="AA303" s="194"/>
      <c r="AB303" s="194"/>
      <c r="AC303" s="194"/>
      <c r="AD303" s="194"/>
    </row>
  </sheetData>
  <mergeCells count="85">
    <mergeCell ref="A61:A62"/>
    <mergeCell ref="B61:B62"/>
    <mergeCell ref="A55:A56"/>
    <mergeCell ref="B55:B56"/>
    <mergeCell ref="C55:P55"/>
    <mergeCell ref="A57:A58"/>
    <mergeCell ref="B57:B58"/>
    <mergeCell ref="A59:A60"/>
    <mergeCell ref="B59:B60"/>
    <mergeCell ref="A40:A41"/>
    <mergeCell ref="B40:B41"/>
    <mergeCell ref="A36:A37"/>
    <mergeCell ref="B36:B37"/>
    <mergeCell ref="C36:P36"/>
    <mergeCell ref="AA34:AD35"/>
    <mergeCell ref="Q36:AD36"/>
    <mergeCell ref="Q37:AD37"/>
    <mergeCell ref="A38:A39"/>
    <mergeCell ref="B38:B39"/>
    <mergeCell ref="Q38:AD39"/>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A15:B15"/>
    <mergeCell ref="C15:K15"/>
    <mergeCell ref="L15:Q15"/>
    <mergeCell ref="R15:X15"/>
    <mergeCell ref="Y15:Z15"/>
    <mergeCell ref="A19:AD19"/>
    <mergeCell ref="C20:P20"/>
    <mergeCell ref="AB4:AD4"/>
    <mergeCell ref="A11:B13"/>
    <mergeCell ref="C11:AD13"/>
    <mergeCell ref="A7:B9"/>
    <mergeCell ref="C7:C9"/>
    <mergeCell ref="D7:H9"/>
    <mergeCell ref="AA15:AD15"/>
    <mergeCell ref="C16:AB16"/>
    <mergeCell ref="A17:B17"/>
    <mergeCell ref="C17:Q17"/>
    <mergeCell ref="R17:V17"/>
    <mergeCell ref="W17:X17"/>
    <mergeCell ref="Y17:AB17"/>
    <mergeCell ref="AC17:AD17"/>
    <mergeCell ref="Q40:AD41"/>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phoneticPr fontId="69" type="noConversion"/>
  <dataValidations count="3">
    <dataValidation type="textLength" operator="lessThanOrEqual" allowBlank="1" showInputMessage="1" showErrorMessage="1" errorTitle="Máximo 2.000 caracteres" error="Máximo 2.000 caracteres" sqref="AA34 Q34 W34 Q38:AD39 Q40"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theme="7" tint="0.39997558519241921"/>
    <pageSetUpPr fitToPage="1"/>
  </sheetPr>
  <dimension ref="A1:AY23"/>
  <sheetViews>
    <sheetView view="pageBreakPreview" topLeftCell="L16" zoomScale="60" zoomScaleNormal="60" workbookViewId="0">
      <selection activeCell="AV16" sqref="AV16"/>
    </sheetView>
  </sheetViews>
  <sheetFormatPr baseColWidth="10" defaultColWidth="10.6640625" defaultRowHeight="13.8" x14ac:dyDescent="0.3"/>
  <cols>
    <col min="1" max="1" width="10.109375" style="108" customWidth="1"/>
    <col min="2" max="2" width="10" style="108" customWidth="1"/>
    <col min="3" max="3" width="26.44140625" style="108" customWidth="1"/>
    <col min="4" max="6" width="8.33203125" style="108" customWidth="1"/>
    <col min="7" max="8" width="14.6640625" style="108" customWidth="1"/>
    <col min="9" max="9" width="32.44140625" style="108" customWidth="1"/>
    <col min="10" max="10" width="35.109375" style="108" customWidth="1"/>
    <col min="11" max="11" width="16.6640625" style="108" customWidth="1"/>
    <col min="12" max="13" width="15.33203125" style="108" customWidth="1"/>
    <col min="14" max="14" width="25.109375" style="108" customWidth="1"/>
    <col min="15" max="19" width="8.6640625" style="108" customWidth="1"/>
    <col min="20" max="20" width="22.33203125" style="108" customWidth="1"/>
    <col min="21" max="21" width="17" style="108" customWidth="1"/>
    <col min="22" max="27" width="5.6640625" style="108" customWidth="1"/>
    <col min="28" max="28" width="6" style="108" customWidth="1"/>
    <col min="29" max="45" width="5.6640625" style="108" customWidth="1"/>
    <col min="46" max="46" width="17.109375" style="108" customWidth="1"/>
    <col min="47" max="47" width="15.6640625" style="160" customWidth="1"/>
    <col min="48" max="48" width="25.6640625" style="108" customWidth="1"/>
    <col min="49" max="49" width="41" style="108" customWidth="1"/>
    <col min="50" max="51" width="24.44140625" style="108" customWidth="1"/>
    <col min="52" max="16384" width="10.6640625" style="108"/>
  </cols>
  <sheetData>
    <row r="1" spans="1:51" ht="15.75" customHeight="1" x14ac:dyDescent="0.3">
      <c r="A1" s="980" t="s">
        <v>0</v>
      </c>
      <c r="B1" s="981"/>
      <c r="C1" s="981"/>
      <c r="D1" s="981"/>
      <c r="E1" s="981"/>
      <c r="F1" s="981"/>
      <c r="G1" s="981"/>
      <c r="H1" s="981"/>
      <c r="I1" s="981"/>
      <c r="J1" s="981"/>
      <c r="K1" s="981"/>
      <c r="L1" s="981"/>
      <c r="M1" s="981"/>
      <c r="N1" s="981"/>
      <c r="O1" s="981"/>
      <c r="P1" s="981"/>
      <c r="Q1" s="981"/>
      <c r="R1" s="981"/>
      <c r="S1" s="981"/>
      <c r="T1" s="981"/>
      <c r="U1" s="981"/>
      <c r="V1" s="981"/>
      <c r="W1" s="981"/>
      <c r="X1" s="981"/>
      <c r="Y1" s="981"/>
      <c r="Z1" s="981"/>
      <c r="AA1" s="981"/>
      <c r="AB1" s="981"/>
      <c r="AC1" s="981"/>
      <c r="AD1" s="981"/>
      <c r="AE1" s="981"/>
      <c r="AF1" s="981"/>
      <c r="AG1" s="981"/>
      <c r="AH1" s="981"/>
      <c r="AI1" s="981"/>
      <c r="AJ1" s="981"/>
      <c r="AK1" s="981"/>
      <c r="AL1" s="981"/>
      <c r="AM1" s="981"/>
      <c r="AN1" s="981"/>
      <c r="AO1" s="981"/>
      <c r="AP1" s="981"/>
      <c r="AQ1" s="981"/>
      <c r="AR1" s="981"/>
      <c r="AS1" s="981"/>
      <c r="AT1" s="981"/>
      <c r="AU1" s="981"/>
      <c r="AV1" s="981"/>
      <c r="AW1" s="982"/>
      <c r="AX1" s="721" t="s">
        <v>1</v>
      </c>
      <c r="AY1" s="722"/>
    </row>
    <row r="2" spans="1:51" ht="15.75" customHeight="1" x14ac:dyDescent="0.3">
      <c r="A2" s="983" t="s">
        <v>2</v>
      </c>
      <c r="B2" s="984"/>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c r="AK2" s="984"/>
      <c r="AL2" s="984"/>
      <c r="AM2" s="984"/>
      <c r="AN2" s="984"/>
      <c r="AO2" s="984"/>
      <c r="AP2" s="984"/>
      <c r="AQ2" s="984"/>
      <c r="AR2" s="984"/>
      <c r="AS2" s="984"/>
      <c r="AT2" s="984"/>
      <c r="AU2" s="984"/>
      <c r="AV2" s="984"/>
      <c r="AW2" s="985"/>
      <c r="AX2" s="997" t="s">
        <v>3</v>
      </c>
      <c r="AY2" s="998"/>
    </row>
    <row r="3" spans="1:51" ht="15" customHeight="1" x14ac:dyDescent="0.3">
      <c r="A3" s="974" t="s">
        <v>182</v>
      </c>
      <c r="B3" s="975"/>
      <c r="C3" s="975"/>
      <c r="D3" s="975"/>
      <c r="E3" s="975"/>
      <c r="F3" s="975"/>
      <c r="G3" s="975"/>
      <c r="H3" s="975"/>
      <c r="I3" s="975"/>
      <c r="J3" s="975"/>
      <c r="K3" s="975"/>
      <c r="L3" s="975"/>
      <c r="M3" s="975"/>
      <c r="N3" s="975"/>
      <c r="O3" s="975"/>
      <c r="P3" s="975"/>
      <c r="Q3" s="975"/>
      <c r="R3" s="975"/>
      <c r="S3" s="975"/>
      <c r="T3" s="975"/>
      <c r="U3" s="975"/>
      <c r="V3" s="975"/>
      <c r="W3" s="975"/>
      <c r="X3" s="975"/>
      <c r="Y3" s="975"/>
      <c r="Z3" s="975"/>
      <c r="AA3" s="975"/>
      <c r="AB3" s="975"/>
      <c r="AC3" s="975"/>
      <c r="AD3" s="975"/>
      <c r="AE3" s="975"/>
      <c r="AF3" s="975"/>
      <c r="AG3" s="975"/>
      <c r="AH3" s="975"/>
      <c r="AI3" s="975"/>
      <c r="AJ3" s="975"/>
      <c r="AK3" s="975"/>
      <c r="AL3" s="975"/>
      <c r="AM3" s="975"/>
      <c r="AN3" s="975"/>
      <c r="AO3" s="975"/>
      <c r="AP3" s="975"/>
      <c r="AQ3" s="975"/>
      <c r="AR3" s="975"/>
      <c r="AS3" s="975"/>
      <c r="AT3" s="975"/>
      <c r="AU3" s="975"/>
      <c r="AV3" s="975"/>
      <c r="AW3" s="976"/>
      <c r="AX3" s="997" t="s">
        <v>5</v>
      </c>
      <c r="AY3" s="998"/>
    </row>
    <row r="4" spans="1:51" ht="15.75" customHeight="1" x14ac:dyDescent="0.3">
      <c r="A4" s="980"/>
      <c r="B4" s="981"/>
      <c r="C4" s="981"/>
      <c r="D4" s="981"/>
      <c r="E4" s="981"/>
      <c r="F4" s="981"/>
      <c r="G4" s="981"/>
      <c r="H4" s="981"/>
      <c r="I4" s="981"/>
      <c r="J4" s="981"/>
      <c r="K4" s="981"/>
      <c r="L4" s="981"/>
      <c r="M4" s="981"/>
      <c r="N4" s="981"/>
      <c r="O4" s="981"/>
      <c r="P4" s="981"/>
      <c r="Q4" s="981"/>
      <c r="R4" s="981"/>
      <c r="S4" s="981"/>
      <c r="T4" s="981"/>
      <c r="U4" s="981"/>
      <c r="V4" s="981"/>
      <c r="W4" s="981"/>
      <c r="X4" s="981"/>
      <c r="Y4" s="981"/>
      <c r="Z4" s="981"/>
      <c r="AA4" s="981"/>
      <c r="AB4" s="981"/>
      <c r="AC4" s="981"/>
      <c r="AD4" s="981"/>
      <c r="AE4" s="981"/>
      <c r="AF4" s="981"/>
      <c r="AG4" s="981"/>
      <c r="AH4" s="981"/>
      <c r="AI4" s="981"/>
      <c r="AJ4" s="981"/>
      <c r="AK4" s="981"/>
      <c r="AL4" s="981"/>
      <c r="AM4" s="981"/>
      <c r="AN4" s="981"/>
      <c r="AO4" s="981"/>
      <c r="AP4" s="981"/>
      <c r="AQ4" s="981"/>
      <c r="AR4" s="981"/>
      <c r="AS4" s="981"/>
      <c r="AT4" s="981"/>
      <c r="AU4" s="981"/>
      <c r="AV4" s="981"/>
      <c r="AW4" s="982"/>
      <c r="AX4" s="999" t="s">
        <v>183</v>
      </c>
      <c r="AY4" s="999"/>
    </row>
    <row r="5" spans="1:51" ht="15" customHeight="1" x14ac:dyDescent="0.3">
      <c r="A5" s="983" t="s">
        <v>184</v>
      </c>
      <c r="B5" s="984"/>
      <c r="C5" s="984"/>
      <c r="D5" s="984"/>
      <c r="E5" s="984"/>
      <c r="F5" s="984"/>
      <c r="G5" s="984"/>
      <c r="H5" s="984"/>
      <c r="I5" s="984"/>
      <c r="J5" s="984"/>
      <c r="K5" s="984"/>
      <c r="L5" s="984"/>
      <c r="M5" s="984"/>
      <c r="N5" s="984"/>
      <c r="O5" s="984"/>
      <c r="P5" s="984"/>
      <c r="Q5" s="984"/>
      <c r="R5" s="984"/>
      <c r="S5" s="984"/>
      <c r="T5" s="984"/>
      <c r="U5" s="984"/>
      <c r="V5" s="984"/>
      <c r="W5" s="984"/>
      <c r="X5" s="984"/>
      <c r="Y5" s="984"/>
      <c r="Z5" s="984"/>
      <c r="AA5" s="984"/>
      <c r="AB5" s="984"/>
      <c r="AC5" s="984"/>
      <c r="AD5" s="984"/>
      <c r="AE5" s="984"/>
      <c r="AF5" s="984"/>
      <c r="AG5" s="985"/>
      <c r="AH5" s="974" t="s">
        <v>13</v>
      </c>
      <c r="AI5" s="975"/>
      <c r="AJ5" s="975"/>
      <c r="AK5" s="975"/>
      <c r="AL5" s="975"/>
      <c r="AM5" s="975"/>
      <c r="AN5" s="975"/>
      <c r="AO5" s="975"/>
      <c r="AP5" s="975"/>
      <c r="AQ5" s="975"/>
      <c r="AR5" s="975"/>
      <c r="AS5" s="975"/>
      <c r="AT5" s="975"/>
      <c r="AU5" s="976"/>
      <c r="AV5" s="971" t="s">
        <v>185</v>
      </c>
      <c r="AW5" s="971" t="s">
        <v>186</v>
      </c>
      <c r="AX5" s="971" t="s">
        <v>187</v>
      </c>
      <c r="AY5" s="971" t="s">
        <v>188</v>
      </c>
    </row>
    <row r="6" spans="1:51" ht="15" customHeight="1" x14ac:dyDescent="0.3">
      <c r="A6" s="994" t="s">
        <v>9</v>
      </c>
      <c r="B6" s="994"/>
      <c r="C6" s="994"/>
      <c r="D6" s="995">
        <v>45202</v>
      </c>
      <c r="E6" s="996"/>
      <c r="F6" s="974" t="s">
        <v>10</v>
      </c>
      <c r="G6" s="976"/>
      <c r="H6" s="1000" t="s">
        <v>11</v>
      </c>
      <c r="I6" s="1000"/>
      <c r="J6" s="111"/>
      <c r="K6" s="974"/>
      <c r="L6" s="975"/>
      <c r="M6" s="975"/>
      <c r="N6" s="975"/>
      <c r="O6" s="975"/>
      <c r="P6" s="975"/>
      <c r="Q6" s="975"/>
      <c r="R6" s="975"/>
      <c r="S6" s="975"/>
      <c r="T6" s="975"/>
      <c r="U6" s="975"/>
      <c r="V6" s="975"/>
      <c r="W6" s="975"/>
      <c r="X6" s="975"/>
      <c r="Y6" s="975"/>
      <c r="Z6" s="975"/>
      <c r="AA6" s="975"/>
      <c r="AB6" s="975"/>
      <c r="AC6" s="975"/>
      <c r="AD6" s="975"/>
      <c r="AE6" s="975"/>
      <c r="AF6" s="975"/>
      <c r="AG6" s="976"/>
      <c r="AH6" s="977"/>
      <c r="AI6" s="978"/>
      <c r="AJ6" s="978"/>
      <c r="AK6" s="978"/>
      <c r="AL6" s="978"/>
      <c r="AM6" s="978"/>
      <c r="AN6" s="978"/>
      <c r="AO6" s="978"/>
      <c r="AP6" s="978"/>
      <c r="AQ6" s="978"/>
      <c r="AR6" s="978"/>
      <c r="AS6" s="978"/>
      <c r="AT6" s="978"/>
      <c r="AU6" s="979"/>
      <c r="AV6" s="972"/>
      <c r="AW6" s="972"/>
      <c r="AX6" s="972"/>
      <c r="AY6" s="972"/>
    </row>
    <row r="7" spans="1:51" ht="15" customHeight="1" x14ac:dyDescent="0.3">
      <c r="A7" s="994"/>
      <c r="B7" s="994"/>
      <c r="C7" s="994"/>
      <c r="D7" s="996"/>
      <c r="E7" s="996"/>
      <c r="F7" s="977"/>
      <c r="G7" s="979"/>
      <c r="H7" s="1000" t="s">
        <v>12</v>
      </c>
      <c r="I7" s="1000"/>
      <c r="J7" s="111"/>
      <c r="K7" s="977"/>
      <c r="L7" s="978"/>
      <c r="M7" s="978"/>
      <c r="N7" s="978"/>
      <c r="O7" s="978"/>
      <c r="P7" s="978"/>
      <c r="Q7" s="978"/>
      <c r="R7" s="978"/>
      <c r="S7" s="978"/>
      <c r="T7" s="978"/>
      <c r="U7" s="978"/>
      <c r="V7" s="978"/>
      <c r="W7" s="978"/>
      <c r="X7" s="978"/>
      <c r="Y7" s="978"/>
      <c r="Z7" s="978"/>
      <c r="AA7" s="978"/>
      <c r="AB7" s="978"/>
      <c r="AC7" s="978"/>
      <c r="AD7" s="978"/>
      <c r="AE7" s="978"/>
      <c r="AF7" s="978"/>
      <c r="AG7" s="979"/>
      <c r="AH7" s="977"/>
      <c r="AI7" s="978"/>
      <c r="AJ7" s="978"/>
      <c r="AK7" s="978"/>
      <c r="AL7" s="978"/>
      <c r="AM7" s="978"/>
      <c r="AN7" s="978"/>
      <c r="AO7" s="978"/>
      <c r="AP7" s="978"/>
      <c r="AQ7" s="978"/>
      <c r="AR7" s="978"/>
      <c r="AS7" s="978"/>
      <c r="AT7" s="978"/>
      <c r="AU7" s="979"/>
      <c r="AV7" s="972"/>
      <c r="AW7" s="972"/>
      <c r="AX7" s="972"/>
      <c r="AY7" s="972"/>
    </row>
    <row r="8" spans="1:51" ht="15" customHeight="1" x14ac:dyDescent="0.3">
      <c r="A8" s="994"/>
      <c r="B8" s="994"/>
      <c r="C8" s="994"/>
      <c r="D8" s="996"/>
      <c r="E8" s="996"/>
      <c r="F8" s="980"/>
      <c r="G8" s="982"/>
      <c r="H8" s="1000" t="s">
        <v>13</v>
      </c>
      <c r="I8" s="1000"/>
      <c r="J8" s="111" t="s">
        <v>14</v>
      </c>
      <c r="K8" s="980"/>
      <c r="L8" s="981"/>
      <c r="M8" s="981"/>
      <c r="N8" s="981"/>
      <c r="O8" s="981"/>
      <c r="P8" s="981"/>
      <c r="Q8" s="981"/>
      <c r="R8" s="981"/>
      <c r="S8" s="981"/>
      <c r="T8" s="981"/>
      <c r="U8" s="981"/>
      <c r="V8" s="981"/>
      <c r="W8" s="981"/>
      <c r="X8" s="981"/>
      <c r="Y8" s="981"/>
      <c r="Z8" s="981"/>
      <c r="AA8" s="981"/>
      <c r="AB8" s="981"/>
      <c r="AC8" s="981"/>
      <c r="AD8" s="981"/>
      <c r="AE8" s="981"/>
      <c r="AF8" s="981"/>
      <c r="AG8" s="982"/>
      <c r="AH8" s="977"/>
      <c r="AI8" s="978"/>
      <c r="AJ8" s="978"/>
      <c r="AK8" s="978"/>
      <c r="AL8" s="978"/>
      <c r="AM8" s="978"/>
      <c r="AN8" s="978"/>
      <c r="AO8" s="978"/>
      <c r="AP8" s="978"/>
      <c r="AQ8" s="978"/>
      <c r="AR8" s="978"/>
      <c r="AS8" s="978"/>
      <c r="AT8" s="978"/>
      <c r="AU8" s="979"/>
      <c r="AV8" s="972"/>
      <c r="AW8" s="972"/>
      <c r="AX8" s="972"/>
      <c r="AY8" s="972"/>
    </row>
    <row r="9" spans="1:51" ht="15" customHeight="1" x14ac:dyDescent="0.3">
      <c r="A9" s="1011" t="s">
        <v>189</v>
      </c>
      <c r="B9" s="1012"/>
      <c r="C9" s="1013"/>
      <c r="D9" s="988" t="s">
        <v>190</v>
      </c>
      <c r="E9" s="989"/>
      <c r="F9" s="989"/>
      <c r="G9" s="989"/>
      <c r="H9" s="989"/>
      <c r="I9" s="989"/>
      <c r="J9" s="989"/>
      <c r="K9" s="990"/>
      <c r="L9" s="990"/>
      <c r="M9" s="990"/>
      <c r="N9" s="990"/>
      <c r="O9" s="990"/>
      <c r="P9" s="990"/>
      <c r="Q9" s="990"/>
      <c r="R9" s="990"/>
      <c r="S9" s="990"/>
      <c r="T9" s="990"/>
      <c r="U9" s="990"/>
      <c r="V9" s="990"/>
      <c r="W9" s="990"/>
      <c r="X9" s="990"/>
      <c r="Y9" s="990"/>
      <c r="Z9" s="990"/>
      <c r="AA9" s="990"/>
      <c r="AB9" s="990"/>
      <c r="AC9" s="990"/>
      <c r="AD9" s="990"/>
      <c r="AE9" s="990"/>
      <c r="AF9" s="990"/>
      <c r="AG9" s="991"/>
      <c r="AH9" s="977"/>
      <c r="AI9" s="978"/>
      <c r="AJ9" s="978"/>
      <c r="AK9" s="978"/>
      <c r="AL9" s="978"/>
      <c r="AM9" s="978"/>
      <c r="AN9" s="978"/>
      <c r="AO9" s="978"/>
      <c r="AP9" s="978"/>
      <c r="AQ9" s="978"/>
      <c r="AR9" s="978"/>
      <c r="AS9" s="978"/>
      <c r="AT9" s="978"/>
      <c r="AU9" s="979"/>
      <c r="AV9" s="972"/>
      <c r="AW9" s="972"/>
      <c r="AX9" s="972"/>
      <c r="AY9" s="972"/>
    </row>
    <row r="10" spans="1:51" ht="15" customHeight="1" x14ac:dyDescent="0.3">
      <c r="A10" s="1008" t="s">
        <v>191</v>
      </c>
      <c r="B10" s="1009"/>
      <c r="C10" s="1010"/>
      <c r="D10" s="992" t="s">
        <v>192</v>
      </c>
      <c r="E10" s="990"/>
      <c r="F10" s="990"/>
      <c r="G10" s="990"/>
      <c r="H10" s="990"/>
      <c r="I10" s="990"/>
      <c r="J10" s="990"/>
      <c r="K10" s="990"/>
      <c r="L10" s="990"/>
      <c r="M10" s="990"/>
      <c r="N10" s="990"/>
      <c r="O10" s="990"/>
      <c r="P10" s="990"/>
      <c r="Q10" s="990"/>
      <c r="R10" s="990"/>
      <c r="S10" s="990"/>
      <c r="T10" s="990"/>
      <c r="U10" s="990"/>
      <c r="V10" s="990"/>
      <c r="W10" s="990"/>
      <c r="X10" s="990"/>
      <c r="Y10" s="990"/>
      <c r="Z10" s="990"/>
      <c r="AA10" s="990"/>
      <c r="AB10" s="990"/>
      <c r="AC10" s="990"/>
      <c r="AD10" s="990"/>
      <c r="AE10" s="990"/>
      <c r="AF10" s="990"/>
      <c r="AG10" s="991"/>
      <c r="AH10" s="980"/>
      <c r="AI10" s="981"/>
      <c r="AJ10" s="981"/>
      <c r="AK10" s="981"/>
      <c r="AL10" s="981"/>
      <c r="AM10" s="981"/>
      <c r="AN10" s="981"/>
      <c r="AO10" s="981"/>
      <c r="AP10" s="981"/>
      <c r="AQ10" s="981"/>
      <c r="AR10" s="981"/>
      <c r="AS10" s="981"/>
      <c r="AT10" s="981"/>
      <c r="AU10" s="982"/>
      <c r="AV10" s="972"/>
      <c r="AW10" s="972"/>
      <c r="AX10" s="972"/>
      <c r="AY10" s="972"/>
    </row>
    <row r="11" spans="1:51" ht="39.75" customHeight="1" x14ac:dyDescent="0.3">
      <c r="A11" s="986" t="s">
        <v>193</v>
      </c>
      <c r="B11" s="993"/>
      <c r="C11" s="993"/>
      <c r="D11" s="993"/>
      <c r="E11" s="993"/>
      <c r="F11" s="987"/>
      <c r="G11" s="986" t="s">
        <v>194</v>
      </c>
      <c r="H11" s="987"/>
      <c r="I11" s="971" t="s">
        <v>195</v>
      </c>
      <c r="J11" s="971" t="s">
        <v>196</v>
      </c>
      <c r="K11" s="971" t="s">
        <v>197</v>
      </c>
      <c r="L11" s="971" t="s">
        <v>198</v>
      </c>
      <c r="M11" s="971" t="s">
        <v>199</v>
      </c>
      <c r="N11" s="971" t="s">
        <v>200</v>
      </c>
      <c r="O11" s="986" t="s">
        <v>201</v>
      </c>
      <c r="P11" s="993"/>
      <c r="Q11" s="993"/>
      <c r="R11" s="993"/>
      <c r="S11" s="987"/>
      <c r="T11" s="971" t="s">
        <v>202</v>
      </c>
      <c r="U11" s="971" t="s">
        <v>203</v>
      </c>
      <c r="V11" s="983" t="s">
        <v>204</v>
      </c>
      <c r="W11" s="984"/>
      <c r="X11" s="984"/>
      <c r="Y11" s="984"/>
      <c r="Z11" s="984"/>
      <c r="AA11" s="984"/>
      <c r="AB11" s="984"/>
      <c r="AC11" s="984"/>
      <c r="AD11" s="984"/>
      <c r="AE11" s="984"/>
      <c r="AF11" s="984"/>
      <c r="AG11" s="985"/>
      <c r="AH11" s="983" t="s">
        <v>205</v>
      </c>
      <c r="AI11" s="984"/>
      <c r="AJ11" s="984"/>
      <c r="AK11" s="984"/>
      <c r="AL11" s="984"/>
      <c r="AM11" s="984"/>
      <c r="AN11" s="984"/>
      <c r="AO11" s="984"/>
      <c r="AP11" s="984"/>
      <c r="AQ11" s="984"/>
      <c r="AR11" s="984"/>
      <c r="AS11" s="985"/>
      <c r="AT11" s="986" t="s">
        <v>41</v>
      </c>
      <c r="AU11" s="987"/>
      <c r="AV11" s="972"/>
      <c r="AW11" s="972"/>
      <c r="AX11" s="972"/>
      <c r="AY11" s="972"/>
    </row>
    <row r="12" spans="1:51" ht="41.4" x14ac:dyDescent="0.3">
      <c r="A12" s="147" t="s">
        <v>206</v>
      </c>
      <c r="B12" s="147" t="s">
        <v>207</v>
      </c>
      <c r="C12" s="147" t="s">
        <v>208</v>
      </c>
      <c r="D12" s="147" t="s">
        <v>209</v>
      </c>
      <c r="E12" s="147" t="s">
        <v>210</v>
      </c>
      <c r="F12" s="147" t="s">
        <v>211</v>
      </c>
      <c r="G12" s="147" t="s">
        <v>212</v>
      </c>
      <c r="H12" s="147" t="s">
        <v>213</v>
      </c>
      <c r="I12" s="973"/>
      <c r="J12" s="973"/>
      <c r="K12" s="973"/>
      <c r="L12" s="973"/>
      <c r="M12" s="973"/>
      <c r="N12" s="973"/>
      <c r="O12" s="147">
        <v>2020</v>
      </c>
      <c r="P12" s="147">
        <v>2021</v>
      </c>
      <c r="Q12" s="147">
        <v>2022</v>
      </c>
      <c r="R12" s="147">
        <v>2023</v>
      </c>
      <c r="S12" s="147">
        <v>2024</v>
      </c>
      <c r="T12" s="973"/>
      <c r="U12" s="973"/>
      <c r="V12" s="149" t="s">
        <v>30</v>
      </c>
      <c r="W12" s="149" t="s">
        <v>31</v>
      </c>
      <c r="X12" s="149" t="s">
        <v>32</v>
      </c>
      <c r="Y12" s="149" t="s">
        <v>33</v>
      </c>
      <c r="Z12" s="149" t="s">
        <v>34</v>
      </c>
      <c r="AA12" s="149" t="s">
        <v>35</v>
      </c>
      <c r="AB12" s="149" t="s">
        <v>36</v>
      </c>
      <c r="AC12" s="149" t="s">
        <v>37</v>
      </c>
      <c r="AD12" s="149" t="s">
        <v>8</v>
      </c>
      <c r="AE12" s="149" t="s">
        <v>38</v>
      </c>
      <c r="AF12" s="149" t="s">
        <v>39</v>
      </c>
      <c r="AG12" s="149" t="s">
        <v>40</v>
      </c>
      <c r="AH12" s="149" t="s">
        <v>30</v>
      </c>
      <c r="AI12" s="149" t="s">
        <v>31</v>
      </c>
      <c r="AJ12" s="149" t="s">
        <v>32</v>
      </c>
      <c r="AK12" s="149" t="s">
        <v>33</v>
      </c>
      <c r="AL12" s="149" t="s">
        <v>34</v>
      </c>
      <c r="AM12" s="149" t="s">
        <v>35</v>
      </c>
      <c r="AN12" s="149" t="s">
        <v>36</v>
      </c>
      <c r="AO12" s="149" t="s">
        <v>37</v>
      </c>
      <c r="AP12" s="149" t="s">
        <v>8</v>
      </c>
      <c r="AQ12" s="149" t="s">
        <v>38</v>
      </c>
      <c r="AR12" s="149" t="s">
        <v>39</v>
      </c>
      <c r="AS12" s="149" t="s">
        <v>40</v>
      </c>
      <c r="AT12" s="147" t="s">
        <v>214</v>
      </c>
      <c r="AU12" s="150" t="s">
        <v>215</v>
      </c>
      <c r="AV12" s="973"/>
      <c r="AW12" s="973"/>
      <c r="AX12" s="973"/>
      <c r="AY12" s="973"/>
    </row>
    <row r="13" spans="1:51" s="178" customFormat="1" ht="127.5" hidden="1" customHeight="1" x14ac:dyDescent="0.3">
      <c r="A13" s="151">
        <v>37</v>
      </c>
      <c r="B13" s="156" t="s">
        <v>216</v>
      </c>
      <c r="C13" s="156" t="s">
        <v>216</v>
      </c>
      <c r="D13" s="156" t="s">
        <v>216</v>
      </c>
      <c r="E13" s="156" t="s">
        <v>216</v>
      </c>
      <c r="F13" s="156" t="s">
        <v>216</v>
      </c>
      <c r="G13" s="156" t="s">
        <v>216</v>
      </c>
      <c r="H13" s="156" t="s">
        <v>216</v>
      </c>
      <c r="I13" s="148" t="s">
        <v>217</v>
      </c>
      <c r="J13" s="152" t="s">
        <v>218</v>
      </c>
      <c r="K13" s="161" t="s">
        <v>219</v>
      </c>
      <c r="L13" s="154">
        <v>15</v>
      </c>
      <c r="M13" s="153" t="s">
        <v>220</v>
      </c>
      <c r="N13" s="152" t="s">
        <v>221</v>
      </c>
      <c r="O13" s="224">
        <v>15</v>
      </c>
      <c r="P13" s="224">
        <v>15</v>
      </c>
      <c r="Q13" s="224">
        <v>15</v>
      </c>
      <c r="R13" s="224">
        <v>15</v>
      </c>
      <c r="S13" s="224">
        <v>15</v>
      </c>
      <c r="T13" s="225" t="s">
        <v>222</v>
      </c>
      <c r="U13" s="226" t="s">
        <v>223</v>
      </c>
      <c r="V13" s="227">
        <v>0</v>
      </c>
      <c r="W13" s="227">
        <v>1</v>
      </c>
      <c r="X13" s="227">
        <v>1</v>
      </c>
      <c r="Y13" s="227">
        <v>1</v>
      </c>
      <c r="Z13" s="227">
        <v>2</v>
      </c>
      <c r="AA13" s="227">
        <v>2</v>
      </c>
      <c r="AB13" s="227">
        <v>2</v>
      </c>
      <c r="AC13" s="227">
        <v>2</v>
      </c>
      <c r="AD13" s="227">
        <v>1</v>
      </c>
      <c r="AE13" s="227">
        <v>1</v>
      </c>
      <c r="AF13" s="227">
        <v>1</v>
      </c>
      <c r="AG13" s="227">
        <v>1</v>
      </c>
      <c r="AH13" s="111">
        <v>0</v>
      </c>
      <c r="AI13" s="111">
        <v>1</v>
      </c>
      <c r="AJ13" s="111">
        <v>2</v>
      </c>
      <c r="AK13" s="111">
        <v>3</v>
      </c>
      <c r="AL13" s="111">
        <v>3</v>
      </c>
      <c r="AM13" s="111">
        <v>2</v>
      </c>
      <c r="AN13" s="229">
        <v>1</v>
      </c>
      <c r="AO13" s="229">
        <v>0</v>
      </c>
      <c r="AP13" s="229">
        <v>3</v>
      </c>
      <c r="AQ13" s="229"/>
      <c r="AR13" s="229"/>
      <c r="AS13" s="229"/>
      <c r="AT13" s="236">
        <f>SUM(AH13:AS13)</f>
        <v>15</v>
      </c>
      <c r="AU13" s="237">
        <f>+AT13/R13</f>
        <v>1</v>
      </c>
      <c r="AV13" s="372" t="s">
        <v>224</v>
      </c>
      <c r="AW13" s="373" t="s">
        <v>225</v>
      </c>
      <c r="AX13" s="373" t="s">
        <v>226</v>
      </c>
      <c r="AY13" s="374" t="s">
        <v>227</v>
      </c>
    </row>
    <row r="14" spans="1:51" s="178" customFormat="1" ht="183.75" customHeight="1" x14ac:dyDescent="0.3">
      <c r="A14" s="155" t="s">
        <v>216</v>
      </c>
      <c r="B14" s="156" t="s">
        <v>216</v>
      </c>
      <c r="C14" s="156" t="s">
        <v>216</v>
      </c>
      <c r="D14" s="157">
        <v>39</v>
      </c>
      <c r="E14" s="156" t="s">
        <v>216</v>
      </c>
      <c r="F14" s="156" t="s">
        <v>216</v>
      </c>
      <c r="G14" s="156" t="s">
        <v>216</v>
      </c>
      <c r="H14" s="156" t="s">
        <v>216</v>
      </c>
      <c r="I14" s="148" t="s">
        <v>228</v>
      </c>
      <c r="J14" s="148" t="s">
        <v>229</v>
      </c>
      <c r="K14" s="158" t="s">
        <v>230</v>
      </c>
      <c r="L14" s="159">
        <v>12200</v>
      </c>
      <c r="M14" s="158" t="s">
        <v>231</v>
      </c>
      <c r="N14" s="152" t="s">
        <v>232</v>
      </c>
      <c r="O14" s="227">
        <v>900</v>
      </c>
      <c r="P14" s="227">
        <v>3200</v>
      </c>
      <c r="Q14" s="227">
        <v>3900</v>
      </c>
      <c r="R14" s="227">
        <v>3300</v>
      </c>
      <c r="S14" s="227">
        <v>900</v>
      </c>
      <c r="T14" s="111" t="s">
        <v>233</v>
      </c>
      <c r="U14" s="226" t="s">
        <v>234</v>
      </c>
      <c r="V14" s="228">
        <v>20</v>
      </c>
      <c r="W14" s="228">
        <v>303</v>
      </c>
      <c r="X14" s="228">
        <v>303</v>
      </c>
      <c r="Y14" s="228">
        <v>303</v>
      </c>
      <c r="Z14" s="228">
        <v>303</v>
      </c>
      <c r="AA14" s="228">
        <v>303</v>
      </c>
      <c r="AB14" s="228">
        <v>303</v>
      </c>
      <c r="AC14" s="228">
        <v>303</v>
      </c>
      <c r="AD14" s="228">
        <v>303</v>
      </c>
      <c r="AE14" s="228">
        <v>303</v>
      </c>
      <c r="AF14" s="228">
        <v>303</v>
      </c>
      <c r="AG14" s="228">
        <v>250</v>
      </c>
      <c r="AH14" s="111">
        <v>71</v>
      </c>
      <c r="AI14" s="111">
        <v>270</v>
      </c>
      <c r="AJ14" s="229">
        <v>306</v>
      </c>
      <c r="AK14" s="229">
        <v>303</v>
      </c>
      <c r="AL14" s="229">
        <v>286</v>
      </c>
      <c r="AM14" s="110">
        <v>377</v>
      </c>
      <c r="AN14" s="236">
        <v>368</v>
      </c>
      <c r="AO14" s="236">
        <v>383</v>
      </c>
      <c r="AP14" s="236">
        <v>405</v>
      </c>
      <c r="AQ14" s="236"/>
      <c r="AR14" s="236"/>
      <c r="AS14" s="236"/>
      <c r="AT14" s="236">
        <f t="shared" ref="AT14:AT19" si="0">SUM(AH14:AS14)</f>
        <v>2769</v>
      </c>
      <c r="AU14" s="237">
        <f t="shared" ref="AU14:AU19" si="1">+AT14/R14</f>
        <v>0.83909090909090911</v>
      </c>
      <c r="AV14" s="370" t="s">
        <v>235</v>
      </c>
      <c r="AW14" s="375" t="s">
        <v>236</v>
      </c>
      <c r="AX14" s="376" t="s">
        <v>237</v>
      </c>
      <c r="AY14" s="376" t="s">
        <v>227</v>
      </c>
    </row>
    <row r="15" spans="1:51" s="178" customFormat="1" ht="167.25" customHeight="1" x14ac:dyDescent="0.3">
      <c r="A15" s="155" t="s">
        <v>216</v>
      </c>
      <c r="B15" s="156" t="s">
        <v>216</v>
      </c>
      <c r="C15" s="156" t="s">
        <v>216</v>
      </c>
      <c r="D15" s="157">
        <v>40</v>
      </c>
      <c r="E15" s="156" t="s">
        <v>216</v>
      </c>
      <c r="F15" s="156" t="s">
        <v>216</v>
      </c>
      <c r="G15" s="156" t="s">
        <v>216</v>
      </c>
      <c r="H15" s="156" t="s">
        <v>216</v>
      </c>
      <c r="I15" s="148" t="s">
        <v>238</v>
      </c>
      <c r="J15" s="148" t="s">
        <v>239</v>
      </c>
      <c r="K15" s="158" t="s">
        <v>230</v>
      </c>
      <c r="L15" s="159">
        <v>8100</v>
      </c>
      <c r="M15" s="158" t="s">
        <v>231</v>
      </c>
      <c r="N15" s="152" t="s">
        <v>240</v>
      </c>
      <c r="O15" s="227">
        <v>650</v>
      </c>
      <c r="P15" s="227">
        <v>2400</v>
      </c>
      <c r="Q15" s="227">
        <v>2200</v>
      </c>
      <c r="R15" s="227">
        <v>2200</v>
      </c>
      <c r="S15" s="227">
        <v>650</v>
      </c>
      <c r="T15" s="111" t="s">
        <v>233</v>
      </c>
      <c r="U15" s="226" t="s">
        <v>241</v>
      </c>
      <c r="V15" s="228">
        <v>10</v>
      </c>
      <c r="W15" s="228">
        <v>202</v>
      </c>
      <c r="X15" s="228">
        <v>202</v>
      </c>
      <c r="Y15" s="228">
        <v>202</v>
      </c>
      <c r="Z15" s="228">
        <v>202</v>
      </c>
      <c r="AA15" s="228">
        <v>202</v>
      </c>
      <c r="AB15" s="228">
        <v>202</v>
      </c>
      <c r="AC15" s="228">
        <v>202</v>
      </c>
      <c r="AD15" s="228">
        <v>202</v>
      </c>
      <c r="AE15" s="228">
        <v>202</v>
      </c>
      <c r="AF15" s="228">
        <v>202</v>
      </c>
      <c r="AG15" s="228">
        <v>170</v>
      </c>
      <c r="AH15" s="111">
        <v>20</v>
      </c>
      <c r="AI15" s="111">
        <v>106</v>
      </c>
      <c r="AJ15" s="229">
        <v>219</v>
      </c>
      <c r="AK15" s="229">
        <v>254</v>
      </c>
      <c r="AL15" s="229">
        <v>276</v>
      </c>
      <c r="AM15" s="110">
        <v>226</v>
      </c>
      <c r="AN15" s="236">
        <v>242</v>
      </c>
      <c r="AO15" s="236">
        <v>204</v>
      </c>
      <c r="AP15" s="236">
        <v>244</v>
      </c>
      <c r="AQ15" s="236"/>
      <c r="AR15" s="236"/>
      <c r="AS15" s="236"/>
      <c r="AT15" s="236">
        <f t="shared" si="0"/>
        <v>1791</v>
      </c>
      <c r="AU15" s="237">
        <f t="shared" si="1"/>
        <v>0.81409090909090909</v>
      </c>
      <c r="AV15" s="370" t="s">
        <v>242</v>
      </c>
      <c r="AW15" s="375" t="s">
        <v>243</v>
      </c>
      <c r="AX15" s="377" t="s">
        <v>237</v>
      </c>
      <c r="AY15" s="374" t="s">
        <v>227</v>
      </c>
    </row>
    <row r="16" spans="1:51" s="178" customFormat="1" ht="147" customHeight="1" x14ac:dyDescent="0.3">
      <c r="A16" s="155" t="s">
        <v>216</v>
      </c>
      <c r="B16" s="156" t="s">
        <v>216</v>
      </c>
      <c r="C16" s="156" t="s">
        <v>216</v>
      </c>
      <c r="D16" s="157">
        <v>41</v>
      </c>
      <c r="E16" s="156" t="s">
        <v>216</v>
      </c>
      <c r="F16" s="156" t="s">
        <v>216</v>
      </c>
      <c r="G16" s="156" t="s">
        <v>216</v>
      </c>
      <c r="H16" s="156" t="s">
        <v>216</v>
      </c>
      <c r="I16" s="148" t="s">
        <v>244</v>
      </c>
      <c r="J16" s="148" t="s">
        <v>245</v>
      </c>
      <c r="K16" s="158" t="s">
        <v>230</v>
      </c>
      <c r="L16" s="159">
        <v>19200</v>
      </c>
      <c r="M16" s="158" t="s">
        <v>231</v>
      </c>
      <c r="N16" s="152" t="s">
        <v>246</v>
      </c>
      <c r="O16" s="227">
        <v>1500</v>
      </c>
      <c r="P16" s="227">
        <v>5000</v>
      </c>
      <c r="Q16" s="227">
        <v>6200</v>
      </c>
      <c r="R16" s="227">
        <v>5000</v>
      </c>
      <c r="S16" s="227">
        <v>1500</v>
      </c>
      <c r="T16" s="111" t="s">
        <v>233</v>
      </c>
      <c r="U16" s="226" t="s">
        <v>247</v>
      </c>
      <c r="V16" s="227">
        <v>250</v>
      </c>
      <c r="W16" s="227">
        <v>432</v>
      </c>
      <c r="X16" s="227">
        <v>432</v>
      </c>
      <c r="Y16" s="227">
        <v>432</v>
      </c>
      <c r="Z16" s="227">
        <v>432</v>
      </c>
      <c r="AA16" s="227">
        <v>432</v>
      </c>
      <c r="AB16" s="227">
        <v>432</v>
      </c>
      <c r="AC16" s="227">
        <v>432</v>
      </c>
      <c r="AD16" s="227">
        <v>432</v>
      </c>
      <c r="AE16" s="227">
        <v>432</v>
      </c>
      <c r="AF16" s="227">
        <v>432</v>
      </c>
      <c r="AG16" s="227">
        <v>430</v>
      </c>
      <c r="AH16" s="111">
        <v>327</v>
      </c>
      <c r="AI16" s="111">
        <v>395</v>
      </c>
      <c r="AJ16" s="229">
        <v>408</v>
      </c>
      <c r="AK16" s="229">
        <v>326</v>
      </c>
      <c r="AL16" s="229">
        <v>323</v>
      </c>
      <c r="AM16" s="110">
        <v>389</v>
      </c>
      <c r="AN16" s="236">
        <v>460</v>
      </c>
      <c r="AO16" s="236">
        <v>463</v>
      </c>
      <c r="AP16" s="236">
        <v>476</v>
      </c>
      <c r="AQ16" s="236"/>
      <c r="AR16" s="236"/>
      <c r="AS16" s="236"/>
      <c r="AT16" s="236">
        <f t="shared" si="0"/>
        <v>3567</v>
      </c>
      <c r="AU16" s="237">
        <f t="shared" si="1"/>
        <v>0.71340000000000003</v>
      </c>
      <c r="AV16" s="378" t="s">
        <v>248</v>
      </c>
      <c r="AW16" s="378" t="s">
        <v>249</v>
      </c>
      <c r="AX16" s="378" t="s">
        <v>250</v>
      </c>
      <c r="AY16" s="379" t="s">
        <v>227</v>
      </c>
    </row>
    <row r="17" spans="1:51" s="178" customFormat="1" ht="114.75" hidden="1" customHeight="1" x14ac:dyDescent="0.3">
      <c r="A17" s="156" t="s">
        <v>216</v>
      </c>
      <c r="B17" s="156" t="s">
        <v>216</v>
      </c>
      <c r="C17" s="156" t="s">
        <v>216</v>
      </c>
      <c r="D17" s="156" t="s">
        <v>216</v>
      </c>
      <c r="E17" s="156" t="s">
        <v>216</v>
      </c>
      <c r="F17" s="156" t="s">
        <v>216</v>
      </c>
      <c r="G17" s="1004" t="s">
        <v>251</v>
      </c>
      <c r="H17" s="1004" t="s">
        <v>252</v>
      </c>
      <c r="I17" s="1006" t="s">
        <v>253</v>
      </c>
      <c r="J17" s="152" t="s">
        <v>254</v>
      </c>
      <c r="K17" s="158" t="s">
        <v>255</v>
      </c>
      <c r="L17" s="179">
        <v>132</v>
      </c>
      <c r="M17" s="180" t="s">
        <v>256</v>
      </c>
      <c r="N17" s="148" t="s">
        <v>257</v>
      </c>
      <c r="O17" s="227">
        <v>0</v>
      </c>
      <c r="P17" s="227">
        <v>48</v>
      </c>
      <c r="Q17" s="227">
        <v>48</v>
      </c>
      <c r="R17" s="227">
        <v>24</v>
      </c>
      <c r="S17" s="227">
        <v>12</v>
      </c>
      <c r="T17" s="111" t="s">
        <v>233</v>
      </c>
      <c r="U17" s="226" t="s">
        <v>258</v>
      </c>
      <c r="V17" s="227">
        <v>1</v>
      </c>
      <c r="W17" s="227">
        <v>2</v>
      </c>
      <c r="X17" s="227">
        <v>2</v>
      </c>
      <c r="Y17" s="227">
        <v>2</v>
      </c>
      <c r="Z17" s="227">
        <v>2</v>
      </c>
      <c r="AA17" s="227">
        <v>2</v>
      </c>
      <c r="AB17" s="227">
        <v>2</v>
      </c>
      <c r="AC17" s="227">
        <v>2</v>
      </c>
      <c r="AD17" s="227">
        <v>2</v>
      </c>
      <c r="AE17" s="227">
        <v>2</v>
      </c>
      <c r="AF17" s="227">
        <v>2</v>
      </c>
      <c r="AG17" s="227">
        <v>3</v>
      </c>
      <c r="AH17" s="111">
        <v>1</v>
      </c>
      <c r="AI17" s="229">
        <v>2</v>
      </c>
      <c r="AJ17" s="229">
        <v>2</v>
      </c>
      <c r="AK17" s="229">
        <v>2</v>
      </c>
      <c r="AL17" s="229">
        <v>2</v>
      </c>
      <c r="AM17" s="111">
        <v>2</v>
      </c>
      <c r="AN17" s="236">
        <v>2</v>
      </c>
      <c r="AO17" s="236">
        <v>2</v>
      </c>
      <c r="AP17" s="236">
        <v>2</v>
      </c>
      <c r="AQ17" s="236"/>
      <c r="AR17" s="236"/>
      <c r="AS17" s="236"/>
      <c r="AT17" s="236">
        <f t="shared" si="0"/>
        <v>17</v>
      </c>
      <c r="AU17" s="237">
        <f t="shared" si="1"/>
        <v>0.70833333333333337</v>
      </c>
      <c r="AV17" s="368" t="s">
        <v>573</v>
      </c>
      <c r="AW17" s="369" t="s">
        <v>574</v>
      </c>
      <c r="AX17" s="370" t="s">
        <v>259</v>
      </c>
      <c r="AY17" s="369" t="s">
        <v>227</v>
      </c>
    </row>
    <row r="18" spans="1:51" s="178" customFormat="1" ht="72.599999999999994" hidden="1" customHeight="1" x14ac:dyDescent="0.3">
      <c r="A18" s="156" t="s">
        <v>216</v>
      </c>
      <c r="B18" s="156" t="s">
        <v>216</v>
      </c>
      <c r="C18" s="156" t="s">
        <v>216</v>
      </c>
      <c r="D18" s="156" t="s">
        <v>216</v>
      </c>
      <c r="E18" s="156" t="s">
        <v>216</v>
      </c>
      <c r="F18" s="156" t="s">
        <v>216</v>
      </c>
      <c r="G18" s="1005"/>
      <c r="H18" s="1005"/>
      <c r="I18" s="1007"/>
      <c r="J18" s="152" t="s">
        <v>260</v>
      </c>
      <c r="K18" s="158" t="s">
        <v>255</v>
      </c>
      <c r="L18" s="179">
        <v>134</v>
      </c>
      <c r="M18" s="180" t="s">
        <v>256</v>
      </c>
      <c r="N18" s="148" t="s">
        <v>261</v>
      </c>
      <c r="O18" s="230">
        <v>0</v>
      </c>
      <c r="P18" s="230">
        <v>40</v>
      </c>
      <c r="Q18" s="230">
        <v>40</v>
      </c>
      <c r="R18" s="230">
        <v>36</v>
      </c>
      <c r="S18" s="230">
        <v>18</v>
      </c>
      <c r="T18" s="111" t="s">
        <v>233</v>
      </c>
      <c r="U18" s="226" t="s">
        <v>262</v>
      </c>
      <c r="V18" s="227">
        <v>0</v>
      </c>
      <c r="W18" s="227">
        <v>0</v>
      </c>
      <c r="X18" s="227">
        <v>0</v>
      </c>
      <c r="Y18" s="227">
        <v>4</v>
      </c>
      <c r="Z18" s="227">
        <v>4</v>
      </c>
      <c r="AA18" s="227">
        <v>4</v>
      </c>
      <c r="AB18" s="227">
        <v>4</v>
      </c>
      <c r="AC18" s="227">
        <v>4</v>
      </c>
      <c r="AD18" s="227">
        <v>4</v>
      </c>
      <c r="AE18" s="227">
        <v>4</v>
      </c>
      <c r="AF18" s="227">
        <v>4</v>
      </c>
      <c r="AG18" s="227">
        <v>4</v>
      </c>
      <c r="AH18" s="111">
        <v>0</v>
      </c>
      <c r="AI18" s="229">
        <v>0</v>
      </c>
      <c r="AJ18" s="229">
        <v>0</v>
      </c>
      <c r="AK18" s="229">
        <v>2</v>
      </c>
      <c r="AL18" s="229">
        <v>6</v>
      </c>
      <c r="AM18" s="111">
        <v>4</v>
      </c>
      <c r="AN18" s="236">
        <v>2</v>
      </c>
      <c r="AO18" s="236">
        <v>5</v>
      </c>
      <c r="AP18" s="236">
        <v>5</v>
      </c>
      <c r="AQ18" s="236"/>
      <c r="AR18" s="236"/>
      <c r="AS18" s="236"/>
      <c r="AT18" s="236">
        <f t="shared" si="0"/>
        <v>24</v>
      </c>
      <c r="AU18" s="237">
        <f t="shared" si="1"/>
        <v>0.66666666666666663</v>
      </c>
      <c r="AV18" s="370" t="s">
        <v>575</v>
      </c>
      <c r="AW18" s="370" t="s">
        <v>576</v>
      </c>
      <c r="AX18" s="370" t="s">
        <v>259</v>
      </c>
      <c r="AY18" s="370" t="s">
        <v>227</v>
      </c>
    </row>
    <row r="19" spans="1:51" s="178" customFormat="1" ht="101.4" hidden="1" customHeight="1" x14ac:dyDescent="0.3">
      <c r="A19" s="156" t="s">
        <v>216</v>
      </c>
      <c r="B19" s="156" t="s">
        <v>216</v>
      </c>
      <c r="C19" s="156" t="s">
        <v>216</v>
      </c>
      <c r="D19" s="156" t="s">
        <v>216</v>
      </c>
      <c r="E19" s="156" t="s">
        <v>216</v>
      </c>
      <c r="F19" s="157" t="s">
        <v>14</v>
      </c>
      <c r="G19" s="156" t="s">
        <v>216</v>
      </c>
      <c r="H19" s="156" t="s">
        <v>216</v>
      </c>
      <c r="I19" s="152" t="s">
        <v>263</v>
      </c>
      <c r="J19" s="152" t="s">
        <v>264</v>
      </c>
      <c r="K19" s="158" t="s">
        <v>230</v>
      </c>
      <c r="L19" s="159">
        <v>15738</v>
      </c>
      <c r="M19" s="148" t="s">
        <v>265</v>
      </c>
      <c r="N19" s="152" t="s">
        <v>266</v>
      </c>
      <c r="O19" s="227">
        <v>0</v>
      </c>
      <c r="P19" s="230">
        <v>1632</v>
      </c>
      <c r="Q19" s="230">
        <v>6476</v>
      </c>
      <c r="R19" s="230">
        <v>5998</v>
      </c>
      <c r="S19" s="230">
        <v>1632</v>
      </c>
      <c r="T19" s="111" t="s">
        <v>233</v>
      </c>
      <c r="U19" s="109" t="s">
        <v>267</v>
      </c>
      <c r="V19" s="227">
        <v>20</v>
      </c>
      <c r="W19" s="227">
        <v>160</v>
      </c>
      <c r="X19" s="227">
        <v>160</v>
      </c>
      <c r="Y19" s="227">
        <v>160</v>
      </c>
      <c r="Z19" s="238">
        <v>160</v>
      </c>
      <c r="AA19" s="238">
        <v>762</v>
      </c>
      <c r="AB19" s="238">
        <v>763</v>
      </c>
      <c r="AC19" s="238">
        <v>763</v>
      </c>
      <c r="AD19" s="238">
        <v>763</v>
      </c>
      <c r="AE19" s="238">
        <v>763</v>
      </c>
      <c r="AF19" s="238">
        <v>762</v>
      </c>
      <c r="AG19" s="238">
        <v>762</v>
      </c>
      <c r="AH19" s="231">
        <v>150</v>
      </c>
      <c r="AI19" s="229">
        <v>220</v>
      </c>
      <c r="AJ19" s="232">
        <v>146</v>
      </c>
      <c r="AK19" s="232">
        <v>229</v>
      </c>
      <c r="AL19" s="231">
        <v>577</v>
      </c>
      <c r="AM19" s="232">
        <v>211</v>
      </c>
      <c r="AN19" s="239">
        <v>742</v>
      </c>
      <c r="AO19" s="239">
        <v>431</v>
      </c>
      <c r="AP19" s="239">
        <v>740</v>
      </c>
      <c r="AQ19" s="239"/>
      <c r="AR19" s="239"/>
      <c r="AS19" s="239"/>
      <c r="AT19" s="239">
        <f t="shared" si="0"/>
        <v>3446</v>
      </c>
      <c r="AU19" s="233">
        <f t="shared" si="1"/>
        <v>0.5745248416138713</v>
      </c>
      <c r="AV19" s="370" t="s">
        <v>268</v>
      </c>
      <c r="AW19" s="370" t="s">
        <v>269</v>
      </c>
      <c r="AX19" s="371" t="s">
        <v>270</v>
      </c>
      <c r="AY19" s="370" t="s">
        <v>271</v>
      </c>
    </row>
    <row r="20" spans="1:51" hidden="1" x14ac:dyDescent="0.3">
      <c r="A20" s="992">
        <v>763</v>
      </c>
      <c r="B20" s="990"/>
      <c r="C20" s="990"/>
      <c r="D20" s="990"/>
      <c r="E20" s="990"/>
      <c r="F20" s="990"/>
      <c r="G20" s="990"/>
      <c r="H20" s="990"/>
      <c r="I20" s="990"/>
      <c r="J20" s="990"/>
      <c r="K20" s="990"/>
      <c r="L20" s="990"/>
      <c r="M20" s="990"/>
      <c r="N20" s="990"/>
      <c r="O20" s="990"/>
      <c r="P20" s="990"/>
      <c r="Q20" s="990"/>
      <c r="R20" s="990"/>
      <c r="S20" s="990"/>
      <c r="T20" s="990"/>
      <c r="U20" s="990"/>
      <c r="V20" s="990"/>
      <c r="W20" s="990"/>
      <c r="X20" s="990"/>
      <c r="Y20" s="990"/>
      <c r="Z20" s="990"/>
      <c r="AA20" s="990"/>
      <c r="AB20" s="990"/>
      <c r="AC20" s="990"/>
      <c r="AD20" s="990"/>
      <c r="AE20" s="990"/>
      <c r="AF20" s="990"/>
      <c r="AG20" s="990"/>
      <c r="AH20" s="990"/>
      <c r="AI20" s="990"/>
      <c r="AJ20" s="990"/>
      <c r="AK20" s="990"/>
      <c r="AL20" s="990"/>
      <c r="AM20" s="990"/>
      <c r="AN20" s="990"/>
      <c r="AO20" s="990"/>
      <c r="AP20" s="990"/>
      <c r="AQ20" s="990"/>
      <c r="AR20" s="990"/>
      <c r="AS20" s="990"/>
      <c r="AT20" s="990"/>
      <c r="AU20" s="990"/>
      <c r="AV20" s="990"/>
      <c r="AW20" s="990"/>
      <c r="AX20" s="990"/>
      <c r="AY20" s="991"/>
    </row>
    <row r="21" spans="1:51" ht="131.25" hidden="1" customHeight="1" x14ac:dyDescent="0.3">
      <c r="A21" s="1001" t="s">
        <v>272</v>
      </c>
      <c r="B21" s="1001"/>
      <c r="C21" s="1001"/>
      <c r="D21" s="1003" t="s">
        <v>273</v>
      </c>
      <c r="E21" s="1003"/>
      <c r="F21" s="1003"/>
      <c r="G21" s="1003"/>
      <c r="H21" s="1003"/>
      <c r="I21" s="1003"/>
      <c r="J21" s="1002" t="s">
        <v>274</v>
      </c>
      <c r="K21" s="1002"/>
      <c r="L21" s="1002"/>
      <c r="M21" s="1002"/>
      <c r="N21" s="1002"/>
      <c r="O21" s="1002"/>
      <c r="P21" s="1003" t="s">
        <v>273</v>
      </c>
      <c r="Q21" s="1003"/>
      <c r="R21" s="1003"/>
      <c r="S21" s="1003"/>
      <c r="T21" s="1003"/>
      <c r="U21" s="1003"/>
      <c r="V21" s="1003" t="s">
        <v>273</v>
      </c>
      <c r="W21" s="1003"/>
      <c r="X21" s="1003"/>
      <c r="Y21" s="1003"/>
      <c r="Z21" s="1003"/>
      <c r="AA21" s="1003"/>
      <c r="AB21" s="1003"/>
      <c r="AC21" s="1003"/>
      <c r="AD21" s="1003" t="s">
        <v>273</v>
      </c>
      <c r="AE21" s="1003"/>
      <c r="AF21" s="1003"/>
      <c r="AG21" s="1003"/>
      <c r="AH21" s="1003"/>
      <c r="AI21" s="1003"/>
      <c r="AJ21" s="1003"/>
      <c r="AK21" s="1003"/>
      <c r="AL21" s="1003"/>
      <c r="AM21" s="1003"/>
      <c r="AN21" s="1003"/>
      <c r="AO21" s="1003"/>
      <c r="AP21" s="1002" t="s">
        <v>275</v>
      </c>
      <c r="AQ21" s="1002"/>
      <c r="AR21" s="1002"/>
      <c r="AS21" s="1002"/>
      <c r="AT21" s="1003" t="s">
        <v>276</v>
      </c>
      <c r="AU21" s="1003"/>
      <c r="AV21" s="1003"/>
      <c r="AW21" s="1003"/>
      <c r="AX21" s="1003"/>
      <c r="AY21" s="1003"/>
    </row>
    <row r="22" spans="1:51" ht="59.1" hidden="1" customHeight="1" x14ac:dyDescent="0.3">
      <c r="A22" s="1001"/>
      <c r="B22" s="1001"/>
      <c r="C22" s="1001"/>
      <c r="D22" s="1003" t="s">
        <v>277</v>
      </c>
      <c r="E22" s="1003"/>
      <c r="F22" s="1003"/>
      <c r="G22" s="1003"/>
      <c r="H22" s="1003"/>
      <c r="I22" s="1003"/>
      <c r="J22" s="1002"/>
      <c r="K22" s="1002"/>
      <c r="L22" s="1002"/>
      <c r="M22" s="1002"/>
      <c r="N22" s="1002"/>
      <c r="O22" s="1002"/>
      <c r="P22" s="1003" t="s">
        <v>278</v>
      </c>
      <c r="Q22" s="1003"/>
      <c r="R22" s="1003"/>
      <c r="S22" s="1003"/>
      <c r="T22" s="1003"/>
      <c r="U22" s="1003"/>
      <c r="V22" s="1003" t="s">
        <v>279</v>
      </c>
      <c r="W22" s="1003"/>
      <c r="X22" s="1003"/>
      <c r="Y22" s="1003"/>
      <c r="Z22" s="1003"/>
      <c r="AA22" s="1003"/>
      <c r="AB22" s="1003"/>
      <c r="AC22" s="1003"/>
      <c r="AD22" s="1003" t="s">
        <v>280</v>
      </c>
      <c r="AE22" s="1003"/>
      <c r="AF22" s="1003"/>
      <c r="AG22" s="1003"/>
      <c r="AH22" s="1003"/>
      <c r="AI22" s="1003"/>
      <c r="AJ22" s="1003"/>
      <c r="AK22" s="1003"/>
      <c r="AL22" s="1003"/>
      <c r="AM22" s="1003"/>
      <c r="AN22" s="1003"/>
      <c r="AO22" s="1003"/>
      <c r="AP22" s="1002"/>
      <c r="AQ22" s="1002"/>
      <c r="AR22" s="1002"/>
      <c r="AS22" s="1002"/>
      <c r="AT22" s="1003" t="s">
        <v>281</v>
      </c>
      <c r="AU22" s="1003"/>
      <c r="AV22" s="1003"/>
      <c r="AW22" s="1003"/>
      <c r="AX22" s="1003"/>
      <c r="AY22" s="1003"/>
    </row>
    <row r="23" spans="1:51" ht="59.1" hidden="1" customHeight="1" x14ac:dyDescent="0.3">
      <c r="A23" s="1001"/>
      <c r="B23" s="1001"/>
      <c r="C23" s="1001"/>
      <c r="D23" s="1003" t="s">
        <v>282</v>
      </c>
      <c r="E23" s="1003"/>
      <c r="F23" s="1003"/>
      <c r="G23" s="1003"/>
      <c r="H23" s="1003"/>
      <c r="I23" s="1003"/>
      <c r="J23" s="1002"/>
      <c r="K23" s="1002"/>
      <c r="L23" s="1002"/>
      <c r="M23" s="1002"/>
      <c r="N23" s="1002"/>
      <c r="O23" s="1002"/>
      <c r="P23" s="1003" t="s">
        <v>283</v>
      </c>
      <c r="Q23" s="1003"/>
      <c r="R23" s="1003"/>
      <c r="S23" s="1003"/>
      <c r="T23" s="1003"/>
      <c r="U23" s="1003"/>
      <c r="V23" s="1003" t="s">
        <v>284</v>
      </c>
      <c r="W23" s="1003"/>
      <c r="X23" s="1003"/>
      <c r="Y23" s="1003"/>
      <c r="Z23" s="1003"/>
      <c r="AA23" s="1003"/>
      <c r="AB23" s="1003"/>
      <c r="AC23" s="1003"/>
      <c r="AD23" s="1003" t="s">
        <v>285</v>
      </c>
      <c r="AE23" s="1003"/>
      <c r="AF23" s="1003"/>
      <c r="AG23" s="1003"/>
      <c r="AH23" s="1003"/>
      <c r="AI23" s="1003"/>
      <c r="AJ23" s="1003"/>
      <c r="AK23" s="1003"/>
      <c r="AL23" s="1003"/>
      <c r="AM23" s="1003"/>
      <c r="AN23" s="1003"/>
      <c r="AO23" s="1003"/>
      <c r="AP23" s="1002"/>
      <c r="AQ23" s="1002"/>
      <c r="AR23" s="1002"/>
      <c r="AS23" s="1002"/>
      <c r="AT23" s="1003" t="s">
        <v>286</v>
      </c>
      <c r="AU23" s="1003"/>
      <c r="AV23" s="1003"/>
      <c r="AW23" s="1003"/>
      <c r="AX23" s="1003"/>
      <c r="AY23" s="1003"/>
    </row>
  </sheetData>
  <autoFilter ref="A12:AY23" xr:uid="{00000000-0001-0000-0800-000000000000}">
    <filterColumn colId="3">
      <filters>
        <filter val="39"/>
        <filter val="40"/>
        <filter val="41"/>
      </filters>
    </filterColumn>
  </autoFilter>
  <mergeCells count="60">
    <mergeCell ref="H6:I6"/>
    <mergeCell ref="A10:C10"/>
    <mergeCell ref="A9:C9"/>
    <mergeCell ref="AT23:AY23"/>
    <mergeCell ref="D21:I21"/>
    <mergeCell ref="AP21:AS23"/>
    <mergeCell ref="D22:I22"/>
    <mergeCell ref="D23:I23"/>
    <mergeCell ref="AD21:AO21"/>
    <mergeCell ref="V22:AC22"/>
    <mergeCell ref="V23:AC23"/>
    <mergeCell ref="V21:AC21"/>
    <mergeCell ref="A20:AY20"/>
    <mergeCell ref="AT22:AY22"/>
    <mergeCell ref="AT21:AY21"/>
    <mergeCell ref="AX5:AX12"/>
    <mergeCell ref="AY5:AY12"/>
    <mergeCell ref="H7:I7"/>
    <mergeCell ref="H8:I8"/>
    <mergeCell ref="A21:C23"/>
    <mergeCell ref="J21:O23"/>
    <mergeCell ref="P22:U22"/>
    <mergeCell ref="P23:U23"/>
    <mergeCell ref="AD22:AO22"/>
    <mergeCell ref="AD23:AO23"/>
    <mergeCell ref="P21:U21"/>
    <mergeCell ref="G17:G18"/>
    <mergeCell ref="H17:H18"/>
    <mergeCell ref="I17:I18"/>
    <mergeCell ref="K11:K12"/>
    <mergeCell ref="U11:U12"/>
    <mergeCell ref="O11:S11"/>
    <mergeCell ref="V11:AG11"/>
    <mergeCell ref="I11:I12"/>
    <mergeCell ref="J11:J12"/>
    <mergeCell ref="T11:T12"/>
    <mergeCell ref="N11:N12"/>
    <mergeCell ref="AX1:AY1"/>
    <mergeCell ref="AX2:AY2"/>
    <mergeCell ref="AX3:AY3"/>
    <mergeCell ref="AX4:AY4"/>
    <mergeCell ref="A1:AW1"/>
    <mergeCell ref="A2:AW2"/>
    <mergeCell ref="A3:AW4"/>
    <mergeCell ref="AW5:AW12"/>
    <mergeCell ref="AH5:AU10"/>
    <mergeCell ref="AV5:AV12"/>
    <mergeCell ref="A5:AG5"/>
    <mergeCell ref="AT11:AU11"/>
    <mergeCell ref="M11:M12"/>
    <mergeCell ref="L11:L12"/>
    <mergeCell ref="AH11:AS11"/>
    <mergeCell ref="K6:AG8"/>
    <mergeCell ref="D9:AG9"/>
    <mergeCell ref="D10:AG10"/>
    <mergeCell ref="A11:F11"/>
    <mergeCell ref="G11:H11"/>
    <mergeCell ref="A6:C8"/>
    <mergeCell ref="D6:E8"/>
    <mergeCell ref="F6:G8"/>
  </mergeCells>
  <phoneticPr fontId="69" type="noConversion"/>
  <printOptions horizontalCentered="1"/>
  <pageMargins left="0.39370078740157483" right="0.39370078740157483" top="0.39370078740157483" bottom="0.39370078740157483" header="0" footer="0"/>
  <pageSetup paperSize="9" scale="2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f5e60779-6af5-4dde-a1c8-ebb5582c629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7CF1CE-E31F-4D62-A75E-8C23752B7434}">
  <ds:schemaRefs>
    <ds:schemaRef ds:uri="http://schemas.microsoft.com/sharepoint/v3/contenttype/forms"/>
  </ds:schemaRefs>
</ds:datastoreItem>
</file>

<file path=customXml/itemProps2.xml><?xml version="1.0" encoding="utf-8"?>
<ds:datastoreItem xmlns:ds="http://schemas.openxmlformats.org/officeDocument/2006/customXml" ds:itemID="{E2F9BD70-D413-42D1-872F-D93B872DA59F}">
  <ds:schemaRefs>
    <ds:schemaRef ds:uri="http://schemas.microsoft.com/office/2006/metadata/longProperties"/>
  </ds:schemaRefs>
</ds:datastoreItem>
</file>

<file path=customXml/itemProps3.xml><?xml version="1.0" encoding="utf-8"?>
<ds:datastoreItem xmlns:ds="http://schemas.openxmlformats.org/officeDocument/2006/customXml" ds:itemID="{9A4CBA6F-A444-4A82-AE3A-A04E0D5BE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D3E026-6D0D-4CA9-833C-368A121BFBA5}">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Meta 1</vt:lpstr>
      <vt:lpstr>Meta 1..n</vt:lpstr>
      <vt:lpstr>Meta 2</vt:lpstr>
      <vt:lpstr>Meta 3</vt:lpstr>
      <vt:lpstr>Meta 4</vt:lpstr>
      <vt:lpstr>Meta 5</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2023-10-20T14:24:07Z</cp:lastPrinted>
  <dcterms:created xsi:type="dcterms:W3CDTF">2011-04-26T22:16:52Z</dcterms:created>
  <dcterms:modified xsi:type="dcterms:W3CDTF">2023-10-20T14:29:26Z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0x010100D22D89587B88F645886B528F3349C219</vt:lpwstr>
  </property>
  <property fmtid="{D5CDD505-2E9C-101B-9397-08002B2CF9AE}" pid="3" name="display_urn:schemas-microsoft-com:office:office#Editor">
    <vt:lpwstr>Angela Marcela Forero Ruiz</vt:lpwstr>
  </property>
  <property fmtid="{D5CDD505-2E9C-101B-9397-08002B2CF9AE}" pid="4" name="Order">
    <vt:lpwstr>3677200.00000000</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Angela Marcela Forero Ruiz</vt:lpwstr>
  </property>
  <property fmtid="{D5CDD505-2E9C-101B-9397-08002B2CF9AE}" pid="8" name="ComplianceAssetId">
    <vt:lpwstr/>
  </property>
  <property fmtid="{D5CDD505-2E9C-101B-9397-08002B2CF9AE}" pid="9" name="TriggerFlowInfo">
    <vt:lpwstr/>
  </property>
  <property fmtid="{D5CDD505-2E9C-101B-9397-08002B2CF9AE}" pid="10" name="MediaLengthInSeconds">
    <vt:lpwstr/>
  </property>
</Properties>
</file>